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heets/sheet1.xml" ContentType="application/vnd.openxmlformats-officedocument.spreadsheetml.chart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mc:AlternateContent xmlns:mc="http://schemas.openxmlformats.org/markup-compatibility/2006">
    <mc:Choice Requires="x15">
      <x15ac:absPath xmlns:x15ac="http://schemas.microsoft.com/office/spreadsheetml/2010/11/ac" url="/Users/andrewsila/Alliance/Job/Data/Baby_trials/"/>
    </mc:Choice>
  </mc:AlternateContent>
  <xr:revisionPtr revIDLastSave="0" documentId="13_ncr:1_{CFE33A5A-78FD-B040-B27B-848C32BF6DCD}" xr6:coauthVersionLast="47" xr6:coauthVersionMax="47" xr10:uidLastSave="{00000000-0000-0000-0000-000000000000}"/>
  <bookViews>
    <workbookView xWindow="620" yWindow="500" windowWidth="28800" windowHeight="16480" activeTab="6" xr2:uid="{00000000-000D-0000-FFFF-FFFF00000000}"/>
  </bookViews>
  <sheets>
    <sheet name="Sheet2" sheetId="12" r:id="rId1"/>
    <sheet name="Harvest_2017_Formulae" sheetId="2" r:id="rId2"/>
    <sheet name="OtherFigs" sheetId="9" r:id="rId3"/>
    <sheet name="Harvest_2017" sheetId="5" r:id="rId4"/>
    <sheet name="Sheet1" sheetId="19" r:id="rId5"/>
    <sheet name="Survey_2017" sheetId="4" r:id="rId6"/>
    <sheet name="Survey_2017_sila" sheetId="20" r:id="rId7"/>
    <sheet name="All_Coords" sheetId="10" r:id="rId8"/>
    <sheet name="Chart1" sheetId="3" r:id="rId9"/>
    <sheet name="Figs1" sheetId="14" r:id="rId10"/>
  </sheets>
  <externalReferences>
    <externalReference r:id="rId11"/>
  </externalReferences>
  <definedNames>
    <definedName name="_xlnm._FilterDatabase" localSheetId="5" hidden="1">Survey_2017!$A$1:$EX$247</definedName>
    <definedName name="_xlnm._FilterDatabase" localSheetId="6" hidden="1">Survey_2017_sila!$A$1:$BW$247</definedName>
  </definedNames>
  <calcPr calcId="191029"/>
  <pivotCaches>
    <pivotCache cacheId="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V247" i="20" l="1"/>
  <c r="BT247" i="20"/>
  <c r="BS247" i="20"/>
  <c r="BR247" i="20"/>
  <c r="BP247" i="20"/>
  <c r="BO247" i="20"/>
  <c r="BM247" i="20"/>
  <c r="BL247" i="20"/>
  <c r="BN247" i="20" s="1"/>
  <c r="BK247" i="20"/>
  <c r="BJ247" i="20"/>
  <c r="BF247" i="20"/>
  <c r="E247" i="20"/>
  <c r="BV246" i="20"/>
  <c r="BT246" i="20"/>
  <c r="BS246" i="20"/>
  <c r="BR246" i="20"/>
  <c r="BF246" i="20"/>
  <c r="E246" i="20"/>
  <c r="BV245" i="20"/>
  <c r="BT245" i="20"/>
  <c r="BS245" i="20"/>
  <c r="BR245" i="20"/>
  <c r="BP245" i="20"/>
  <c r="BO245" i="20"/>
  <c r="BM245" i="20"/>
  <c r="BL245" i="20"/>
  <c r="BK245" i="20"/>
  <c r="BJ245" i="20"/>
  <c r="BF245" i="20"/>
  <c r="E245" i="20"/>
  <c r="BV244" i="20"/>
  <c r="BT244" i="20"/>
  <c r="BS244" i="20"/>
  <c r="BR244" i="20"/>
  <c r="BP244" i="20"/>
  <c r="BO244" i="20"/>
  <c r="BM244" i="20"/>
  <c r="BK244" i="20"/>
  <c r="BF244" i="20"/>
  <c r="E244" i="20"/>
  <c r="BV243" i="20"/>
  <c r="BT243" i="20"/>
  <c r="BS243" i="20"/>
  <c r="BR243" i="20"/>
  <c r="BP243" i="20"/>
  <c r="BO243" i="20"/>
  <c r="BM243" i="20"/>
  <c r="BL243" i="20"/>
  <c r="BK243" i="20"/>
  <c r="BJ243" i="20"/>
  <c r="BF243" i="20"/>
  <c r="E243" i="20"/>
  <c r="BV242" i="20"/>
  <c r="BT242" i="20"/>
  <c r="BS242" i="20"/>
  <c r="BR242" i="20"/>
  <c r="BP242" i="20"/>
  <c r="BO242" i="20"/>
  <c r="BM242" i="20"/>
  <c r="BL242" i="20"/>
  <c r="BK242" i="20"/>
  <c r="BJ242" i="20"/>
  <c r="BF242" i="20"/>
  <c r="E242" i="20"/>
  <c r="BV241" i="20"/>
  <c r="BT241" i="20"/>
  <c r="BS241" i="20"/>
  <c r="BR241" i="20"/>
  <c r="BP241" i="20"/>
  <c r="BO241" i="20"/>
  <c r="BL241" i="20"/>
  <c r="BJ241" i="20"/>
  <c r="BF241" i="20"/>
  <c r="E241" i="20"/>
  <c r="BV240" i="20"/>
  <c r="BT240" i="20"/>
  <c r="BS240" i="20"/>
  <c r="BR240" i="20"/>
  <c r="BP240" i="20"/>
  <c r="BO240" i="20"/>
  <c r="BM240" i="20"/>
  <c r="BL240" i="20"/>
  <c r="BK240" i="20"/>
  <c r="BJ240" i="20"/>
  <c r="BF240" i="20"/>
  <c r="E240" i="20"/>
  <c r="BV239" i="20"/>
  <c r="BT239" i="20"/>
  <c r="BS239" i="20"/>
  <c r="BR239" i="20"/>
  <c r="BP239" i="20"/>
  <c r="BO239" i="20"/>
  <c r="BM239" i="20"/>
  <c r="BL239" i="20"/>
  <c r="BN239" i="20" s="1"/>
  <c r="BK239" i="20"/>
  <c r="BJ239" i="20"/>
  <c r="BF239" i="20"/>
  <c r="E239" i="20"/>
  <c r="BV238" i="20"/>
  <c r="BT238" i="20"/>
  <c r="BS238" i="20"/>
  <c r="BR238" i="20"/>
  <c r="BP238" i="20"/>
  <c r="BO238" i="20"/>
  <c r="BM238" i="20"/>
  <c r="BL238" i="20"/>
  <c r="BK238" i="20"/>
  <c r="BJ238" i="20"/>
  <c r="BF238" i="20"/>
  <c r="E238" i="20"/>
  <c r="BV237" i="20"/>
  <c r="BT237" i="20"/>
  <c r="BS237" i="20"/>
  <c r="BR237" i="20"/>
  <c r="BP237" i="20"/>
  <c r="BO237" i="20"/>
  <c r="BL237" i="20"/>
  <c r="BJ237" i="20"/>
  <c r="BF237" i="20"/>
  <c r="E237" i="20"/>
  <c r="BV236" i="20"/>
  <c r="BT236" i="20"/>
  <c r="BS236" i="20"/>
  <c r="BR236" i="20"/>
  <c r="BP236" i="20"/>
  <c r="BO236" i="20"/>
  <c r="BM236" i="20"/>
  <c r="BL236" i="20"/>
  <c r="BK236" i="20"/>
  <c r="BJ236" i="20"/>
  <c r="BF236" i="20"/>
  <c r="E236" i="20"/>
  <c r="BV235" i="20"/>
  <c r="BT235" i="20"/>
  <c r="BS235" i="20"/>
  <c r="BR235" i="20"/>
  <c r="BF235" i="20"/>
  <c r="E235" i="20"/>
  <c r="BV234" i="20"/>
  <c r="BT234" i="20"/>
  <c r="BS234" i="20"/>
  <c r="BR234" i="20"/>
  <c r="BP234" i="20"/>
  <c r="BO234" i="20"/>
  <c r="BM234" i="20"/>
  <c r="BL234" i="20"/>
  <c r="BK234" i="20"/>
  <c r="BJ234" i="20"/>
  <c r="BF234" i="20"/>
  <c r="E234" i="20"/>
  <c r="BV233" i="20"/>
  <c r="BT233" i="20"/>
  <c r="BS233" i="20"/>
  <c r="BR233" i="20"/>
  <c r="BP233" i="20"/>
  <c r="BO233" i="20"/>
  <c r="BM233" i="20"/>
  <c r="BL233" i="20"/>
  <c r="BK233" i="20"/>
  <c r="BJ233" i="20"/>
  <c r="BF233" i="20"/>
  <c r="E233" i="20"/>
  <c r="BV232" i="20"/>
  <c r="BT232" i="20"/>
  <c r="BS232" i="20"/>
  <c r="BR232" i="20"/>
  <c r="BF232" i="20"/>
  <c r="E232" i="20"/>
  <c r="BV231" i="20"/>
  <c r="BT231" i="20"/>
  <c r="BS231" i="20"/>
  <c r="BR231" i="20"/>
  <c r="BP231" i="20"/>
  <c r="BO231" i="20"/>
  <c r="BM231" i="20"/>
  <c r="BL231" i="20"/>
  <c r="BK231" i="20"/>
  <c r="BJ231" i="20"/>
  <c r="BF231" i="20"/>
  <c r="E231" i="20"/>
  <c r="BV230" i="20"/>
  <c r="BT230" i="20"/>
  <c r="BS230" i="20"/>
  <c r="BR230" i="20"/>
  <c r="BP230" i="20"/>
  <c r="BO230" i="20"/>
  <c r="BM230" i="20"/>
  <c r="BL230" i="20"/>
  <c r="BK230" i="20"/>
  <c r="BJ230" i="20"/>
  <c r="BF230" i="20"/>
  <c r="E230" i="20"/>
  <c r="BV229" i="20"/>
  <c r="BT229" i="20"/>
  <c r="BS229" i="20"/>
  <c r="BR229" i="20"/>
  <c r="BP229" i="20"/>
  <c r="BO229" i="20"/>
  <c r="BM229" i="20"/>
  <c r="BL229" i="20"/>
  <c r="BK229" i="20"/>
  <c r="BJ229" i="20"/>
  <c r="BF229" i="20"/>
  <c r="E229" i="20"/>
  <c r="BV228" i="20"/>
  <c r="BT228" i="20"/>
  <c r="BS228" i="20"/>
  <c r="BR228" i="20"/>
  <c r="BP228" i="20"/>
  <c r="BO228" i="20"/>
  <c r="BM228" i="20"/>
  <c r="BL228" i="20"/>
  <c r="BJ228" i="20"/>
  <c r="BF228" i="20"/>
  <c r="E228" i="20"/>
  <c r="BV227" i="20"/>
  <c r="BT227" i="20"/>
  <c r="BS227" i="20"/>
  <c r="BR227" i="20"/>
  <c r="BM227" i="20"/>
  <c r="BL227" i="20"/>
  <c r="BK227" i="20"/>
  <c r="BJ227" i="20"/>
  <c r="BF227" i="20"/>
  <c r="E227" i="20"/>
  <c r="BV226" i="20"/>
  <c r="BT226" i="20"/>
  <c r="BS226" i="20"/>
  <c r="BR226" i="20"/>
  <c r="BP226" i="20"/>
  <c r="BO226" i="20"/>
  <c r="BM226" i="20"/>
  <c r="BL226" i="20"/>
  <c r="BK226" i="20"/>
  <c r="BJ226" i="20"/>
  <c r="BF226" i="20"/>
  <c r="E226" i="20"/>
  <c r="BV225" i="20"/>
  <c r="BT225" i="20"/>
  <c r="BS225" i="20"/>
  <c r="BR225" i="20"/>
  <c r="BP225" i="20"/>
  <c r="BO225" i="20"/>
  <c r="BM225" i="20"/>
  <c r="BL225" i="20"/>
  <c r="BK225" i="20"/>
  <c r="BJ225" i="20"/>
  <c r="BF225" i="20"/>
  <c r="E225" i="20"/>
  <c r="BV224" i="20"/>
  <c r="BT224" i="20"/>
  <c r="BS224" i="20"/>
  <c r="BR224" i="20"/>
  <c r="BP224" i="20"/>
  <c r="BO224" i="20"/>
  <c r="BM224" i="20"/>
  <c r="BL224" i="20"/>
  <c r="BK224" i="20"/>
  <c r="BJ224" i="20"/>
  <c r="BF224" i="20"/>
  <c r="E224" i="20"/>
  <c r="BV223" i="20"/>
  <c r="BT223" i="20"/>
  <c r="BS223" i="20"/>
  <c r="BR223" i="20"/>
  <c r="BP223" i="20"/>
  <c r="BO223" i="20"/>
  <c r="BM223" i="20"/>
  <c r="BL223" i="20"/>
  <c r="BK223" i="20"/>
  <c r="BJ223" i="20"/>
  <c r="BF223" i="20"/>
  <c r="E223" i="20"/>
  <c r="BV222" i="20"/>
  <c r="BT222" i="20"/>
  <c r="BS222" i="20"/>
  <c r="BR222" i="20"/>
  <c r="BP222" i="20"/>
  <c r="BO222" i="20"/>
  <c r="BM222" i="20"/>
  <c r="BL222" i="20"/>
  <c r="BK222" i="20"/>
  <c r="BJ222" i="20"/>
  <c r="BF222" i="20"/>
  <c r="E222" i="20"/>
  <c r="BV221" i="20"/>
  <c r="BT221" i="20"/>
  <c r="BS221" i="20"/>
  <c r="BR221" i="20"/>
  <c r="BP221" i="20"/>
  <c r="BO221" i="20"/>
  <c r="BM221" i="20"/>
  <c r="BL221" i="20"/>
  <c r="BK221" i="20"/>
  <c r="BJ221" i="20"/>
  <c r="BF221" i="20"/>
  <c r="E221" i="20"/>
  <c r="BV220" i="20"/>
  <c r="BT220" i="20"/>
  <c r="BS220" i="20"/>
  <c r="BR220" i="20"/>
  <c r="BP220" i="20"/>
  <c r="BO220" i="20"/>
  <c r="BM220" i="20"/>
  <c r="BL220" i="20"/>
  <c r="BK220" i="20"/>
  <c r="BJ220" i="20"/>
  <c r="BF220" i="20"/>
  <c r="E220" i="20"/>
  <c r="BV219" i="20"/>
  <c r="BT219" i="20"/>
  <c r="BS219" i="20"/>
  <c r="BR219" i="20"/>
  <c r="BP219" i="20"/>
  <c r="BO219" i="20"/>
  <c r="BM219" i="20"/>
  <c r="BL219" i="20"/>
  <c r="BK219" i="20"/>
  <c r="BJ219" i="20"/>
  <c r="BF219" i="20"/>
  <c r="E219" i="20"/>
  <c r="BV218" i="20"/>
  <c r="BT218" i="20"/>
  <c r="BS218" i="20"/>
  <c r="BR218" i="20"/>
  <c r="BP218" i="20"/>
  <c r="BO218" i="20"/>
  <c r="BM218" i="20"/>
  <c r="BL218" i="20"/>
  <c r="BK218" i="20"/>
  <c r="BJ218" i="20"/>
  <c r="BF218" i="20"/>
  <c r="E218" i="20"/>
  <c r="BV217" i="20"/>
  <c r="BT217" i="20"/>
  <c r="BS217" i="20"/>
  <c r="BR217" i="20"/>
  <c r="BP217" i="20"/>
  <c r="BO217" i="20"/>
  <c r="BM217" i="20"/>
  <c r="BL217" i="20"/>
  <c r="BK217" i="20"/>
  <c r="BJ217" i="20"/>
  <c r="BF217" i="20"/>
  <c r="E217" i="20"/>
  <c r="BV216" i="20"/>
  <c r="BT216" i="20"/>
  <c r="BS216" i="20"/>
  <c r="BR216" i="20"/>
  <c r="BP216" i="20"/>
  <c r="BO216" i="20"/>
  <c r="BM216" i="20"/>
  <c r="BL216" i="20"/>
  <c r="BK216" i="20"/>
  <c r="BJ216" i="20"/>
  <c r="BF216" i="20"/>
  <c r="E216" i="20"/>
  <c r="BV215" i="20"/>
  <c r="BT215" i="20"/>
  <c r="BS215" i="20"/>
  <c r="BR215" i="20"/>
  <c r="BF215" i="20"/>
  <c r="E215" i="20"/>
  <c r="BV214" i="20"/>
  <c r="BT214" i="20"/>
  <c r="BS214" i="20"/>
  <c r="BR214" i="20"/>
  <c r="BP214" i="20"/>
  <c r="BO214" i="20"/>
  <c r="BM214" i="20"/>
  <c r="BL214" i="20"/>
  <c r="BK214" i="20"/>
  <c r="BJ214" i="20"/>
  <c r="BF214" i="20"/>
  <c r="E214" i="20"/>
  <c r="BV213" i="20"/>
  <c r="BT213" i="20"/>
  <c r="BS213" i="20"/>
  <c r="BR213" i="20"/>
  <c r="BP213" i="20"/>
  <c r="BO213" i="20"/>
  <c r="BM213" i="20"/>
  <c r="BL213" i="20"/>
  <c r="BK213" i="20"/>
  <c r="BJ213" i="20"/>
  <c r="BF213" i="20"/>
  <c r="E213" i="20"/>
  <c r="BV212" i="20"/>
  <c r="BT212" i="20"/>
  <c r="BS212" i="20"/>
  <c r="BR212" i="20"/>
  <c r="BJ212" i="20"/>
  <c r="BF212" i="20"/>
  <c r="BV211" i="20"/>
  <c r="BT211" i="20"/>
  <c r="BS211" i="20"/>
  <c r="BR211" i="20"/>
  <c r="BP211" i="20"/>
  <c r="BO211" i="20"/>
  <c r="BM211" i="20"/>
  <c r="BL211" i="20"/>
  <c r="BK211" i="20"/>
  <c r="BJ211" i="20"/>
  <c r="BF211" i="20"/>
  <c r="E211" i="20"/>
  <c r="BV210" i="20"/>
  <c r="BT210" i="20"/>
  <c r="BS210" i="20"/>
  <c r="BR210" i="20"/>
  <c r="BP210" i="20"/>
  <c r="BO210" i="20"/>
  <c r="BL210" i="20"/>
  <c r="BJ210" i="20"/>
  <c r="BF210" i="20"/>
  <c r="E210" i="20"/>
  <c r="BV209" i="20"/>
  <c r="BT209" i="20"/>
  <c r="BS209" i="20"/>
  <c r="BR209" i="20"/>
  <c r="BP209" i="20"/>
  <c r="BO209" i="20"/>
  <c r="BM209" i="20"/>
  <c r="BL209" i="20"/>
  <c r="BK209" i="20"/>
  <c r="BJ209" i="20"/>
  <c r="BF209" i="20"/>
  <c r="E209" i="20"/>
  <c r="BV208" i="20"/>
  <c r="BT208" i="20"/>
  <c r="BS208" i="20"/>
  <c r="BR208" i="20"/>
  <c r="BP208" i="20"/>
  <c r="BO208" i="20"/>
  <c r="BL208" i="20"/>
  <c r="BJ208" i="20"/>
  <c r="BF208" i="20"/>
  <c r="E208" i="20"/>
  <c r="BV207" i="20"/>
  <c r="BT207" i="20"/>
  <c r="BS207" i="20"/>
  <c r="BR207" i="20"/>
  <c r="BP207" i="20"/>
  <c r="BO207" i="20"/>
  <c r="BM207" i="20"/>
  <c r="BL207" i="20"/>
  <c r="BK207" i="20"/>
  <c r="BJ207" i="20"/>
  <c r="BF207" i="20"/>
  <c r="E207" i="20"/>
  <c r="BV206" i="20"/>
  <c r="BT206" i="20"/>
  <c r="BS206" i="20"/>
  <c r="BR206" i="20"/>
  <c r="BP206" i="20"/>
  <c r="BO206" i="20"/>
  <c r="BM206" i="20"/>
  <c r="BK206" i="20"/>
  <c r="BF206" i="20"/>
  <c r="E206" i="20"/>
  <c r="BV205" i="20"/>
  <c r="BT205" i="20"/>
  <c r="BS205" i="20"/>
  <c r="BR205" i="20"/>
  <c r="BP205" i="20"/>
  <c r="BO205" i="20"/>
  <c r="BM205" i="20"/>
  <c r="BL205" i="20"/>
  <c r="BK205" i="20"/>
  <c r="BJ205" i="20"/>
  <c r="BF205" i="20"/>
  <c r="E205" i="20"/>
  <c r="BV204" i="20"/>
  <c r="BT204" i="20"/>
  <c r="BS204" i="20"/>
  <c r="BR204" i="20"/>
  <c r="BF204" i="20"/>
  <c r="E204" i="20"/>
  <c r="BV203" i="20"/>
  <c r="BT203" i="20"/>
  <c r="BS203" i="20"/>
  <c r="BR203" i="20"/>
  <c r="BP203" i="20"/>
  <c r="BO203" i="20"/>
  <c r="BM203" i="20"/>
  <c r="BL203" i="20"/>
  <c r="BK203" i="20"/>
  <c r="BJ203" i="20"/>
  <c r="BF203" i="20"/>
  <c r="E203" i="20"/>
  <c r="BV202" i="20"/>
  <c r="BT202" i="20"/>
  <c r="BS202" i="20"/>
  <c r="BR202" i="20"/>
  <c r="BP202" i="20"/>
  <c r="BO202" i="20"/>
  <c r="BM202" i="20"/>
  <c r="BL202" i="20"/>
  <c r="BK202" i="20"/>
  <c r="BJ202" i="20"/>
  <c r="BF202" i="20"/>
  <c r="E202" i="20"/>
  <c r="BV201" i="20"/>
  <c r="BT201" i="20"/>
  <c r="BS201" i="20"/>
  <c r="BR201" i="20"/>
  <c r="BP201" i="20"/>
  <c r="BO201" i="20"/>
  <c r="BM201" i="20"/>
  <c r="BL201" i="20"/>
  <c r="BK201" i="20"/>
  <c r="BJ201" i="20"/>
  <c r="BF201" i="20"/>
  <c r="E201" i="20"/>
  <c r="BV200" i="20"/>
  <c r="BT200" i="20"/>
  <c r="BS200" i="20"/>
  <c r="BR200" i="20"/>
  <c r="BP200" i="20"/>
  <c r="BO200" i="20"/>
  <c r="BM200" i="20"/>
  <c r="BL200" i="20"/>
  <c r="BK200" i="20"/>
  <c r="BJ200" i="20"/>
  <c r="BF200" i="20"/>
  <c r="E200" i="20"/>
  <c r="BV199" i="20"/>
  <c r="BT199" i="20"/>
  <c r="BS199" i="20"/>
  <c r="BR199" i="20"/>
  <c r="BF199" i="20"/>
  <c r="E199" i="20"/>
  <c r="BV198" i="20"/>
  <c r="BT198" i="20"/>
  <c r="BS198" i="20"/>
  <c r="BR198" i="20"/>
  <c r="BP198" i="20"/>
  <c r="BO198" i="20"/>
  <c r="BL198" i="20"/>
  <c r="BJ198" i="20"/>
  <c r="BF198" i="20"/>
  <c r="E198" i="20"/>
  <c r="BV197" i="20"/>
  <c r="BT197" i="20"/>
  <c r="BS197" i="20"/>
  <c r="BR197" i="20"/>
  <c r="BP197" i="20"/>
  <c r="BO197" i="20"/>
  <c r="BM197" i="20"/>
  <c r="BK197" i="20"/>
  <c r="BF197" i="20"/>
  <c r="E197" i="20"/>
  <c r="BV196" i="20"/>
  <c r="BT196" i="20"/>
  <c r="BS196" i="20"/>
  <c r="BR196" i="20"/>
  <c r="BP196" i="20"/>
  <c r="BO196" i="20"/>
  <c r="BM196" i="20"/>
  <c r="BL196" i="20"/>
  <c r="BK196" i="20"/>
  <c r="BJ196" i="20"/>
  <c r="BF196" i="20"/>
  <c r="E196" i="20"/>
  <c r="BV195" i="20"/>
  <c r="BT195" i="20"/>
  <c r="BS195" i="20"/>
  <c r="BR195" i="20"/>
  <c r="BP195" i="20"/>
  <c r="BO195" i="20"/>
  <c r="BM195" i="20"/>
  <c r="BL195" i="20"/>
  <c r="BK195" i="20"/>
  <c r="BJ195" i="20"/>
  <c r="BF195" i="20"/>
  <c r="E195" i="20"/>
  <c r="BV194" i="20"/>
  <c r="BT194" i="20"/>
  <c r="BS194" i="20"/>
  <c r="BR194" i="20"/>
  <c r="BP194" i="20"/>
  <c r="BO194" i="20"/>
  <c r="BM194" i="20"/>
  <c r="BL194" i="20"/>
  <c r="BK194" i="20"/>
  <c r="BJ194" i="20"/>
  <c r="BF194" i="20"/>
  <c r="E194" i="20"/>
  <c r="BV193" i="20"/>
  <c r="BT193" i="20"/>
  <c r="BS193" i="20"/>
  <c r="BR193" i="20"/>
  <c r="BF193" i="20"/>
  <c r="E193" i="20"/>
  <c r="BV192" i="20"/>
  <c r="BT192" i="20"/>
  <c r="BS192" i="20"/>
  <c r="BR192" i="20"/>
  <c r="BP192" i="20"/>
  <c r="BO192" i="20"/>
  <c r="BM192" i="20"/>
  <c r="BL192" i="20"/>
  <c r="BK192" i="20"/>
  <c r="BJ192" i="20"/>
  <c r="BF192" i="20"/>
  <c r="E192" i="20"/>
  <c r="BV191" i="20"/>
  <c r="BT191" i="20"/>
  <c r="BS191" i="20"/>
  <c r="BR191" i="20"/>
  <c r="BP191" i="20"/>
  <c r="BO191" i="20"/>
  <c r="BM191" i="20"/>
  <c r="BL191" i="20"/>
  <c r="BK191" i="20"/>
  <c r="BJ191" i="20"/>
  <c r="BF191" i="20"/>
  <c r="E191" i="20"/>
  <c r="BV190" i="20"/>
  <c r="BT190" i="20"/>
  <c r="BS190" i="20"/>
  <c r="BR190" i="20"/>
  <c r="BP190" i="20"/>
  <c r="BO190" i="20"/>
  <c r="BM190" i="20"/>
  <c r="BL190" i="20"/>
  <c r="BK190" i="20"/>
  <c r="BJ190" i="20"/>
  <c r="BF190" i="20"/>
  <c r="E190" i="20"/>
  <c r="BV189" i="20"/>
  <c r="BT189" i="20"/>
  <c r="BS189" i="20"/>
  <c r="BR189" i="20"/>
  <c r="BP189" i="20"/>
  <c r="BO189" i="20"/>
  <c r="BL189" i="20"/>
  <c r="BJ189" i="20"/>
  <c r="BF189" i="20"/>
  <c r="E189" i="20"/>
  <c r="BV188" i="20"/>
  <c r="BT188" i="20"/>
  <c r="BS188" i="20"/>
  <c r="BR188" i="20"/>
  <c r="BP188" i="20"/>
  <c r="BO188" i="20"/>
  <c r="BM188" i="20"/>
  <c r="BL188" i="20"/>
  <c r="BK188" i="20"/>
  <c r="BJ188" i="20"/>
  <c r="BF188" i="20"/>
  <c r="E188" i="20"/>
  <c r="BV187" i="20"/>
  <c r="BT187" i="20"/>
  <c r="BS187" i="20"/>
  <c r="BR187" i="20"/>
  <c r="BP187" i="20"/>
  <c r="BO187" i="20"/>
  <c r="BM187" i="20"/>
  <c r="BL187" i="20"/>
  <c r="BK187" i="20"/>
  <c r="BJ187" i="20"/>
  <c r="BF187" i="20"/>
  <c r="E187" i="20"/>
  <c r="BV186" i="20"/>
  <c r="BT186" i="20"/>
  <c r="BS186" i="20"/>
  <c r="BR186" i="20"/>
  <c r="BP186" i="20"/>
  <c r="BO186" i="20"/>
  <c r="BM186" i="20"/>
  <c r="BL186" i="20"/>
  <c r="BK186" i="20"/>
  <c r="BJ186" i="20"/>
  <c r="BF186" i="20"/>
  <c r="E186" i="20"/>
  <c r="BV185" i="20"/>
  <c r="BT185" i="20"/>
  <c r="BS185" i="20"/>
  <c r="BR185" i="20"/>
  <c r="BP185" i="20"/>
  <c r="BO185" i="20"/>
  <c r="BM185" i="20"/>
  <c r="BL185" i="20"/>
  <c r="BK185" i="20"/>
  <c r="BJ185" i="20"/>
  <c r="BF185" i="20"/>
  <c r="E185" i="20"/>
  <c r="BV184" i="20"/>
  <c r="BT184" i="20"/>
  <c r="BS184" i="20"/>
  <c r="BR184" i="20"/>
  <c r="BP184" i="20"/>
  <c r="BO184" i="20"/>
  <c r="BM184" i="20"/>
  <c r="BL184" i="20"/>
  <c r="BK184" i="20"/>
  <c r="BJ184" i="20"/>
  <c r="BF184" i="20"/>
  <c r="E184" i="20"/>
  <c r="BV183" i="20"/>
  <c r="BT183" i="20"/>
  <c r="BS183" i="20"/>
  <c r="BR183" i="20"/>
  <c r="BP183" i="20"/>
  <c r="BO183" i="20"/>
  <c r="BM183" i="20"/>
  <c r="BL183" i="20"/>
  <c r="BK183" i="20"/>
  <c r="BJ183" i="20"/>
  <c r="BF183" i="20"/>
  <c r="E183" i="20"/>
  <c r="BV182" i="20"/>
  <c r="BT182" i="20"/>
  <c r="BS182" i="20"/>
  <c r="BR182" i="20"/>
  <c r="BF182" i="20"/>
  <c r="E182" i="20"/>
  <c r="BV181" i="20"/>
  <c r="BT181" i="20"/>
  <c r="BS181" i="20"/>
  <c r="BR181" i="20"/>
  <c r="BP181" i="20"/>
  <c r="BO181" i="20"/>
  <c r="BM181" i="20"/>
  <c r="BK181" i="20"/>
  <c r="BF181" i="20"/>
  <c r="E181" i="20"/>
  <c r="BV180" i="20"/>
  <c r="BT180" i="20"/>
  <c r="BS180" i="20"/>
  <c r="BR180" i="20"/>
  <c r="BP180" i="20"/>
  <c r="BO180" i="20"/>
  <c r="BM180" i="20"/>
  <c r="BL180" i="20"/>
  <c r="BK180" i="20"/>
  <c r="BJ180" i="20"/>
  <c r="BF180" i="20"/>
  <c r="E180" i="20"/>
  <c r="BV179" i="20"/>
  <c r="BT179" i="20"/>
  <c r="BS179" i="20"/>
  <c r="BR179" i="20"/>
  <c r="BP179" i="20"/>
  <c r="BO179" i="20"/>
  <c r="BM179" i="20"/>
  <c r="BL179" i="20"/>
  <c r="BK179" i="20"/>
  <c r="BJ179" i="20"/>
  <c r="BF179" i="20"/>
  <c r="E179" i="20"/>
  <c r="BV178" i="20"/>
  <c r="BT178" i="20"/>
  <c r="BS178" i="20"/>
  <c r="BR178" i="20"/>
  <c r="BF178" i="20"/>
  <c r="E178" i="20"/>
  <c r="BV177" i="20"/>
  <c r="BT177" i="20"/>
  <c r="BS177" i="20"/>
  <c r="BR177" i="20"/>
  <c r="BP177" i="20"/>
  <c r="BO177" i="20"/>
  <c r="BL177" i="20"/>
  <c r="BJ177" i="20"/>
  <c r="BF177" i="20"/>
  <c r="E177" i="20"/>
  <c r="BV176" i="20"/>
  <c r="BT176" i="20"/>
  <c r="BS176" i="20"/>
  <c r="BR176" i="20"/>
  <c r="BP176" i="20"/>
  <c r="BO176" i="20"/>
  <c r="BM176" i="20"/>
  <c r="BL176" i="20"/>
  <c r="BK176" i="20"/>
  <c r="BJ176" i="20"/>
  <c r="BF176" i="20"/>
  <c r="E176" i="20"/>
  <c r="BV175" i="20"/>
  <c r="BT175" i="20"/>
  <c r="BS175" i="20"/>
  <c r="BR175" i="20"/>
  <c r="BP175" i="20"/>
  <c r="BO175" i="20"/>
  <c r="BM175" i="20"/>
  <c r="BL175" i="20"/>
  <c r="BK175" i="20"/>
  <c r="BJ175" i="20"/>
  <c r="BF175" i="20"/>
  <c r="E175" i="20"/>
  <c r="BV174" i="20"/>
  <c r="BT174" i="20"/>
  <c r="BS174" i="20"/>
  <c r="BR174" i="20"/>
  <c r="BP174" i="20"/>
  <c r="BO174" i="20"/>
  <c r="BM174" i="20"/>
  <c r="BL174" i="20"/>
  <c r="BK174" i="20"/>
  <c r="BJ174" i="20"/>
  <c r="BF174" i="20"/>
  <c r="E174" i="20"/>
  <c r="BV173" i="20"/>
  <c r="BT173" i="20"/>
  <c r="BS173" i="20"/>
  <c r="BR173" i="20"/>
  <c r="BP173" i="20"/>
  <c r="BO173" i="20"/>
  <c r="BM173" i="20"/>
  <c r="BL173" i="20"/>
  <c r="BK173" i="20"/>
  <c r="BJ173" i="20"/>
  <c r="BF173" i="20"/>
  <c r="E173" i="20"/>
  <c r="BV172" i="20"/>
  <c r="BT172" i="20"/>
  <c r="BS172" i="20"/>
  <c r="BR172" i="20"/>
  <c r="BP172" i="20"/>
  <c r="BO172" i="20"/>
  <c r="BM172" i="20"/>
  <c r="BL172" i="20"/>
  <c r="BK172" i="20"/>
  <c r="BJ172" i="20"/>
  <c r="BF172" i="20"/>
  <c r="BV171" i="20"/>
  <c r="BT171" i="20"/>
  <c r="BS171" i="20"/>
  <c r="BR171" i="20"/>
  <c r="BP171" i="20"/>
  <c r="BO171" i="20"/>
  <c r="BM171" i="20"/>
  <c r="BL171" i="20"/>
  <c r="BK171" i="20"/>
  <c r="BJ171" i="20"/>
  <c r="BF171" i="20"/>
  <c r="E171" i="20"/>
  <c r="BV170" i="20"/>
  <c r="BT170" i="20"/>
  <c r="BS170" i="20"/>
  <c r="BR170" i="20"/>
  <c r="BP170" i="20"/>
  <c r="BO170" i="20"/>
  <c r="BM170" i="20"/>
  <c r="BL170" i="20"/>
  <c r="BK170" i="20"/>
  <c r="BJ170" i="20"/>
  <c r="BF170" i="20"/>
  <c r="E170" i="20"/>
  <c r="BV169" i="20"/>
  <c r="BT169" i="20"/>
  <c r="BS169" i="20"/>
  <c r="BR169" i="20"/>
  <c r="BP169" i="20"/>
  <c r="BO169" i="20"/>
  <c r="BM169" i="20"/>
  <c r="BL169" i="20"/>
  <c r="BK169" i="20"/>
  <c r="BJ169" i="20"/>
  <c r="BF169" i="20"/>
  <c r="E169" i="20"/>
  <c r="BV168" i="20"/>
  <c r="BT168" i="20"/>
  <c r="BS168" i="20"/>
  <c r="BR168" i="20"/>
  <c r="BP168" i="20"/>
  <c r="BO168" i="20"/>
  <c r="BM168" i="20"/>
  <c r="BL168" i="20"/>
  <c r="BK168" i="20"/>
  <c r="BJ168" i="20"/>
  <c r="BF168" i="20"/>
  <c r="E168" i="20"/>
  <c r="BV167" i="20"/>
  <c r="BT167" i="20"/>
  <c r="BS167" i="20"/>
  <c r="BR167" i="20"/>
  <c r="BP167" i="20"/>
  <c r="BO167" i="20"/>
  <c r="BM167" i="20"/>
  <c r="BL167" i="20"/>
  <c r="BK167" i="20"/>
  <c r="BJ167" i="20"/>
  <c r="BF167" i="20"/>
  <c r="E167" i="20"/>
  <c r="BV166" i="20"/>
  <c r="BT166" i="20"/>
  <c r="BS166" i="20"/>
  <c r="BR166" i="20"/>
  <c r="BP166" i="20"/>
  <c r="BO166" i="20"/>
  <c r="BM166" i="20"/>
  <c r="BL166" i="20"/>
  <c r="BK166" i="20"/>
  <c r="BJ166" i="20"/>
  <c r="BF166" i="20"/>
  <c r="E166" i="20"/>
  <c r="BV165" i="20"/>
  <c r="BT165" i="20"/>
  <c r="BS165" i="20"/>
  <c r="BR165" i="20"/>
  <c r="BJ165" i="20"/>
  <c r="BF165" i="20"/>
  <c r="E165" i="20"/>
  <c r="BV164" i="20"/>
  <c r="BT164" i="20"/>
  <c r="BS164" i="20"/>
  <c r="BR164" i="20"/>
  <c r="BF164" i="20"/>
  <c r="E164" i="20"/>
  <c r="BV163" i="20"/>
  <c r="BT163" i="20"/>
  <c r="BS163" i="20"/>
  <c r="BR163" i="20"/>
  <c r="BP163" i="20"/>
  <c r="BO163" i="20"/>
  <c r="BL163" i="20"/>
  <c r="BJ163" i="20"/>
  <c r="BF163" i="20"/>
  <c r="E163" i="20"/>
  <c r="BV162" i="20"/>
  <c r="BT162" i="20"/>
  <c r="BS162" i="20"/>
  <c r="BR162" i="20"/>
  <c r="BF162" i="20"/>
  <c r="E162" i="20"/>
  <c r="BV161" i="20"/>
  <c r="BT161" i="20"/>
  <c r="BS161" i="20"/>
  <c r="BR161" i="20"/>
  <c r="BP161" i="20"/>
  <c r="BO161" i="20"/>
  <c r="BL161" i="20"/>
  <c r="BJ161" i="20"/>
  <c r="BF161" i="20"/>
  <c r="E161" i="20"/>
  <c r="BV160" i="20"/>
  <c r="BT160" i="20"/>
  <c r="BS160" i="20"/>
  <c r="BR160" i="20"/>
  <c r="BP160" i="20"/>
  <c r="BM160" i="20"/>
  <c r="BL160" i="20"/>
  <c r="BK160" i="20"/>
  <c r="BJ160" i="20"/>
  <c r="BF160" i="20"/>
  <c r="E160" i="20"/>
  <c r="BV159" i="20"/>
  <c r="BT159" i="20"/>
  <c r="BS159" i="20"/>
  <c r="BR159" i="20"/>
  <c r="BP159" i="20"/>
  <c r="BO159" i="20"/>
  <c r="BM159" i="20"/>
  <c r="BL159" i="20"/>
  <c r="BK159" i="20"/>
  <c r="BJ159" i="20"/>
  <c r="BF159" i="20"/>
  <c r="E159" i="20"/>
  <c r="BV158" i="20"/>
  <c r="BT158" i="20"/>
  <c r="BS158" i="20"/>
  <c r="BR158" i="20"/>
  <c r="BF158" i="20"/>
  <c r="E158" i="20"/>
  <c r="BV157" i="20"/>
  <c r="BT157" i="20"/>
  <c r="BS157" i="20"/>
  <c r="BR157" i="20"/>
  <c r="BP157" i="20"/>
  <c r="BO157" i="20"/>
  <c r="BM157" i="20"/>
  <c r="BL157" i="20"/>
  <c r="BK157" i="20"/>
  <c r="BJ157" i="20"/>
  <c r="BF157" i="20"/>
  <c r="E157" i="20"/>
  <c r="BV156" i="20"/>
  <c r="BT156" i="20"/>
  <c r="BS156" i="20"/>
  <c r="BR156" i="20"/>
  <c r="BP156" i="20"/>
  <c r="BO156" i="20"/>
  <c r="BM156" i="20"/>
  <c r="BL156" i="20"/>
  <c r="BK156" i="20"/>
  <c r="BJ156" i="20"/>
  <c r="BF156" i="20"/>
  <c r="E156" i="20"/>
  <c r="BV155" i="20"/>
  <c r="BT155" i="20"/>
  <c r="BS155" i="20"/>
  <c r="BR155" i="20"/>
  <c r="BF155" i="20"/>
  <c r="E155" i="20"/>
  <c r="BV154" i="20"/>
  <c r="BT154" i="20"/>
  <c r="BS154" i="20"/>
  <c r="BR154" i="20"/>
  <c r="BP154" i="20"/>
  <c r="BO154" i="20"/>
  <c r="BM154" i="20"/>
  <c r="BK154" i="20"/>
  <c r="BF154" i="20"/>
  <c r="E154" i="20"/>
  <c r="BV153" i="20"/>
  <c r="BT153" i="20"/>
  <c r="BS153" i="20"/>
  <c r="BR153" i="20"/>
  <c r="BP153" i="20"/>
  <c r="BO153" i="20"/>
  <c r="BM153" i="20"/>
  <c r="BL153" i="20"/>
  <c r="BK153" i="20"/>
  <c r="BJ153" i="20"/>
  <c r="BF153" i="20"/>
  <c r="E153" i="20"/>
  <c r="BV152" i="20"/>
  <c r="BT152" i="20"/>
  <c r="BS152" i="20"/>
  <c r="BR152" i="20"/>
  <c r="BP152" i="20"/>
  <c r="BO152" i="20"/>
  <c r="BM152" i="20"/>
  <c r="BL152" i="20"/>
  <c r="BK152" i="20"/>
  <c r="BJ152" i="20"/>
  <c r="BF152" i="20"/>
  <c r="E152" i="20"/>
  <c r="BV151" i="20"/>
  <c r="BT151" i="20"/>
  <c r="BS151" i="20"/>
  <c r="BR151" i="20"/>
  <c r="BP151" i="20"/>
  <c r="BO151" i="20"/>
  <c r="BM151" i="20"/>
  <c r="BL151" i="20"/>
  <c r="BK151" i="20"/>
  <c r="BJ151" i="20"/>
  <c r="BF151" i="20"/>
  <c r="E151" i="20"/>
  <c r="BV150" i="20"/>
  <c r="BT150" i="20"/>
  <c r="BS150" i="20"/>
  <c r="BR150" i="20"/>
  <c r="BP150" i="20"/>
  <c r="BO150" i="20"/>
  <c r="BM150" i="20"/>
  <c r="BL150" i="20"/>
  <c r="BK150" i="20"/>
  <c r="BJ150" i="20"/>
  <c r="BF150" i="20"/>
  <c r="E150" i="20"/>
  <c r="BV149" i="20"/>
  <c r="BT149" i="20"/>
  <c r="BS149" i="20"/>
  <c r="BR149" i="20"/>
  <c r="BP149" i="20"/>
  <c r="BO149" i="20"/>
  <c r="BM149" i="20"/>
  <c r="BL149" i="20"/>
  <c r="BK149" i="20"/>
  <c r="BJ149" i="20"/>
  <c r="BF149" i="20"/>
  <c r="E149" i="20"/>
  <c r="BV148" i="20"/>
  <c r="BT148" i="20"/>
  <c r="BS148" i="20"/>
  <c r="BR148" i="20"/>
  <c r="BF148" i="20"/>
  <c r="E148" i="20"/>
  <c r="BV147" i="20"/>
  <c r="BT147" i="20"/>
  <c r="BS147" i="20"/>
  <c r="BR147" i="20"/>
  <c r="BP147" i="20"/>
  <c r="BO147" i="20"/>
  <c r="BM147" i="20"/>
  <c r="BL147" i="20"/>
  <c r="BK147" i="20"/>
  <c r="BJ147" i="20"/>
  <c r="BF147" i="20"/>
  <c r="E147" i="20"/>
  <c r="BV146" i="20"/>
  <c r="BT146" i="20"/>
  <c r="BS146" i="20"/>
  <c r="BR146" i="20"/>
  <c r="BP146" i="20"/>
  <c r="BO146" i="20"/>
  <c r="BM146" i="20"/>
  <c r="BL146" i="20"/>
  <c r="BK146" i="20"/>
  <c r="BJ146" i="20"/>
  <c r="BF146" i="20"/>
  <c r="E146" i="20"/>
  <c r="BV145" i="20"/>
  <c r="BT145" i="20"/>
  <c r="BS145" i="20"/>
  <c r="BR145" i="20"/>
  <c r="BP145" i="20"/>
  <c r="BO145" i="20"/>
  <c r="BM145" i="20"/>
  <c r="BL145" i="20"/>
  <c r="BK145" i="20"/>
  <c r="BJ145" i="20"/>
  <c r="BF145" i="20"/>
  <c r="E145" i="20"/>
  <c r="BV144" i="20"/>
  <c r="BT144" i="20"/>
  <c r="BS144" i="20"/>
  <c r="BR144" i="20"/>
  <c r="BP144" i="20"/>
  <c r="BO144" i="20"/>
  <c r="BF144" i="20"/>
  <c r="E144" i="20"/>
  <c r="BV143" i="20"/>
  <c r="BT143" i="20"/>
  <c r="BS143" i="20"/>
  <c r="BR143" i="20"/>
  <c r="BP143" i="20"/>
  <c r="BO143" i="20"/>
  <c r="BM143" i="20"/>
  <c r="BL143" i="20"/>
  <c r="BK143" i="20"/>
  <c r="BJ143" i="20"/>
  <c r="BF143" i="20"/>
  <c r="E143" i="20"/>
  <c r="BV142" i="20"/>
  <c r="BT142" i="20"/>
  <c r="BS142" i="20"/>
  <c r="BR142" i="20"/>
  <c r="BP142" i="20"/>
  <c r="BO142" i="20"/>
  <c r="BM142" i="20"/>
  <c r="BL142" i="20"/>
  <c r="BK142" i="20"/>
  <c r="BJ142" i="20"/>
  <c r="BF142" i="20"/>
  <c r="E142" i="20"/>
  <c r="BV141" i="20"/>
  <c r="BT141" i="20"/>
  <c r="BS141" i="20"/>
  <c r="BR141" i="20"/>
  <c r="BP141" i="20"/>
  <c r="BO141" i="20"/>
  <c r="BM141" i="20"/>
  <c r="BL141" i="20"/>
  <c r="BK141" i="20"/>
  <c r="BJ141" i="20"/>
  <c r="BF141" i="20"/>
  <c r="E141" i="20"/>
  <c r="BV140" i="20"/>
  <c r="BT140" i="20"/>
  <c r="BS140" i="20"/>
  <c r="BR140" i="20"/>
  <c r="BP140" i="20"/>
  <c r="BO140" i="20"/>
  <c r="BM140" i="20"/>
  <c r="BL140" i="20"/>
  <c r="BK140" i="20"/>
  <c r="BJ140" i="20"/>
  <c r="BF140" i="20"/>
  <c r="E140" i="20"/>
  <c r="BV139" i="20"/>
  <c r="BT139" i="20"/>
  <c r="BS139" i="20"/>
  <c r="BR139" i="20"/>
  <c r="BP139" i="20"/>
  <c r="BO139" i="20"/>
  <c r="BM139" i="20"/>
  <c r="BK139" i="20"/>
  <c r="BF139" i="20"/>
  <c r="E139" i="20"/>
  <c r="BV138" i="20"/>
  <c r="BT138" i="20"/>
  <c r="BS138" i="20"/>
  <c r="BR138" i="20"/>
  <c r="BF138" i="20"/>
  <c r="E138" i="20"/>
  <c r="BV137" i="20"/>
  <c r="BT137" i="20"/>
  <c r="BS137" i="20"/>
  <c r="BR137" i="20"/>
  <c r="BF137" i="20"/>
  <c r="E137" i="20"/>
  <c r="BV136" i="20"/>
  <c r="BT136" i="20"/>
  <c r="BS136" i="20"/>
  <c r="BR136" i="20"/>
  <c r="BP136" i="20"/>
  <c r="BO136" i="20"/>
  <c r="BM136" i="20"/>
  <c r="BL136" i="20"/>
  <c r="BK136" i="20"/>
  <c r="BJ136" i="20"/>
  <c r="BF136" i="20"/>
  <c r="E136" i="20"/>
  <c r="BV135" i="20"/>
  <c r="BT135" i="20"/>
  <c r="BS135" i="20"/>
  <c r="BR135" i="20"/>
  <c r="BP135" i="20"/>
  <c r="BO135" i="20"/>
  <c r="BL135" i="20"/>
  <c r="BJ135" i="20"/>
  <c r="BF135" i="20"/>
  <c r="E135" i="20"/>
  <c r="BV134" i="20"/>
  <c r="BT134" i="20"/>
  <c r="BS134" i="20"/>
  <c r="BR134" i="20"/>
  <c r="BP134" i="20"/>
  <c r="BO134" i="20"/>
  <c r="BM134" i="20"/>
  <c r="BK134" i="20"/>
  <c r="BF134" i="20"/>
  <c r="E134" i="20"/>
  <c r="BV133" i="20"/>
  <c r="BT133" i="20"/>
  <c r="BS133" i="20"/>
  <c r="BR133" i="20"/>
  <c r="BP133" i="20"/>
  <c r="BO133" i="20"/>
  <c r="BM133" i="20"/>
  <c r="BL133" i="20"/>
  <c r="BK133" i="20"/>
  <c r="BJ133" i="20"/>
  <c r="BF133" i="20"/>
  <c r="E133" i="20"/>
  <c r="BV132" i="20"/>
  <c r="BT132" i="20"/>
  <c r="BS132" i="20"/>
  <c r="BR132" i="20"/>
  <c r="BP132" i="20"/>
  <c r="BO132" i="20"/>
  <c r="BM132" i="20"/>
  <c r="BL132" i="20"/>
  <c r="BK132" i="20"/>
  <c r="BJ132" i="20"/>
  <c r="BF132" i="20"/>
  <c r="E132" i="20"/>
  <c r="BV131" i="20"/>
  <c r="BT131" i="20"/>
  <c r="BS131" i="20"/>
  <c r="BR131" i="20"/>
  <c r="BP131" i="20"/>
  <c r="BO131" i="20"/>
  <c r="BM131" i="20"/>
  <c r="BL131" i="20"/>
  <c r="BK131" i="20"/>
  <c r="BJ131" i="20"/>
  <c r="BF131" i="20"/>
  <c r="E131" i="20"/>
  <c r="BV130" i="20"/>
  <c r="BT130" i="20"/>
  <c r="BS130" i="20"/>
  <c r="BR130" i="20"/>
  <c r="BP130" i="20"/>
  <c r="BO130" i="20"/>
  <c r="BM130" i="20"/>
  <c r="BK130" i="20"/>
  <c r="BF130" i="20"/>
  <c r="E130" i="20"/>
  <c r="BV129" i="20"/>
  <c r="BT129" i="20"/>
  <c r="BS129" i="20"/>
  <c r="BR129" i="20"/>
  <c r="BP129" i="20"/>
  <c r="BO129" i="20"/>
  <c r="BM129" i="20"/>
  <c r="BK129" i="20"/>
  <c r="BF129" i="20"/>
  <c r="E129" i="20"/>
  <c r="BV128" i="20"/>
  <c r="BT128" i="20"/>
  <c r="BS128" i="20"/>
  <c r="BR128" i="20"/>
  <c r="BK128" i="20"/>
  <c r="BJ128" i="20"/>
  <c r="BF128" i="20"/>
  <c r="E128" i="20"/>
  <c r="BV127" i="20"/>
  <c r="BT127" i="20"/>
  <c r="BS127" i="20"/>
  <c r="BR127" i="20"/>
  <c r="BP127" i="20"/>
  <c r="BO127" i="20"/>
  <c r="BM127" i="20"/>
  <c r="BL127" i="20"/>
  <c r="BK127" i="20"/>
  <c r="BJ127" i="20"/>
  <c r="BF127" i="20"/>
  <c r="E127" i="20"/>
  <c r="BV126" i="20"/>
  <c r="BT126" i="20"/>
  <c r="BS126" i="20"/>
  <c r="BR126" i="20"/>
  <c r="BP126" i="20"/>
  <c r="BO126" i="20"/>
  <c r="BM126" i="20"/>
  <c r="BL126" i="20"/>
  <c r="BK126" i="20"/>
  <c r="BJ126" i="20"/>
  <c r="BF126" i="20"/>
  <c r="E126" i="20"/>
  <c r="BV125" i="20"/>
  <c r="BT125" i="20"/>
  <c r="BS125" i="20"/>
  <c r="BR125" i="20"/>
  <c r="BP125" i="20"/>
  <c r="BO125" i="20"/>
  <c r="BF125" i="20"/>
  <c r="E125" i="20"/>
  <c r="BV124" i="20"/>
  <c r="BT124" i="20"/>
  <c r="BS124" i="20"/>
  <c r="BR124" i="20"/>
  <c r="BP124" i="20"/>
  <c r="BO124" i="20"/>
  <c r="BM124" i="20"/>
  <c r="BL124" i="20"/>
  <c r="BK124" i="20"/>
  <c r="BJ124" i="20"/>
  <c r="BF124" i="20"/>
  <c r="E124" i="20"/>
  <c r="BV123" i="20"/>
  <c r="BT123" i="20"/>
  <c r="BS123" i="20"/>
  <c r="BR123" i="20"/>
  <c r="BP123" i="20"/>
  <c r="BO123" i="20"/>
  <c r="BM123" i="20"/>
  <c r="BL123" i="20"/>
  <c r="BK123" i="20"/>
  <c r="BJ123" i="20"/>
  <c r="BF123" i="20"/>
  <c r="E123" i="20"/>
  <c r="BV122" i="20"/>
  <c r="BT122" i="20"/>
  <c r="BS122" i="20"/>
  <c r="BR122" i="20"/>
  <c r="BF122" i="20"/>
  <c r="E122" i="20"/>
  <c r="BV121" i="20"/>
  <c r="BT121" i="20"/>
  <c r="BS121" i="20"/>
  <c r="BR121" i="20"/>
  <c r="BP121" i="20"/>
  <c r="BO121" i="20"/>
  <c r="BM121" i="20"/>
  <c r="BL121" i="20"/>
  <c r="BK121" i="20"/>
  <c r="BJ121" i="20"/>
  <c r="BF121" i="20"/>
  <c r="E121" i="20"/>
  <c r="BV120" i="20"/>
  <c r="BT120" i="20"/>
  <c r="BS120" i="20"/>
  <c r="BR120" i="20"/>
  <c r="BP120" i="20"/>
  <c r="BO120" i="20"/>
  <c r="BM120" i="20"/>
  <c r="BL120" i="20"/>
  <c r="BK120" i="20"/>
  <c r="BJ120" i="20"/>
  <c r="BF120" i="20"/>
  <c r="E120" i="20"/>
  <c r="BV119" i="20"/>
  <c r="BT119" i="20"/>
  <c r="BS119" i="20"/>
  <c r="BR119" i="20"/>
  <c r="BP119" i="20"/>
  <c r="BO119" i="20"/>
  <c r="BM119" i="20"/>
  <c r="BK119" i="20"/>
  <c r="BF119" i="20"/>
  <c r="E119" i="20"/>
  <c r="BV118" i="20"/>
  <c r="BT118" i="20"/>
  <c r="BS118" i="20"/>
  <c r="BR118" i="20"/>
  <c r="BP118" i="20"/>
  <c r="BO118" i="20"/>
  <c r="BL118" i="20"/>
  <c r="BJ118" i="20"/>
  <c r="BF118" i="20"/>
  <c r="E118" i="20"/>
  <c r="BV117" i="20"/>
  <c r="BT117" i="20"/>
  <c r="BS117" i="20"/>
  <c r="BR117" i="20"/>
  <c r="BP117" i="20"/>
  <c r="BO117" i="20"/>
  <c r="BM117" i="20"/>
  <c r="BL117" i="20"/>
  <c r="BK117" i="20"/>
  <c r="BJ117" i="20"/>
  <c r="BF117" i="20"/>
  <c r="E117" i="20"/>
  <c r="BV116" i="20"/>
  <c r="BT116" i="20"/>
  <c r="BS116" i="20"/>
  <c r="BR116" i="20"/>
  <c r="BF116" i="20"/>
  <c r="E116" i="20"/>
  <c r="BV115" i="20"/>
  <c r="BT115" i="20"/>
  <c r="BS115" i="20"/>
  <c r="BR115" i="20"/>
  <c r="BP115" i="20"/>
  <c r="BO115" i="20"/>
  <c r="BM115" i="20"/>
  <c r="BL115" i="20"/>
  <c r="BK115" i="20"/>
  <c r="BJ115" i="20"/>
  <c r="BF115" i="20"/>
  <c r="E115" i="20"/>
  <c r="BV114" i="20"/>
  <c r="BT114" i="20"/>
  <c r="BS114" i="20"/>
  <c r="BR114" i="20"/>
  <c r="BP114" i="20"/>
  <c r="BO114" i="20"/>
  <c r="BM114" i="20"/>
  <c r="BL114" i="20"/>
  <c r="BK114" i="20"/>
  <c r="BJ114" i="20"/>
  <c r="BF114" i="20"/>
  <c r="E114" i="20"/>
  <c r="BV113" i="20"/>
  <c r="BT113" i="20"/>
  <c r="BS113" i="20"/>
  <c r="BR113" i="20"/>
  <c r="BP113" i="20"/>
  <c r="BO113" i="20"/>
  <c r="BM113" i="20"/>
  <c r="BL113" i="20"/>
  <c r="BK113" i="20"/>
  <c r="BJ113" i="20"/>
  <c r="BF113" i="20"/>
  <c r="E113" i="20"/>
  <c r="BV112" i="20"/>
  <c r="BT112" i="20"/>
  <c r="BS112" i="20"/>
  <c r="BR112" i="20"/>
  <c r="BP112" i="20"/>
  <c r="BO112" i="20"/>
  <c r="BM112" i="20"/>
  <c r="BL112" i="20"/>
  <c r="BK112" i="20"/>
  <c r="BJ112" i="20"/>
  <c r="BF112" i="20"/>
  <c r="E112" i="20"/>
  <c r="BV111" i="20"/>
  <c r="BT111" i="20"/>
  <c r="BS111" i="20"/>
  <c r="BR111" i="20"/>
  <c r="BM111" i="20"/>
  <c r="BL111" i="20"/>
  <c r="BK111" i="20"/>
  <c r="BJ111" i="20"/>
  <c r="BF111" i="20"/>
  <c r="E111" i="20"/>
  <c r="BV110" i="20"/>
  <c r="BT110" i="20"/>
  <c r="BS110" i="20"/>
  <c r="BR110" i="20"/>
  <c r="BP110" i="20"/>
  <c r="BO110" i="20"/>
  <c r="BM110" i="20"/>
  <c r="BL110" i="20"/>
  <c r="BK110" i="20"/>
  <c r="BJ110" i="20"/>
  <c r="BF110" i="20"/>
  <c r="E110" i="20"/>
  <c r="BV109" i="20"/>
  <c r="BT109" i="20"/>
  <c r="BS109" i="20"/>
  <c r="BR109" i="20"/>
  <c r="BP109" i="20"/>
  <c r="BO109" i="20"/>
  <c r="BF109" i="20"/>
  <c r="E109" i="20"/>
  <c r="BV108" i="20"/>
  <c r="BT108" i="20"/>
  <c r="BS108" i="20"/>
  <c r="BR108" i="20"/>
  <c r="BP108" i="20"/>
  <c r="BO108" i="20"/>
  <c r="BM108" i="20"/>
  <c r="BL108" i="20"/>
  <c r="BK108" i="20"/>
  <c r="BJ108" i="20"/>
  <c r="BF108" i="20"/>
  <c r="E108" i="20"/>
  <c r="BV107" i="20"/>
  <c r="BT107" i="20"/>
  <c r="BS107" i="20"/>
  <c r="BR107" i="20"/>
  <c r="BP107" i="20"/>
  <c r="BO107" i="20"/>
  <c r="BF107" i="20"/>
  <c r="E107" i="20"/>
  <c r="BV106" i="20"/>
  <c r="BT106" i="20"/>
  <c r="BS106" i="20"/>
  <c r="BR106" i="20"/>
  <c r="BP106" i="20"/>
  <c r="BO106" i="20"/>
  <c r="BF106" i="20"/>
  <c r="E106" i="20"/>
  <c r="BV105" i="20"/>
  <c r="BT105" i="20"/>
  <c r="BS105" i="20"/>
  <c r="BR105" i="20"/>
  <c r="BP105" i="20"/>
  <c r="BO105" i="20"/>
  <c r="BM105" i="20"/>
  <c r="BL105" i="20"/>
  <c r="BK105" i="20"/>
  <c r="BJ105" i="20"/>
  <c r="BF105" i="20"/>
  <c r="E105" i="20"/>
  <c r="BV104" i="20"/>
  <c r="BT104" i="20"/>
  <c r="BS104" i="20"/>
  <c r="BR104" i="20"/>
  <c r="BP104" i="20"/>
  <c r="BO104" i="20"/>
  <c r="BM104" i="20"/>
  <c r="BL104" i="20"/>
  <c r="BK104" i="20"/>
  <c r="BJ104" i="20"/>
  <c r="BF104" i="20"/>
  <c r="E104" i="20"/>
  <c r="BV103" i="20"/>
  <c r="BT103" i="20"/>
  <c r="BS103" i="20"/>
  <c r="BR103" i="20"/>
  <c r="BP103" i="20"/>
  <c r="BO103" i="20"/>
  <c r="BM103" i="20"/>
  <c r="BL103" i="20"/>
  <c r="BK103" i="20"/>
  <c r="BJ103" i="20"/>
  <c r="BF103" i="20"/>
  <c r="E103" i="20"/>
  <c r="BV102" i="20"/>
  <c r="BT102" i="20"/>
  <c r="BS102" i="20"/>
  <c r="BR102" i="20"/>
  <c r="BP102" i="20"/>
  <c r="BO102" i="20"/>
  <c r="BM102" i="20"/>
  <c r="BL102" i="20"/>
  <c r="BK102" i="20"/>
  <c r="BJ102" i="20"/>
  <c r="BF102" i="20"/>
  <c r="E102" i="20"/>
  <c r="BV101" i="20"/>
  <c r="BT101" i="20"/>
  <c r="BS101" i="20"/>
  <c r="BR101" i="20"/>
  <c r="BP101" i="20"/>
  <c r="BO101" i="20"/>
  <c r="BM101" i="20"/>
  <c r="BL101" i="20"/>
  <c r="BK101" i="20"/>
  <c r="BJ101" i="20"/>
  <c r="BF101" i="20"/>
  <c r="E101" i="20"/>
  <c r="BV100" i="20"/>
  <c r="BT100" i="20"/>
  <c r="BS100" i="20"/>
  <c r="BR100" i="20"/>
  <c r="BP100" i="20"/>
  <c r="BO100" i="20"/>
  <c r="BM100" i="20"/>
  <c r="BL100" i="20"/>
  <c r="BK100" i="20"/>
  <c r="BJ100" i="20"/>
  <c r="BF100" i="20"/>
  <c r="E100" i="20"/>
  <c r="BV99" i="20"/>
  <c r="BT99" i="20"/>
  <c r="BS99" i="20"/>
  <c r="BR99" i="20"/>
  <c r="BP99" i="20"/>
  <c r="BO99" i="20"/>
  <c r="BM99" i="20"/>
  <c r="BL99" i="20"/>
  <c r="BK99" i="20"/>
  <c r="BJ99" i="20"/>
  <c r="BF99" i="20"/>
  <c r="E99" i="20"/>
  <c r="BV98" i="20"/>
  <c r="BT98" i="20"/>
  <c r="BS98" i="20"/>
  <c r="BR98" i="20"/>
  <c r="BF98" i="20"/>
  <c r="E98" i="20"/>
  <c r="BV97" i="20"/>
  <c r="BT97" i="20"/>
  <c r="BS97" i="20"/>
  <c r="BR97" i="20"/>
  <c r="BP97" i="20"/>
  <c r="BO97" i="20"/>
  <c r="BM97" i="20"/>
  <c r="BL97" i="20"/>
  <c r="BK97" i="20"/>
  <c r="BJ97" i="20"/>
  <c r="BF97" i="20"/>
  <c r="E97" i="20"/>
  <c r="BV96" i="20"/>
  <c r="BT96" i="20"/>
  <c r="BS96" i="20"/>
  <c r="BR96" i="20"/>
  <c r="BP96" i="20"/>
  <c r="BO96" i="20"/>
  <c r="BF96" i="20"/>
  <c r="E96" i="20"/>
  <c r="BV95" i="20"/>
  <c r="BT95" i="20"/>
  <c r="BS95" i="20"/>
  <c r="BR95" i="20"/>
  <c r="BP95" i="20"/>
  <c r="BO95" i="20"/>
  <c r="BM95" i="20"/>
  <c r="BK95" i="20"/>
  <c r="BF95" i="20"/>
  <c r="E95" i="20"/>
  <c r="BV94" i="20"/>
  <c r="BT94" i="20"/>
  <c r="BS94" i="20"/>
  <c r="BR94" i="20"/>
  <c r="BP94" i="20"/>
  <c r="BO94" i="20"/>
  <c r="BM94" i="20"/>
  <c r="BL94" i="20"/>
  <c r="BK94" i="20"/>
  <c r="BJ94" i="20"/>
  <c r="BF94" i="20"/>
  <c r="E94" i="20"/>
  <c r="BV93" i="20"/>
  <c r="BT93" i="20"/>
  <c r="BS93" i="20"/>
  <c r="BR93" i="20"/>
  <c r="BF93" i="20"/>
  <c r="E93" i="20"/>
  <c r="BV92" i="20"/>
  <c r="BT92" i="20"/>
  <c r="BS92" i="20"/>
  <c r="BR92" i="20"/>
  <c r="BP92" i="20"/>
  <c r="BO92" i="20"/>
  <c r="BM92" i="20"/>
  <c r="BL92" i="20"/>
  <c r="BK92" i="20"/>
  <c r="BJ92" i="20"/>
  <c r="BF92" i="20"/>
  <c r="E92" i="20"/>
  <c r="BV91" i="20"/>
  <c r="BT91" i="20"/>
  <c r="BS91" i="20"/>
  <c r="BR91" i="20"/>
  <c r="BM91" i="20"/>
  <c r="BL91" i="20"/>
  <c r="BK91" i="20"/>
  <c r="BJ91" i="20"/>
  <c r="BF91" i="20"/>
  <c r="E91" i="20"/>
  <c r="BV90" i="20"/>
  <c r="BT90" i="20"/>
  <c r="BS90" i="20"/>
  <c r="BR90" i="20"/>
  <c r="BP90" i="20"/>
  <c r="BO90" i="20"/>
  <c r="BF90" i="20"/>
  <c r="E90" i="20"/>
  <c r="BV89" i="20"/>
  <c r="BT89" i="20"/>
  <c r="BS89" i="20"/>
  <c r="BR89" i="20"/>
  <c r="BP89" i="20"/>
  <c r="BO89" i="20"/>
  <c r="BM89" i="20"/>
  <c r="BL89" i="20"/>
  <c r="BK89" i="20"/>
  <c r="BJ89" i="20"/>
  <c r="BF89" i="20"/>
  <c r="E89" i="20"/>
  <c r="BV88" i="20"/>
  <c r="BT88" i="20"/>
  <c r="BS88" i="20"/>
  <c r="BR88" i="20"/>
  <c r="BP88" i="20"/>
  <c r="BO88" i="20"/>
  <c r="BM88" i="20"/>
  <c r="BL88" i="20"/>
  <c r="BK88" i="20"/>
  <c r="BJ88" i="20"/>
  <c r="BF88" i="20"/>
  <c r="E88" i="20"/>
  <c r="BV87" i="20"/>
  <c r="BT87" i="20"/>
  <c r="BS87" i="20"/>
  <c r="BR87" i="20"/>
  <c r="BP87" i="20"/>
  <c r="BO87" i="20"/>
  <c r="BM87" i="20"/>
  <c r="BL87" i="20"/>
  <c r="BK87" i="20"/>
  <c r="BJ87" i="20"/>
  <c r="BF87" i="20"/>
  <c r="E87" i="20"/>
  <c r="BV86" i="20"/>
  <c r="BT86" i="20"/>
  <c r="BS86" i="20"/>
  <c r="BR86" i="20"/>
  <c r="BP86" i="20"/>
  <c r="BO86" i="20"/>
  <c r="BM86" i="20"/>
  <c r="BL86" i="20"/>
  <c r="BK86" i="20"/>
  <c r="BJ86" i="20"/>
  <c r="BF86" i="20"/>
  <c r="E86" i="20"/>
  <c r="BV85" i="20"/>
  <c r="BT85" i="20"/>
  <c r="BS85" i="20"/>
  <c r="BR85" i="20"/>
  <c r="BP85" i="20"/>
  <c r="BO85" i="20"/>
  <c r="BM85" i="20"/>
  <c r="BL85" i="20"/>
  <c r="BK85" i="20"/>
  <c r="BJ85" i="20"/>
  <c r="BF85" i="20"/>
  <c r="E85" i="20"/>
  <c r="BV84" i="20"/>
  <c r="BT84" i="20"/>
  <c r="BS84" i="20"/>
  <c r="BR84" i="20"/>
  <c r="BF84" i="20"/>
  <c r="E84" i="20"/>
  <c r="BV83" i="20"/>
  <c r="BT83" i="20"/>
  <c r="BS83" i="20"/>
  <c r="BR83" i="20"/>
  <c r="BP83" i="20"/>
  <c r="BO83" i="20"/>
  <c r="BM83" i="20"/>
  <c r="BL83" i="20"/>
  <c r="BK83" i="20"/>
  <c r="BJ83" i="20"/>
  <c r="BF83" i="20"/>
  <c r="E83" i="20"/>
  <c r="BV82" i="20"/>
  <c r="BT82" i="20"/>
  <c r="BS82" i="20"/>
  <c r="BR82" i="20"/>
  <c r="BP82" i="20"/>
  <c r="BO82" i="20"/>
  <c r="BM82" i="20"/>
  <c r="BK82" i="20"/>
  <c r="BF82" i="20"/>
  <c r="E82" i="20"/>
  <c r="BV81" i="20"/>
  <c r="BT81" i="20"/>
  <c r="BS81" i="20"/>
  <c r="BR81" i="20"/>
  <c r="BP81" i="20"/>
  <c r="BO81" i="20"/>
  <c r="BM81" i="20"/>
  <c r="BL81" i="20"/>
  <c r="BK81" i="20"/>
  <c r="BJ81" i="20"/>
  <c r="BF81" i="20"/>
  <c r="E81" i="20"/>
  <c r="BV80" i="20"/>
  <c r="BT80" i="20"/>
  <c r="BS80" i="20"/>
  <c r="BR80" i="20"/>
  <c r="BP80" i="20"/>
  <c r="BO80" i="20"/>
  <c r="BM80" i="20"/>
  <c r="BL80" i="20"/>
  <c r="BK80" i="20"/>
  <c r="BJ80" i="20"/>
  <c r="BF80" i="20"/>
  <c r="E80" i="20"/>
  <c r="BV79" i="20"/>
  <c r="BT79" i="20"/>
  <c r="BS79" i="20"/>
  <c r="BR79" i="20"/>
  <c r="BF79" i="20"/>
  <c r="E79" i="20"/>
  <c r="BV78" i="20"/>
  <c r="BT78" i="20"/>
  <c r="BS78" i="20"/>
  <c r="BR78" i="20"/>
  <c r="BP78" i="20"/>
  <c r="BO78" i="20"/>
  <c r="BM78" i="20"/>
  <c r="BL78" i="20"/>
  <c r="BK78" i="20"/>
  <c r="BJ78" i="20"/>
  <c r="BF78" i="20"/>
  <c r="E78" i="20"/>
  <c r="BV77" i="20"/>
  <c r="BT77" i="20"/>
  <c r="BS77" i="20"/>
  <c r="BR77" i="20"/>
  <c r="BP77" i="20"/>
  <c r="BO77" i="20"/>
  <c r="BM77" i="20"/>
  <c r="BL77" i="20"/>
  <c r="BK77" i="20"/>
  <c r="BJ77" i="20"/>
  <c r="BF77" i="20"/>
  <c r="E77" i="20"/>
  <c r="BV76" i="20"/>
  <c r="BT76" i="20"/>
  <c r="BS76" i="20"/>
  <c r="BR76" i="20"/>
  <c r="BF76" i="20"/>
  <c r="E76" i="20"/>
  <c r="BV75" i="20"/>
  <c r="BT75" i="20"/>
  <c r="BS75" i="20"/>
  <c r="BR75" i="20"/>
  <c r="BP75" i="20"/>
  <c r="BO75" i="20"/>
  <c r="BM75" i="20"/>
  <c r="BL75" i="20"/>
  <c r="BK75" i="20"/>
  <c r="BJ75" i="20"/>
  <c r="BF75" i="20"/>
  <c r="E75" i="20"/>
  <c r="BV74" i="20"/>
  <c r="BT74" i="20"/>
  <c r="BS74" i="20"/>
  <c r="BR74" i="20"/>
  <c r="BP74" i="20"/>
  <c r="BO74" i="20"/>
  <c r="BL74" i="20"/>
  <c r="BJ74" i="20"/>
  <c r="BF74" i="20"/>
  <c r="E74" i="20"/>
  <c r="BV73" i="20"/>
  <c r="BT73" i="20"/>
  <c r="BS73" i="20"/>
  <c r="BR73" i="20"/>
  <c r="BP73" i="20"/>
  <c r="BO73" i="20"/>
  <c r="BL73" i="20"/>
  <c r="BJ73" i="20"/>
  <c r="BF73" i="20"/>
  <c r="E73" i="20"/>
  <c r="BV72" i="20"/>
  <c r="BT72" i="20"/>
  <c r="BS72" i="20"/>
  <c r="BR72" i="20"/>
  <c r="BP72" i="20"/>
  <c r="BO72" i="20"/>
  <c r="BM72" i="20"/>
  <c r="BL72" i="20"/>
  <c r="BK72" i="20"/>
  <c r="BJ72" i="20"/>
  <c r="BF72" i="20"/>
  <c r="E72" i="20"/>
  <c r="BV71" i="20"/>
  <c r="BT71" i="20"/>
  <c r="BS71" i="20"/>
  <c r="BR71" i="20"/>
  <c r="BF71" i="20"/>
  <c r="E71" i="20"/>
  <c r="BV70" i="20"/>
  <c r="BT70" i="20"/>
  <c r="BS70" i="20"/>
  <c r="BR70" i="20"/>
  <c r="BP70" i="20"/>
  <c r="BO70" i="20"/>
  <c r="BM70" i="20"/>
  <c r="BL70" i="20"/>
  <c r="BK70" i="20"/>
  <c r="BJ70" i="20"/>
  <c r="BF70" i="20"/>
  <c r="E70" i="20"/>
  <c r="BV69" i="20"/>
  <c r="BT69" i="20"/>
  <c r="BS69" i="20"/>
  <c r="BR69" i="20"/>
  <c r="BP69" i="20"/>
  <c r="BO69" i="20"/>
  <c r="BM69" i="20"/>
  <c r="BL69" i="20"/>
  <c r="BK69" i="20"/>
  <c r="BJ69" i="20"/>
  <c r="BF69" i="20"/>
  <c r="E69" i="20"/>
  <c r="BV68" i="20"/>
  <c r="BT68" i="20"/>
  <c r="BS68" i="20"/>
  <c r="BR68" i="20"/>
  <c r="BP68" i="20"/>
  <c r="BO68" i="20"/>
  <c r="BM68" i="20"/>
  <c r="BL68" i="20"/>
  <c r="BJ68" i="20"/>
  <c r="BF68" i="20"/>
  <c r="E68" i="20"/>
  <c r="BV67" i="20"/>
  <c r="BT67" i="20"/>
  <c r="BS67" i="20"/>
  <c r="BR67" i="20"/>
  <c r="BP67" i="20"/>
  <c r="BO67" i="20"/>
  <c r="BM67" i="20"/>
  <c r="BL67" i="20"/>
  <c r="BK67" i="20"/>
  <c r="BJ67" i="20"/>
  <c r="BF67" i="20"/>
  <c r="E67" i="20"/>
  <c r="BV66" i="20"/>
  <c r="BT66" i="20"/>
  <c r="BS66" i="20"/>
  <c r="BR66" i="20"/>
  <c r="BM66" i="20"/>
  <c r="BL66" i="20"/>
  <c r="BK66" i="20"/>
  <c r="BJ66" i="20"/>
  <c r="BF66" i="20"/>
  <c r="E66" i="20"/>
  <c r="BV65" i="20"/>
  <c r="BT65" i="20"/>
  <c r="BS65" i="20"/>
  <c r="BR65" i="20"/>
  <c r="BP65" i="20"/>
  <c r="BO65" i="20"/>
  <c r="BM65" i="20"/>
  <c r="BL65" i="20"/>
  <c r="BK65" i="20"/>
  <c r="BJ65" i="20"/>
  <c r="BF65" i="20"/>
  <c r="E65" i="20"/>
  <c r="BV64" i="20"/>
  <c r="BT64" i="20"/>
  <c r="BS64" i="20"/>
  <c r="BR64" i="20"/>
  <c r="BP64" i="20"/>
  <c r="BO64" i="20"/>
  <c r="BM64" i="20"/>
  <c r="BL64" i="20"/>
  <c r="BK64" i="20"/>
  <c r="BJ64" i="20"/>
  <c r="BF64" i="20"/>
  <c r="E64" i="20"/>
  <c r="BV63" i="20"/>
  <c r="BT63" i="20"/>
  <c r="BS63" i="20"/>
  <c r="BR63" i="20"/>
  <c r="BP63" i="20"/>
  <c r="BO63" i="20"/>
  <c r="BM63" i="20"/>
  <c r="BK63" i="20"/>
  <c r="BF63" i="20"/>
  <c r="E63" i="20"/>
  <c r="BV62" i="20"/>
  <c r="BT62" i="20"/>
  <c r="BS62" i="20"/>
  <c r="BR62" i="20"/>
  <c r="BP62" i="20"/>
  <c r="BO62" i="20"/>
  <c r="BM62" i="20"/>
  <c r="BL62" i="20"/>
  <c r="BK62" i="20"/>
  <c r="BJ62" i="20"/>
  <c r="BF62" i="20"/>
  <c r="E62" i="20"/>
  <c r="BV61" i="20"/>
  <c r="BT61" i="20"/>
  <c r="BS61" i="20"/>
  <c r="BR61" i="20"/>
  <c r="BP61" i="20"/>
  <c r="BO61" i="20"/>
  <c r="BM61" i="20"/>
  <c r="BL61" i="20"/>
  <c r="BK61" i="20"/>
  <c r="BJ61" i="20"/>
  <c r="BF61" i="20"/>
  <c r="E61" i="20"/>
  <c r="BV60" i="20"/>
  <c r="BT60" i="20"/>
  <c r="BS60" i="20"/>
  <c r="BR60" i="20"/>
  <c r="BP60" i="20"/>
  <c r="BO60" i="20"/>
  <c r="BM60" i="20"/>
  <c r="BL60" i="20"/>
  <c r="BK60" i="20"/>
  <c r="BJ60" i="20"/>
  <c r="BF60" i="20"/>
  <c r="E60" i="20"/>
  <c r="BV59" i="20"/>
  <c r="BT59" i="20"/>
  <c r="BS59" i="20"/>
  <c r="BR59" i="20"/>
  <c r="BP59" i="20"/>
  <c r="BO59" i="20"/>
  <c r="BM59" i="20"/>
  <c r="BL59" i="20"/>
  <c r="BK59" i="20"/>
  <c r="BJ59" i="20"/>
  <c r="BF59" i="20"/>
  <c r="E59" i="20"/>
  <c r="BV58" i="20"/>
  <c r="BT58" i="20"/>
  <c r="BS58" i="20"/>
  <c r="BR58" i="20"/>
  <c r="BP58" i="20"/>
  <c r="BO58" i="20"/>
  <c r="BM58" i="20"/>
  <c r="BL58" i="20"/>
  <c r="BK58" i="20"/>
  <c r="BJ58" i="20"/>
  <c r="BF58" i="20"/>
  <c r="E58" i="20"/>
  <c r="BV57" i="20"/>
  <c r="BT57" i="20"/>
  <c r="BS57" i="20"/>
  <c r="BR57" i="20"/>
  <c r="BP57" i="20"/>
  <c r="BO57" i="20"/>
  <c r="BM57" i="20"/>
  <c r="BL57" i="20"/>
  <c r="BK57" i="20"/>
  <c r="BJ57" i="20"/>
  <c r="BF57" i="20"/>
  <c r="E57" i="20"/>
  <c r="BV56" i="20"/>
  <c r="BT56" i="20"/>
  <c r="BS56" i="20"/>
  <c r="BR56" i="20"/>
  <c r="BP56" i="20"/>
  <c r="BO56" i="20"/>
  <c r="BM56" i="20"/>
  <c r="BL56" i="20"/>
  <c r="BK56" i="20"/>
  <c r="BJ56" i="20"/>
  <c r="BF56" i="20"/>
  <c r="E56" i="20"/>
  <c r="BV55" i="20"/>
  <c r="BT55" i="20"/>
  <c r="BS55" i="20"/>
  <c r="BR55" i="20"/>
  <c r="BP55" i="20"/>
  <c r="BO55" i="20"/>
  <c r="BM55" i="20"/>
  <c r="BL55" i="20"/>
  <c r="BK55" i="20"/>
  <c r="BJ55" i="20"/>
  <c r="BF55" i="20"/>
  <c r="E55" i="20"/>
  <c r="BV54" i="20"/>
  <c r="BT54" i="20"/>
  <c r="BS54" i="20"/>
  <c r="BR54" i="20"/>
  <c r="BP54" i="20"/>
  <c r="BO54" i="20"/>
  <c r="BL54" i="20"/>
  <c r="BK54" i="20"/>
  <c r="BJ54" i="20"/>
  <c r="BF54" i="20"/>
  <c r="E54" i="20"/>
  <c r="BV53" i="20"/>
  <c r="BT53" i="20"/>
  <c r="BS53" i="20"/>
  <c r="BR53" i="20"/>
  <c r="BP53" i="20"/>
  <c r="BO53" i="20"/>
  <c r="BM53" i="20"/>
  <c r="BL53" i="20"/>
  <c r="BK53" i="20"/>
  <c r="BJ53" i="20"/>
  <c r="BF53" i="20"/>
  <c r="E53" i="20"/>
  <c r="BV52" i="20"/>
  <c r="BT52" i="20"/>
  <c r="BS52" i="20"/>
  <c r="BR52" i="20"/>
  <c r="BP52" i="20"/>
  <c r="BL52" i="20"/>
  <c r="BJ52" i="20"/>
  <c r="BF52" i="20"/>
  <c r="E52" i="20"/>
  <c r="BV51" i="20"/>
  <c r="BT51" i="20"/>
  <c r="BS51" i="20"/>
  <c r="BR51" i="20"/>
  <c r="BP51" i="20"/>
  <c r="BO51" i="20"/>
  <c r="BF51" i="20"/>
  <c r="E51" i="20"/>
  <c r="BV50" i="20"/>
  <c r="BT50" i="20"/>
  <c r="BS50" i="20"/>
  <c r="BR50" i="20"/>
  <c r="BM50" i="20"/>
  <c r="BL50" i="20"/>
  <c r="BK50" i="20"/>
  <c r="BJ50" i="20"/>
  <c r="BF50" i="20"/>
  <c r="E50" i="20"/>
  <c r="BV49" i="20"/>
  <c r="BT49" i="20"/>
  <c r="BS49" i="20"/>
  <c r="BR49" i="20"/>
  <c r="BP49" i="20"/>
  <c r="BO49" i="20"/>
  <c r="BM49" i="20"/>
  <c r="BK49" i="20"/>
  <c r="BF49" i="20"/>
  <c r="E49" i="20"/>
  <c r="BV48" i="20"/>
  <c r="BT48" i="20"/>
  <c r="BS48" i="20"/>
  <c r="BR48" i="20"/>
  <c r="BP48" i="20"/>
  <c r="BO48" i="20"/>
  <c r="BM48" i="20"/>
  <c r="BK48" i="20"/>
  <c r="BF48" i="20"/>
  <c r="E48" i="20"/>
  <c r="BV47" i="20"/>
  <c r="BT47" i="20"/>
  <c r="BS47" i="20"/>
  <c r="BR47" i="20"/>
  <c r="BP47" i="20"/>
  <c r="BO47" i="20"/>
  <c r="BM47" i="20"/>
  <c r="BK47" i="20"/>
  <c r="BF47" i="20"/>
  <c r="E47" i="20"/>
  <c r="BV46" i="20"/>
  <c r="BT46" i="20"/>
  <c r="BS46" i="20"/>
  <c r="BR46" i="20"/>
  <c r="BP46" i="20"/>
  <c r="BO46" i="20"/>
  <c r="BM46" i="20"/>
  <c r="BL46" i="20"/>
  <c r="BK46" i="20"/>
  <c r="BJ46" i="20"/>
  <c r="BF46" i="20"/>
  <c r="E46" i="20"/>
  <c r="BV45" i="20"/>
  <c r="BT45" i="20"/>
  <c r="BS45" i="20"/>
  <c r="BR45" i="20"/>
  <c r="BP45" i="20"/>
  <c r="BO45" i="20"/>
  <c r="BM45" i="20"/>
  <c r="BL45" i="20"/>
  <c r="BK45" i="20"/>
  <c r="BJ45" i="20"/>
  <c r="BF45" i="20"/>
  <c r="E45" i="20"/>
  <c r="BV44" i="20"/>
  <c r="BT44" i="20"/>
  <c r="BS44" i="20"/>
  <c r="BR44" i="20"/>
  <c r="BP44" i="20"/>
  <c r="BO44" i="20"/>
  <c r="BM44" i="20"/>
  <c r="BL44" i="20"/>
  <c r="BK44" i="20"/>
  <c r="BJ44" i="20"/>
  <c r="BF44" i="20"/>
  <c r="E44" i="20"/>
  <c r="BV43" i="20"/>
  <c r="BT43" i="20"/>
  <c r="BS43" i="20"/>
  <c r="BR43" i="20"/>
  <c r="BP43" i="20"/>
  <c r="BO43" i="20"/>
  <c r="BF43" i="20"/>
  <c r="E43" i="20"/>
  <c r="BV42" i="20"/>
  <c r="BT42" i="20"/>
  <c r="BS42" i="20"/>
  <c r="BR42" i="20"/>
  <c r="BF42" i="20"/>
  <c r="E42" i="20"/>
  <c r="BV41" i="20"/>
  <c r="BT41" i="20"/>
  <c r="BS41" i="20"/>
  <c r="BR41" i="20"/>
  <c r="BP41" i="20"/>
  <c r="BO41" i="20"/>
  <c r="BM41" i="20"/>
  <c r="BL41" i="20"/>
  <c r="BK41" i="20"/>
  <c r="BJ41" i="20"/>
  <c r="BF41" i="20"/>
  <c r="E41" i="20"/>
  <c r="BV40" i="20"/>
  <c r="BT40" i="20"/>
  <c r="BS40" i="20"/>
  <c r="BR40" i="20"/>
  <c r="BP40" i="20"/>
  <c r="BO40" i="20"/>
  <c r="BM40" i="20"/>
  <c r="BL40" i="20"/>
  <c r="BK40" i="20"/>
  <c r="BJ40" i="20"/>
  <c r="BF40" i="20"/>
  <c r="E40" i="20"/>
  <c r="BV39" i="20"/>
  <c r="BT39" i="20"/>
  <c r="BS39" i="20"/>
  <c r="BR39" i="20"/>
  <c r="BP39" i="20"/>
  <c r="BO39" i="20"/>
  <c r="BM39" i="20"/>
  <c r="BL39" i="20"/>
  <c r="BK39" i="20"/>
  <c r="BJ39" i="20"/>
  <c r="BF39" i="20"/>
  <c r="E39" i="20"/>
  <c r="BV38" i="20"/>
  <c r="BT38" i="20"/>
  <c r="BS38" i="20"/>
  <c r="BR38" i="20"/>
  <c r="BP38" i="20"/>
  <c r="BO38" i="20"/>
  <c r="BM38" i="20"/>
  <c r="BL38" i="20"/>
  <c r="BK38" i="20"/>
  <c r="BJ38" i="20"/>
  <c r="BF38" i="20"/>
  <c r="E38" i="20"/>
  <c r="BV37" i="20"/>
  <c r="BT37" i="20"/>
  <c r="BS37" i="20"/>
  <c r="BR37" i="20"/>
  <c r="BP37" i="20"/>
  <c r="BO37" i="20"/>
  <c r="BM37" i="20"/>
  <c r="BL37" i="20"/>
  <c r="BK37" i="20"/>
  <c r="BJ37" i="20"/>
  <c r="BF37" i="20"/>
  <c r="E37" i="20"/>
  <c r="BV36" i="20"/>
  <c r="BT36" i="20"/>
  <c r="BS36" i="20"/>
  <c r="BR36" i="20"/>
  <c r="BP36" i="20"/>
  <c r="BO36" i="20"/>
  <c r="BM36" i="20"/>
  <c r="BL36" i="20"/>
  <c r="BK36" i="20"/>
  <c r="BJ36" i="20"/>
  <c r="BF36" i="20"/>
  <c r="E36" i="20"/>
  <c r="BV35" i="20"/>
  <c r="BT35" i="20"/>
  <c r="BS35" i="20"/>
  <c r="BR35" i="20"/>
  <c r="BP35" i="20"/>
  <c r="BO35" i="20"/>
  <c r="BM35" i="20"/>
  <c r="BL35" i="20"/>
  <c r="BK35" i="20"/>
  <c r="BJ35" i="20"/>
  <c r="BF35" i="20"/>
  <c r="E35" i="20"/>
  <c r="BV34" i="20"/>
  <c r="BT34" i="20"/>
  <c r="BS34" i="20"/>
  <c r="BR34" i="20"/>
  <c r="BP34" i="20"/>
  <c r="BO34" i="20"/>
  <c r="BL34" i="20"/>
  <c r="BJ34" i="20"/>
  <c r="BF34" i="20"/>
  <c r="E34" i="20"/>
  <c r="BV33" i="20"/>
  <c r="BT33" i="20"/>
  <c r="BS33" i="20"/>
  <c r="BR33" i="20"/>
  <c r="BP33" i="20"/>
  <c r="BO33" i="20"/>
  <c r="BM33" i="20"/>
  <c r="BL33" i="20"/>
  <c r="BK33" i="20"/>
  <c r="BJ33" i="20"/>
  <c r="BF33" i="20"/>
  <c r="E33" i="20"/>
  <c r="BV32" i="20"/>
  <c r="BT32" i="20"/>
  <c r="BS32" i="20"/>
  <c r="BR32" i="20"/>
  <c r="BP32" i="20"/>
  <c r="BO32" i="20"/>
  <c r="BM32" i="20"/>
  <c r="BL32" i="20"/>
  <c r="BK32" i="20"/>
  <c r="BJ32" i="20"/>
  <c r="BF32" i="20"/>
  <c r="E32" i="20"/>
  <c r="BV31" i="20"/>
  <c r="BT31" i="20"/>
  <c r="BS31" i="20"/>
  <c r="BR31" i="20"/>
  <c r="BP31" i="20"/>
  <c r="BO31" i="20"/>
  <c r="BM31" i="20"/>
  <c r="BL31" i="20"/>
  <c r="BK31" i="20"/>
  <c r="BJ31" i="20"/>
  <c r="BF31" i="20"/>
  <c r="E31" i="20"/>
  <c r="BV30" i="20"/>
  <c r="BT30" i="20"/>
  <c r="BS30" i="20"/>
  <c r="BR30" i="20"/>
  <c r="BP30" i="20"/>
  <c r="BO30" i="20"/>
  <c r="BM30" i="20"/>
  <c r="BL30" i="20"/>
  <c r="BK30" i="20"/>
  <c r="BJ30" i="20"/>
  <c r="BF30" i="20"/>
  <c r="E30" i="20"/>
  <c r="BV29" i="20"/>
  <c r="BT29" i="20"/>
  <c r="BS29" i="20"/>
  <c r="BR29" i="20"/>
  <c r="BF29" i="20"/>
  <c r="E29" i="20"/>
  <c r="BV28" i="20"/>
  <c r="BT28" i="20"/>
  <c r="BS28" i="20"/>
  <c r="BR28" i="20"/>
  <c r="BP28" i="20"/>
  <c r="BO28" i="20"/>
  <c r="BM28" i="20"/>
  <c r="BL28" i="20"/>
  <c r="BK28" i="20"/>
  <c r="BJ28" i="20"/>
  <c r="BF28" i="20"/>
  <c r="E28" i="20"/>
  <c r="BV27" i="20"/>
  <c r="BT27" i="20"/>
  <c r="BS27" i="20"/>
  <c r="BR27" i="20"/>
  <c r="BP27" i="20"/>
  <c r="BO27" i="20"/>
  <c r="BM27" i="20"/>
  <c r="BL27" i="20"/>
  <c r="BK27" i="20"/>
  <c r="BJ27" i="20"/>
  <c r="BF27" i="20"/>
  <c r="E27" i="20"/>
  <c r="BV26" i="20"/>
  <c r="BT26" i="20"/>
  <c r="BS26" i="20"/>
  <c r="BR26" i="20"/>
  <c r="BP26" i="20"/>
  <c r="BO26" i="20"/>
  <c r="BM26" i="20"/>
  <c r="BL26" i="20"/>
  <c r="BK26" i="20"/>
  <c r="BJ26" i="20"/>
  <c r="BF26" i="20"/>
  <c r="E26" i="20"/>
  <c r="BV25" i="20"/>
  <c r="BT25" i="20"/>
  <c r="BS25" i="20"/>
  <c r="BR25" i="20"/>
  <c r="BP25" i="20"/>
  <c r="BO25" i="20"/>
  <c r="BM25" i="20"/>
  <c r="BK25" i="20"/>
  <c r="BF25" i="20"/>
  <c r="E25" i="20"/>
  <c r="BV24" i="20"/>
  <c r="BT24" i="20"/>
  <c r="BS24" i="20"/>
  <c r="BR24" i="20"/>
  <c r="BP24" i="20"/>
  <c r="BO24" i="20"/>
  <c r="BM24" i="20"/>
  <c r="BL24" i="20"/>
  <c r="BK24" i="20"/>
  <c r="BJ24" i="20"/>
  <c r="BF24" i="20"/>
  <c r="E24" i="20"/>
  <c r="BV23" i="20"/>
  <c r="BT23" i="20"/>
  <c r="BS23" i="20"/>
  <c r="BR23" i="20"/>
  <c r="BP23" i="20"/>
  <c r="BO23" i="20"/>
  <c r="BM23" i="20"/>
  <c r="BL23" i="20"/>
  <c r="BK23" i="20"/>
  <c r="BJ23" i="20"/>
  <c r="BF23" i="20"/>
  <c r="E23" i="20"/>
  <c r="BV22" i="20"/>
  <c r="BT22" i="20"/>
  <c r="BS22" i="20"/>
  <c r="BR22" i="20"/>
  <c r="BP22" i="20"/>
  <c r="BO22" i="20"/>
  <c r="BM22" i="20"/>
  <c r="BL22" i="20"/>
  <c r="BK22" i="20"/>
  <c r="BJ22" i="20"/>
  <c r="BF22" i="20"/>
  <c r="E22" i="20"/>
  <c r="BV21" i="20"/>
  <c r="BT21" i="20"/>
  <c r="BS21" i="20"/>
  <c r="BR21" i="20"/>
  <c r="BP21" i="20"/>
  <c r="BO21" i="20"/>
  <c r="BF21" i="20"/>
  <c r="E21" i="20"/>
  <c r="BV20" i="20"/>
  <c r="BT20" i="20"/>
  <c r="BS20" i="20"/>
  <c r="BR20" i="20"/>
  <c r="BP20" i="20"/>
  <c r="BO20" i="20"/>
  <c r="BM20" i="20"/>
  <c r="BL20" i="20"/>
  <c r="BK20" i="20"/>
  <c r="BJ20" i="20"/>
  <c r="BF20" i="20"/>
  <c r="E20" i="20"/>
  <c r="BV19" i="20"/>
  <c r="BT19" i="20"/>
  <c r="BS19" i="20"/>
  <c r="BR19" i="20"/>
  <c r="BF19" i="20"/>
  <c r="E19" i="20"/>
  <c r="BV18" i="20"/>
  <c r="BT18" i="20"/>
  <c r="BS18" i="20"/>
  <c r="BR18" i="20"/>
  <c r="BP18" i="20"/>
  <c r="BO18" i="20"/>
  <c r="BM18" i="20"/>
  <c r="BL18" i="20"/>
  <c r="BK18" i="20"/>
  <c r="BJ18" i="20"/>
  <c r="BF18" i="20"/>
  <c r="E18" i="20"/>
  <c r="BV17" i="20"/>
  <c r="BT17" i="20"/>
  <c r="BS17" i="20"/>
  <c r="BR17" i="20"/>
  <c r="BF17" i="20"/>
  <c r="E17" i="20"/>
  <c r="BV16" i="20"/>
  <c r="BT16" i="20"/>
  <c r="BS16" i="20"/>
  <c r="BR16" i="20"/>
  <c r="BP16" i="20"/>
  <c r="BO16" i="20"/>
  <c r="BM16" i="20"/>
  <c r="BL16" i="20"/>
  <c r="BK16" i="20"/>
  <c r="BJ16" i="20"/>
  <c r="BF16" i="20"/>
  <c r="E16" i="20"/>
  <c r="BV15" i="20"/>
  <c r="BT15" i="20"/>
  <c r="BS15" i="20"/>
  <c r="BR15" i="20"/>
  <c r="BP15" i="20"/>
  <c r="BO15" i="20"/>
  <c r="BL15" i="20"/>
  <c r="BJ15" i="20"/>
  <c r="BF15" i="20"/>
  <c r="E15" i="20"/>
  <c r="BV14" i="20"/>
  <c r="BT14" i="20"/>
  <c r="BS14" i="20"/>
  <c r="BR14" i="20"/>
  <c r="BP14" i="20"/>
  <c r="BO14" i="20"/>
  <c r="BM14" i="20"/>
  <c r="BL14" i="20"/>
  <c r="BK14" i="20"/>
  <c r="BJ14" i="20"/>
  <c r="BF14" i="20"/>
  <c r="E14" i="20"/>
  <c r="BV13" i="20"/>
  <c r="BT13" i="20"/>
  <c r="BS13" i="20"/>
  <c r="BR13" i="20"/>
  <c r="BF13" i="20"/>
  <c r="E13" i="20"/>
  <c r="BV12" i="20"/>
  <c r="BT12" i="20"/>
  <c r="BS12" i="20"/>
  <c r="BR12" i="20"/>
  <c r="BP12" i="20"/>
  <c r="BO12" i="20"/>
  <c r="BL12" i="20"/>
  <c r="BJ12" i="20"/>
  <c r="BF12" i="20"/>
  <c r="E12" i="20"/>
  <c r="BV11" i="20"/>
  <c r="BT11" i="20"/>
  <c r="BS11" i="20"/>
  <c r="BR11" i="20"/>
  <c r="BP11" i="20"/>
  <c r="BO11" i="20"/>
  <c r="BM11" i="20"/>
  <c r="BL11" i="20"/>
  <c r="BK11" i="20"/>
  <c r="BJ11" i="20"/>
  <c r="BF11" i="20"/>
  <c r="E11" i="20"/>
  <c r="BV10" i="20"/>
  <c r="BT10" i="20"/>
  <c r="BS10" i="20"/>
  <c r="BR10" i="20"/>
  <c r="BP10" i="20"/>
  <c r="BO10" i="20"/>
  <c r="BM10" i="20"/>
  <c r="BL10" i="20"/>
  <c r="BK10" i="20"/>
  <c r="BJ10" i="20"/>
  <c r="BF10" i="20"/>
  <c r="E10" i="20"/>
  <c r="BV9" i="20"/>
  <c r="BT9" i="20"/>
  <c r="BS9" i="20"/>
  <c r="BR9" i="20"/>
  <c r="BP9" i="20"/>
  <c r="BO9" i="20"/>
  <c r="BM9" i="20"/>
  <c r="BL9" i="20"/>
  <c r="BK9" i="20"/>
  <c r="BJ9" i="20"/>
  <c r="BF9" i="20"/>
  <c r="E9" i="20"/>
  <c r="BV8" i="20"/>
  <c r="BT8" i="20"/>
  <c r="BS8" i="20"/>
  <c r="BR8" i="20"/>
  <c r="BP8" i="20"/>
  <c r="BO8" i="20"/>
  <c r="BM8" i="20"/>
  <c r="BL8" i="20"/>
  <c r="BK8" i="20"/>
  <c r="BJ8" i="20"/>
  <c r="BF8" i="20"/>
  <c r="E8" i="20"/>
  <c r="BV7" i="20"/>
  <c r="BT7" i="20"/>
  <c r="BS7" i="20"/>
  <c r="BR7" i="20"/>
  <c r="BP7" i="20"/>
  <c r="BO7" i="20"/>
  <c r="BL7" i="20"/>
  <c r="BJ7" i="20"/>
  <c r="BF7" i="20"/>
  <c r="E7" i="20"/>
  <c r="BV6" i="20"/>
  <c r="BT6" i="20"/>
  <c r="BS6" i="20"/>
  <c r="BR6" i="20"/>
  <c r="BP6" i="20"/>
  <c r="BO6" i="20"/>
  <c r="BM6" i="20"/>
  <c r="BL6" i="20"/>
  <c r="BK6" i="20"/>
  <c r="BJ6" i="20"/>
  <c r="BF6" i="20"/>
  <c r="E6" i="20"/>
  <c r="BV5" i="20"/>
  <c r="BT5" i="20"/>
  <c r="BS5" i="20"/>
  <c r="BR5" i="20"/>
  <c r="BP5" i="20"/>
  <c r="BO5" i="20"/>
  <c r="BM5" i="20"/>
  <c r="BL5" i="20"/>
  <c r="BK5" i="20"/>
  <c r="BJ5" i="20"/>
  <c r="BF5" i="20"/>
  <c r="E5" i="20"/>
  <c r="BV4" i="20"/>
  <c r="BT4" i="20"/>
  <c r="BS4" i="20"/>
  <c r="BR4" i="20"/>
  <c r="BF4" i="20"/>
  <c r="E4" i="20"/>
  <c r="BV3" i="20"/>
  <c r="BT3" i="20"/>
  <c r="BS3" i="20"/>
  <c r="BR3" i="20"/>
  <c r="BF3" i="20"/>
  <c r="E3" i="20"/>
  <c r="BV2" i="20"/>
  <c r="BT2" i="20"/>
  <c r="BS2" i="20"/>
  <c r="BR2" i="20"/>
  <c r="BP2" i="20"/>
  <c r="BO2" i="20"/>
  <c r="BM2" i="20"/>
  <c r="BL2" i="20"/>
  <c r="BK2" i="20"/>
  <c r="BJ2" i="20"/>
  <c r="BF2" i="20"/>
  <c r="E2" i="20"/>
  <c r="AT65" i="4"/>
  <c r="AT66" i="4"/>
  <c r="AT129" i="4"/>
  <c r="AT130" i="4"/>
  <c r="AT193" i="4"/>
  <c r="AT194" i="4"/>
  <c r="AR3"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R59" i="4"/>
  <c r="AR60" i="4"/>
  <c r="AR61" i="4"/>
  <c r="AR62" i="4"/>
  <c r="AR63" i="4"/>
  <c r="AR64" i="4"/>
  <c r="AR65" i="4"/>
  <c r="AR66" i="4"/>
  <c r="AR67" i="4"/>
  <c r="AR68" i="4"/>
  <c r="AR69" i="4"/>
  <c r="AR70" i="4"/>
  <c r="AR71" i="4"/>
  <c r="AR72" i="4"/>
  <c r="AR73" i="4"/>
  <c r="AR74" i="4"/>
  <c r="AR75" i="4"/>
  <c r="AR76" i="4"/>
  <c r="AR77" i="4"/>
  <c r="AR78" i="4"/>
  <c r="AR79" i="4"/>
  <c r="AR80" i="4"/>
  <c r="AR81" i="4"/>
  <c r="AR82" i="4"/>
  <c r="AR83" i="4"/>
  <c r="AR84" i="4"/>
  <c r="AR85" i="4"/>
  <c r="AR86" i="4"/>
  <c r="AR87" i="4"/>
  <c r="AR88" i="4"/>
  <c r="AR89" i="4"/>
  <c r="AR90" i="4"/>
  <c r="AR91" i="4"/>
  <c r="AR92" i="4"/>
  <c r="AR93" i="4"/>
  <c r="AR94" i="4"/>
  <c r="AR95" i="4"/>
  <c r="AR96" i="4"/>
  <c r="AR97" i="4"/>
  <c r="AR98" i="4"/>
  <c r="AR99" i="4"/>
  <c r="AR100" i="4"/>
  <c r="AR101" i="4"/>
  <c r="AR102" i="4"/>
  <c r="AR103" i="4"/>
  <c r="AR104" i="4"/>
  <c r="AR105" i="4"/>
  <c r="AR106" i="4"/>
  <c r="AR107" i="4"/>
  <c r="AR108" i="4"/>
  <c r="AR109" i="4"/>
  <c r="AR110" i="4"/>
  <c r="AR111" i="4"/>
  <c r="AR112" i="4"/>
  <c r="AR113" i="4"/>
  <c r="AR114" i="4"/>
  <c r="AR115" i="4"/>
  <c r="AR116" i="4"/>
  <c r="AR117" i="4"/>
  <c r="AR118" i="4"/>
  <c r="AR119" i="4"/>
  <c r="AR120" i="4"/>
  <c r="AR121" i="4"/>
  <c r="AR122" i="4"/>
  <c r="AR123" i="4"/>
  <c r="AR124" i="4"/>
  <c r="AR125" i="4"/>
  <c r="AR126" i="4"/>
  <c r="AR127" i="4"/>
  <c r="AR128" i="4"/>
  <c r="AR129" i="4"/>
  <c r="AR130" i="4"/>
  <c r="AR131" i="4"/>
  <c r="AR132" i="4"/>
  <c r="AR133" i="4"/>
  <c r="AR134" i="4"/>
  <c r="AR135" i="4"/>
  <c r="AR136" i="4"/>
  <c r="AR137" i="4"/>
  <c r="AR138" i="4"/>
  <c r="AR139" i="4"/>
  <c r="AR140" i="4"/>
  <c r="AR141" i="4"/>
  <c r="AR142" i="4"/>
  <c r="AR143" i="4"/>
  <c r="AR144" i="4"/>
  <c r="AR145" i="4"/>
  <c r="AR146" i="4"/>
  <c r="AR147" i="4"/>
  <c r="AR148" i="4"/>
  <c r="AR149" i="4"/>
  <c r="AR150" i="4"/>
  <c r="AR151" i="4"/>
  <c r="AR152" i="4"/>
  <c r="AR153" i="4"/>
  <c r="AR154" i="4"/>
  <c r="AR155" i="4"/>
  <c r="AR156" i="4"/>
  <c r="AR157" i="4"/>
  <c r="AR158" i="4"/>
  <c r="AR159" i="4"/>
  <c r="AR160" i="4"/>
  <c r="AR161" i="4"/>
  <c r="AR162" i="4"/>
  <c r="AR163" i="4"/>
  <c r="AR164" i="4"/>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AR223" i="4"/>
  <c r="AR224" i="4"/>
  <c r="AR225" i="4"/>
  <c r="AR226" i="4"/>
  <c r="AR227" i="4"/>
  <c r="AR228" i="4"/>
  <c r="AR229" i="4"/>
  <c r="AR230" i="4"/>
  <c r="AR231" i="4"/>
  <c r="AR232" i="4"/>
  <c r="AR233" i="4"/>
  <c r="AR234" i="4"/>
  <c r="AR235" i="4"/>
  <c r="AR236" i="4"/>
  <c r="AR237" i="4"/>
  <c r="AR238" i="4"/>
  <c r="AR239" i="4"/>
  <c r="AR240" i="4"/>
  <c r="AR241" i="4"/>
  <c r="AR242" i="4"/>
  <c r="AR243" i="4"/>
  <c r="AR244" i="4"/>
  <c r="AR245" i="4"/>
  <c r="AR246" i="4"/>
  <c r="AR247" i="4"/>
  <c r="AR2" i="4"/>
  <c r="AQ3" i="4"/>
  <c r="AQ4" i="4"/>
  <c r="AQ5" i="4"/>
  <c r="AQ6" i="4"/>
  <c r="AQ7" i="4"/>
  <c r="AT7" i="4" s="1"/>
  <c r="AQ8" i="4"/>
  <c r="AT8" i="4" s="1"/>
  <c r="AQ9" i="4"/>
  <c r="AT9" i="4" s="1"/>
  <c r="AQ10" i="4"/>
  <c r="AT10" i="4" s="1"/>
  <c r="AQ11" i="4"/>
  <c r="AQ12" i="4"/>
  <c r="AQ13" i="4"/>
  <c r="AQ14" i="4"/>
  <c r="AQ15" i="4"/>
  <c r="AT15" i="4" s="1"/>
  <c r="AQ16" i="4"/>
  <c r="AT16" i="4" s="1"/>
  <c r="AQ17" i="4"/>
  <c r="AT17" i="4" s="1"/>
  <c r="AQ18" i="4"/>
  <c r="AT18" i="4" s="1"/>
  <c r="AQ19" i="4"/>
  <c r="AQ20" i="4"/>
  <c r="AQ21" i="4"/>
  <c r="AQ22" i="4"/>
  <c r="AQ23" i="4"/>
  <c r="AT23" i="4" s="1"/>
  <c r="AQ24" i="4"/>
  <c r="AT24" i="4" s="1"/>
  <c r="AQ25" i="4"/>
  <c r="AT25" i="4" s="1"/>
  <c r="AQ26" i="4"/>
  <c r="AT26" i="4" s="1"/>
  <c r="AQ27" i="4"/>
  <c r="AQ28" i="4"/>
  <c r="AQ29" i="4"/>
  <c r="AQ30" i="4"/>
  <c r="AQ31" i="4"/>
  <c r="AT31" i="4" s="1"/>
  <c r="AQ32" i="4"/>
  <c r="AT32" i="4" s="1"/>
  <c r="AQ33" i="4"/>
  <c r="AT33" i="4" s="1"/>
  <c r="AQ34" i="4"/>
  <c r="AT34" i="4" s="1"/>
  <c r="AQ35" i="4"/>
  <c r="AQ36" i="4"/>
  <c r="AQ37" i="4"/>
  <c r="AQ38" i="4"/>
  <c r="AQ39" i="4"/>
  <c r="AT39" i="4" s="1"/>
  <c r="AQ40" i="4"/>
  <c r="AT40" i="4" s="1"/>
  <c r="AQ41" i="4"/>
  <c r="AT41" i="4" s="1"/>
  <c r="AQ42" i="4"/>
  <c r="AT42" i="4" s="1"/>
  <c r="AQ43" i="4"/>
  <c r="AQ44" i="4"/>
  <c r="AQ45" i="4"/>
  <c r="AQ46" i="4"/>
  <c r="AQ47" i="4"/>
  <c r="AT47" i="4" s="1"/>
  <c r="AQ48" i="4"/>
  <c r="AT48" i="4" s="1"/>
  <c r="AQ49" i="4"/>
  <c r="AT49" i="4" s="1"/>
  <c r="AQ50" i="4"/>
  <c r="AT50" i="4" s="1"/>
  <c r="AQ51" i="4"/>
  <c r="AQ52" i="4"/>
  <c r="AQ53" i="4"/>
  <c r="AQ54" i="4"/>
  <c r="AQ55" i="4"/>
  <c r="AT55" i="4" s="1"/>
  <c r="AQ56" i="4"/>
  <c r="AT56" i="4" s="1"/>
  <c r="AQ57" i="4"/>
  <c r="AT57" i="4" s="1"/>
  <c r="AQ58" i="4"/>
  <c r="AT58" i="4" s="1"/>
  <c r="AQ59" i="4"/>
  <c r="AQ60" i="4"/>
  <c r="AQ61" i="4"/>
  <c r="AQ62" i="4"/>
  <c r="AQ63" i="4"/>
  <c r="AT63" i="4" s="1"/>
  <c r="AQ64" i="4"/>
  <c r="AT64" i="4" s="1"/>
  <c r="AQ65" i="4"/>
  <c r="AQ66" i="4"/>
  <c r="AQ67" i="4"/>
  <c r="AQ68" i="4"/>
  <c r="AQ69" i="4"/>
  <c r="AQ70" i="4"/>
  <c r="AQ71" i="4"/>
  <c r="AT71" i="4" s="1"/>
  <c r="AQ72" i="4"/>
  <c r="AT72" i="4" s="1"/>
  <c r="AQ73" i="4"/>
  <c r="AT73" i="4" s="1"/>
  <c r="AQ74" i="4"/>
  <c r="AT74" i="4" s="1"/>
  <c r="AQ75" i="4"/>
  <c r="AQ76" i="4"/>
  <c r="AQ77" i="4"/>
  <c r="AQ78" i="4"/>
  <c r="AQ79" i="4"/>
  <c r="AT79" i="4" s="1"/>
  <c r="AQ80" i="4"/>
  <c r="AT80" i="4" s="1"/>
  <c r="AQ81" i="4"/>
  <c r="AT81" i="4" s="1"/>
  <c r="AQ82" i="4"/>
  <c r="AT82" i="4" s="1"/>
  <c r="AQ83" i="4"/>
  <c r="AQ84" i="4"/>
  <c r="AQ85" i="4"/>
  <c r="AQ86" i="4"/>
  <c r="AQ87" i="4"/>
  <c r="AT87" i="4" s="1"/>
  <c r="AQ88" i="4"/>
  <c r="AT88" i="4" s="1"/>
  <c r="AQ89" i="4"/>
  <c r="AT89" i="4" s="1"/>
  <c r="AQ90" i="4"/>
  <c r="AT90" i="4" s="1"/>
  <c r="AQ91" i="4"/>
  <c r="AQ92" i="4"/>
  <c r="AQ93" i="4"/>
  <c r="AQ94" i="4"/>
  <c r="AQ95" i="4"/>
  <c r="AT95" i="4" s="1"/>
  <c r="AQ96" i="4"/>
  <c r="AT96" i="4" s="1"/>
  <c r="AQ97" i="4"/>
  <c r="AT97" i="4" s="1"/>
  <c r="AQ98" i="4"/>
  <c r="AT98" i="4" s="1"/>
  <c r="AQ99" i="4"/>
  <c r="AQ100" i="4"/>
  <c r="AQ101" i="4"/>
  <c r="AQ102" i="4"/>
  <c r="AQ103" i="4"/>
  <c r="AT103" i="4" s="1"/>
  <c r="AQ104" i="4"/>
  <c r="AT104" i="4" s="1"/>
  <c r="AQ105" i="4"/>
  <c r="AT105" i="4" s="1"/>
  <c r="AQ106" i="4"/>
  <c r="AT106" i="4" s="1"/>
  <c r="AQ107" i="4"/>
  <c r="AQ108" i="4"/>
  <c r="AQ109" i="4"/>
  <c r="AQ110" i="4"/>
  <c r="AQ111" i="4"/>
  <c r="AT111" i="4" s="1"/>
  <c r="AQ112" i="4"/>
  <c r="AT112" i="4" s="1"/>
  <c r="AQ113" i="4"/>
  <c r="AT113" i="4" s="1"/>
  <c r="AQ114" i="4"/>
  <c r="AT114" i="4" s="1"/>
  <c r="AQ115" i="4"/>
  <c r="AQ116" i="4"/>
  <c r="AQ117" i="4"/>
  <c r="AQ118" i="4"/>
  <c r="AQ119" i="4"/>
  <c r="AT119" i="4" s="1"/>
  <c r="AQ120" i="4"/>
  <c r="AT120" i="4" s="1"/>
  <c r="AQ121" i="4"/>
  <c r="AT121" i="4" s="1"/>
  <c r="AQ122" i="4"/>
  <c r="AT122" i="4" s="1"/>
  <c r="AQ123" i="4"/>
  <c r="AQ124" i="4"/>
  <c r="AQ125" i="4"/>
  <c r="AQ126" i="4"/>
  <c r="AQ127" i="4"/>
  <c r="AT127" i="4" s="1"/>
  <c r="AQ128" i="4"/>
  <c r="AT128" i="4" s="1"/>
  <c r="AQ129" i="4"/>
  <c r="AQ130" i="4"/>
  <c r="AQ131" i="4"/>
  <c r="AQ132" i="4"/>
  <c r="AQ133" i="4"/>
  <c r="AQ134" i="4"/>
  <c r="AQ135" i="4"/>
  <c r="AT135" i="4" s="1"/>
  <c r="AQ136" i="4"/>
  <c r="AT136" i="4" s="1"/>
  <c r="AQ137" i="4"/>
  <c r="AT137" i="4" s="1"/>
  <c r="AQ138" i="4"/>
  <c r="AT138" i="4" s="1"/>
  <c r="AQ139" i="4"/>
  <c r="AQ140" i="4"/>
  <c r="AQ141" i="4"/>
  <c r="AQ142" i="4"/>
  <c r="AQ143" i="4"/>
  <c r="AT143" i="4" s="1"/>
  <c r="AQ144" i="4"/>
  <c r="AT144" i="4" s="1"/>
  <c r="AQ145" i="4"/>
  <c r="AT145" i="4" s="1"/>
  <c r="AQ146" i="4"/>
  <c r="AT146" i="4" s="1"/>
  <c r="AQ147" i="4"/>
  <c r="AQ148" i="4"/>
  <c r="AQ149" i="4"/>
  <c r="AQ150" i="4"/>
  <c r="AQ151" i="4"/>
  <c r="AT151" i="4" s="1"/>
  <c r="AQ152" i="4"/>
  <c r="AT152" i="4" s="1"/>
  <c r="AQ153" i="4"/>
  <c r="AT153" i="4" s="1"/>
  <c r="AQ154" i="4"/>
  <c r="AT154" i="4" s="1"/>
  <c r="AQ155" i="4"/>
  <c r="AQ156" i="4"/>
  <c r="AQ157" i="4"/>
  <c r="AQ158" i="4"/>
  <c r="AQ159" i="4"/>
  <c r="AT159" i="4" s="1"/>
  <c r="AQ160" i="4"/>
  <c r="AT160" i="4" s="1"/>
  <c r="AQ161" i="4"/>
  <c r="AT161" i="4" s="1"/>
  <c r="AQ162" i="4"/>
  <c r="AT162" i="4" s="1"/>
  <c r="AQ163" i="4"/>
  <c r="AQ164" i="4"/>
  <c r="AQ165" i="4"/>
  <c r="AQ166" i="4"/>
  <c r="AQ167" i="4"/>
  <c r="AT167" i="4" s="1"/>
  <c r="AQ168" i="4"/>
  <c r="AT168" i="4" s="1"/>
  <c r="AQ169" i="4"/>
  <c r="AT169" i="4" s="1"/>
  <c r="AQ170" i="4"/>
  <c r="AT170" i="4" s="1"/>
  <c r="AQ171" i="4"/>
  <c r="AQ172" i="4"/>
  <c r="AQ173" i="4"/>
  <c r="AQ174" i="4"/>
  <c r="AQ175" i="4"/>
  <c r="AT175" i="4" s="1"/>
  <c r="AQ176" i="4"/>
  <c r="AT176" i="4" s="1"/>
  <c r="AQ177" i="4"/>
  <c r="AT177" i="4" s="1"/>
  <c r="AQ178" i="4"/>
  <c r="AT178" i="4" s="1"/>
  <c r="AQ179" i="4"/>
  <c r="AQ180" i="4"/>
  <c r="AQ181" i="4"/>
  <c r="AQ182" i="4"/>
  <c r="AQ183" i="4"/>
  <c r="AT183" i="4" s="1"/>
  <c r="AQ184" i="4"/>
  <c r="AT184" i="4" s="1"/>
  <c r="AQ185" i="4"/>
  <c r="AT185" i="4" s="1"/>
  <c r="AQ186" i="4"/>
  <c r="AT186" i="4" s="1"/>
  <c r="AQ187" i="4"/>
  <c r="AQ188" i="4"/>
  <c r="AQ189" i="4"/>
  <c r="AQ190" i="4"/>
  <c r="AQ191" i="4"/>
  <c r="AT191" i="4" s="1"/>
  <c r="AQ192" i="4"/>
  <c r="AT192" i="4" s="1"/>
  <c r="AQ193" i="4"/>
  <c r="AQ194" i="4"/>
  <c r="AQ195" i="4"/>
  <c r="AQ196" i="4"/>
  <c r="AQ197" i="4"/>
  <c r="AQ198" i="4"/>
  <c r="AQ199" i="4"/>
  <c r="AT199" i="4" s="1"/>
  <c r="AQ200" i="4"/>
  <c r="AT200" i="4" s="1"/>
  <c r="AQ201" i="4"/>
  <c r="AT201" i="4" s="1"/>
  <c r="AQ202" i="4"/>
  <c r="AT202" i="4" s="1"/>
  <c r="AQ203" i="4"/>
  <c r="AQ204" i="4"/>
  <c r="AQ205" i="4"/>
  <c r="AQ206" i="4"/>
  <c r="AQ207" i="4"/>
  <c r="AT207" i="4" s="1"/>
  <c r="AQ208" i="4"/>
  <c r="AT208" i="4" s="1"/>
  <c r="AQ209" i="4"/>
  <c r="AT209" i="4" s="1"/>
  <c r="AQ210" i="4"/>
  <c r="AT210" i="4" s="1"/>
  <c r="AQ211" i="4"/>
  <c r="AQ212" i="4"/>
  <c r="AQ213" i="4"/>
  <c r="AQ214" i="4"/>
  <c r="AQ215" i="4"/>
  <c r="AT215" i="4" s="1"/>
  <c r="AQ216" i="4"/>
  <c r="AT216" i="4" s="1"/>
  <c r="AQ217" i="4"/>
  <c r="AT217" i="4" s="1"/>
  <c r="AQ218" i="4"/>
  <c r="AT218" i="4" s="1"/>
  <c r="AQ219" i="4"/>
  <c r="AQ220" i="4"/>
  <c r="AQ221" i="4"/>
  <c r="AQ222" i="4"/>
  <c r="AQ223" i="4"/>
  <c r="AT223" i="4" s="1"/>
  <c r="AQ224" i="4"/>
  <c r="AT224" i="4" s="1"/>
  <c r="AQ225" i="4"/>
  <c r="AT225" i="4" s="1"/>
  <c r="AQ226" i="4"/>
  <c r="AT226" i="4" s="1"/>
  <c r="AQ227" i="4"/>
  <c r="AQ228" i="4"/>
  <c r="AQ229" i="4"/>
  <c r="AQ230" i="4"/>
  <c r="AQ231" i="4"/>
  <c r="AT231" i="4" s="1"/>
  <c r="AQ232" i="4"/>
  <c r="AT232" i="4" s="1"/>
  <c r="AQ233" i="4"/>
  <c r="AT233" i="4" s="1"/>
  <c r="AQ234" i="4"/>
  <c r="AT234" i="4" s="1"/>
  <c r="AQ235" i="4"/>
  <c r="AQ236" i="4"/>
  <c r="AQ237" i="4"/>
  <c r="AQ238" i="4"/>
  <c r="AQ239" i="4"/>
  <c r="AT239" i="4" s="1"/>
  <c r="AQ240" i="4"/>
  <c r="AT240" i="4" s="1"/>
  <c r="AQ241" i="4"/>
  <c r="AT241" i="4" s="1"/>
  <c r="AQ242" i="4"/>
  <c r="AT242" i="4" s="1"/>
  <c r="AQ243" i="4"/>
  <c r="AQ244" i="4"/>
  <c r="AQ245" i="4"/>
  <c r="AQ246" i="4"/>
  <c r="AQ247" i="4"/>
  <c r="AT247" i="4" s="1"/>
  <c r="AQ2" i="4"/>
  <c r="AT2" i="4" s="1"/>
  <c r="BN143" i="20" l="1"/>
  <c r="BN153" i="20"/>
  <c r="BQ233" i="20"/>
  <c r="BU164" i="20"/>
  <c r="BW164" i="20" s="1"/>
  <c r="BU136" i="20"/>
  <c r="BW136" i="20" s="1"/>
  <c r="BU154" i="20"/>
  <c r="BW154" i="20" s="1"/>
  <c r="BQ213" i="20"/>
  <c r="BN9" i="20"/>
  <c r="BQ35" i="20"/>
  <c r="BQ202" i="20"/>
  <c r="BN234" i="20"/>
  <c r="BU5" i="20"/>
  <c r="BW5" i="20" s="1"/>
  <c r="BU29" i="20"/>
  <c r="BW29" i="20" s="1"/>
  <c r="BN44" i="20"/>
  <c r="BQ56" i="20"/>
  <c r="BQ61" i="20"/>
  <c r="BQ62" i="20"/>
  <c r="BQ100" i="20"/>
  <c r="BU114" i="20"/>
  <c r="BW114" i="20" s="1"/>
  <c r="BQ123" i="20"/>
  <c r="BN175" i="20"/>
  <c r="BN191" i="20"/>
  <c r="BQ87" i="20"/>
  <c r="BN22" i="20"/>
  <c r="BN24" i="20"/>
  <c r="BQ26" i="20"/>
  <c r="BQ166" i="20"/>
  <c r="BQ170" i="20"/>
  <c r="BQ197" i="20"/>
  <c r="BN56" i="20"/>
  <c r="BN112" i="20"/>
  <c r="BQ134" i="20"/>
  <c r="BN180" i="20"/>
  <c r="BN111" i="20"/>
  <c r="BQ34" i="20"/>
  <c r="BQ77" i="20"/>
  <c r="BQ78" i="20"/>
  <c r="BQ92" i="20"/>
  <c r="BQ183" i="20"/>
  <c r="BQ184" i="20"/>
  <c r="BN88" i="20"/>
  <c r="BN94" i="20"/>
  <c r="BU81" i="20"/>
  <c r="BW81" i="20" s="1"/>
  <c r="BQ101" i="20"/>
  <c r="BQ121" i="20"/>
  <c r="BQ130" i="20"/>
  <c r="BQ132" i="20"/>
  <c r="BN179" i="20"/>
  <c r="BU49" i="20"/>
  <c r="BW49" i="20" s="1"/>
  <c r="BN32" i="20"/>
  <c r="BQ47" i="20"/>
  <c r="BN77" i="20"/>
  <c r="BQ103" i="20"/>
  <c r="BU112" i="20"/>
  <c r="BW112" i="20" s="1"/>
  <c r="BU152" i="20"/>
  <c r="BW152" i="20" s="1"/>
  <c r="BN160" i="20"/>
  <c r="BN183" i="20"/>
  <c r="BQ191" i="20"/>
  <c r="BQ243" i="20"/>
  <c r="BN209" i="20"/>
  <c r="BQ30" i="20"/>
  <c r="BN53" i="20"/>
  <c r="BQ73" i="20"/>
  <c r="BN100" i="20"/>
  <c r="BU143" i="20"/>
  <c r="BW143" i="20" s="1"/>
  <c r="BN202" i="20"/>
  <c r="BN203" i="20"/>
  <c r="BN214" i="20"/>
  <c r="BQ58" i="20"/>
  <c r="BU64" i="20"/>
  <c r="BW64" i="20" s="1"/>
  <c r="BN114" i="20"/>
  <c r="BN132" i="20"/>
  <c r="BN149" i="20"/>
  <c r="BN151" i="20"/>
  <c r="BN152" i="20"/>
  <c r="BN216" i="20"/>
  <c r="BN220" i="20"/>
  <c r="BN221" i="20"/>
  <c r="BQ68" i="20"/>
  <c r="BQ186" i="20"/>
  <c r="BN188" i="20"/>
  <c r="BQ72" i="20"/>
  <c r="BQ83" i="20"/>
  <c r="BQ105" i="20"/>
  <c r="BQ117" i="20"/>
  <c r="BQ129" i="20"/>
  <c r="BQ131" i="20"/>
  <c r="BU178" i="20"/>
  <c r="BW178" i="20" s="1"/>
  <c r="BQ189" i="20"/>
  <c r="BQ194" i="20"/>
  <c r="BQ210" i="20"/>
  <c r="BQ226" i="20"/>
  <c r="BQ228" i="20"/>
  <c r="BU28" i="20"/>
  <c r="BW28" i="20" s="1"/>
  <c r="BU39" i="20"/>
  <c r="BW39" i="20" s="1"/>
  <c r="BU58" i="20"/>
  <c r="BW58" i="20" s="1"/>
  <c r="BU83" i="20"/>
  <c r="BW83" i="20" s="1"/>
  <c r="BN99" i="20"/>
  <c r="BU105" i="20"/>
  <c r="BW105" i="20" s="1"/>
  <c r="BN147" i="20"/>
  <c r="BQ149" i="20"/>
  <c r="BU167" i="20"/>
  <c r="BW167" i="20" s="1"/>
  <c r="BU187" i="20"/>
  <c r="BW187" i="20" s="1"/>
  <c r="BN192" i="20"/>
  <c r="BQ201" i="20"/>
  <c r="BU208" i="20"/>
  <c r="BW208" i="20" s="1"/>
  <c r="BU227" i="20"/>
  <c r="BW227" i="20" s="1"/>
  <c r="BU235" i="20"/>
  <c r="BW235" i="20" s="1"/>
  <c r="BU237" i="20"/>
  <c r="BW237" i="20" s="1"/>
  <c r="BU21" i="20"/>
  <c r="BW21" i="20" s="1"/>
  <c r="BQ23" i="20"/>
  <c r="BQ41" i="20"/>
  <c r="BN104" i="20"/>
  <c r="BU149" i="20"/>
  <c r="BW149" i="20" s="1"/>
  <c r="BN171" i="20"/>
  <c r="BU201" i="20"/>
  <c r="BW201" i="20" s="1"/>
  <c r="BU207" i="20"/>
  <c r="BW207" i="20" s="1"/>
  <c r="BU211" i="20"/>
  <c r="BW211" i="20" s="1"/>
  <c r="BU18" i="20"/>
  <c r="BW18" i="20" s="1"/>
  <c r="BU6" i="20"/>
  <c r="BW6" i="20" s="1"/>
  <c r="BU9" i="20"/>
  <c r="BW9" i="20" s="1"/>
  <c r="BU22" i="20"/>
  <c r="BW22" i="20" s="1"/>
  <c r="BU54" i="20"/>
  <c r="BW54" i="20" s="1"/>
  <c r="BN67" i="20"/>
  <c r="BU90" i="20"/>
  <c r="BW90" i="20" s="1"/>
  <c r="BN140" i="20"/>
  <c r="BU150" i="20"/>
  <c r="BW150" i="20" s="1"/>
  <c r="BQ154" i="20"/>
  <c r="BU169" i="20"/>
  <c r="BW169" i="20" s="1"/>
  <c r="BN185" i="20"/>
  <c r="BN217" i="20"/>
  <c r="BQ222" i="20"/>
  <c r="BN224" i="20"/>
  <c r="BU233" i="20"/>
  <c r="BW233" i="20" s="1"/>
  <c r="BN243" i="20"/>
  <c r="BU177" i="20"/>
  <c r="BW177" i="20" s="1"/>
  <c r="BN218" i="20"/>
  <c r="BU222" i="20"/>
  <c r="BW222" i="20" s="1"/>
  <c r="BN194" i="20"/>
  <c r="BN226" i="20"/>
  <c r="BN228" i="20"/>
  <c r="BN16" i="20"/>
  <c r="BU26" i="20"/>
  <c r="BW26" i="20" s="1"/>
  <c r="BU30" i="20"/>
  <c r="BW30" i="20" s="1"/>
  <c r="BN33" i="20"/>
  <c r="BN40" i="20"/>
  <c r="BQ46" i="20"/>
  <c r="BQ57" i="20"/>
  <c r="BN69" i="20"/>
  <c r="BN72" i="20"/>
  <c r="BQ97" i="20"/>
  <c r="BQ112" i="20"/>
  <c r="BQ126" i="20"/>
  <c r="BN131" i="20"/>
  <c r="BQ140" i="20"/>
  <c r="BQ173" i="20"/>
  <c r="BN236" i="20"/>
  <c r="BN41" i="20"/>
  <c r="BU55" i="20"/>
  <c r="BW55" i="20" s="1"/>
  <c r="BN64" i="20"/>
  <c r="BU66" i="20"/>
  <c r="BW66" i="20" s="1"/>
  <c r="BN68" i="20"/>
  <c r="BU70" i="20"/>
  <c r="BW70" i="20" s="1"/>
  <c r="BN78" i="20"/>
  <c r="BN80" i="20"/>
  <c r="BN86" i="20"/>
  <c r="BQ135" i="20"/>
  <c r="BU142" i="20"/>
  <c r="BW142" i="20" s="1"/>
  <c r="BQ143" i="20"/>
  <c r="BU225" i="20"/>
  <c r="BW225" i="20" s="1"/>
  <c r="BU107" i="20"/>
  <c r="BW107" i="20" s="1"/>
  <c r="BN167" i="20"/>
  <c r="BN173" i="20"/>
  <c r="BU183" i="20"/>
  <c r="BW183" i="20" s="1"/>
  <c r="BN184" i="20"/>
  <c r="BN233" i="20"/>
  <c r="BN245" i="20"/>
  <c r="BN27" i="20"/>
  <c r="BN38" i="20"/>
  <c r="BU43" i="20"/>
  <c r="BW43" i="20" s="1"/>
  <c r="BU47" i="20"/>
  <c r="BW47" i="20" s="1"/>
  <c r="BU48" i="20"/>
  <c r="BW48" i="20" s="1"/>
  <c r="BQ59" i="20"/>
  <c r="BN65" i="20"/>
  <c r="BU73" i="20"/>
  <c r="BW73" i="20" s="1"/>
  <c r="BU74" i="20"/>
  <c r="BW74" i="20" s="1"/>
  <c r="BU94" i="20"/>
  <c r="BW94" i="20" s="1"/>
  <c r="BU100" i="20"/>
  <c r="BW100" i="20" s="1"/>
  <c r="BU106" i="20"/>
  <c r="BW106" i="20" s="1"/>
  <c r="BN110" i="20"/>
  <c r="BN113" i="20"/>
  <c r="BU123" i="20"/>
  <c r="BW123" i="20" s="1"/>
  <c r="BN136" i="20"/>
  <c r="BU137" i="20"/>
  <c r="BW137" i="20" s="1"/>
  <c r="BN141" i="20"/>
  <c r="BQ145" i="20"/>
  <c r="BN146" i="20"/>
  <c r="BU147" i="20"/>
  <c r="BW147" i="20" s="1"/>
  <c r="BQ156" i="20"/>
  <c r="BU161" i="20"/>
  <c r="BW161" i="20" s="1"/>
  <c r="BN168" i="20"/>
  <c r="BQ187" i="20"/>
  <c r="BQ196" i="20"/>
  <c r="BN205" i="20"/>
  <c r="BN213" i="20"/>
  <c r="BQ223" i="20"/>
  <c r="BU238" i="20"/>
  <c r="BW238" i="20" s="1"/>
  <c r="BQ239" i="20"/>
  <c r="BN240" i="20"/>
  <c r="BQ242" i="20"/>
  <c r="BU244" i="20"/>
  <c r="BW244" i="20" s="1"/>
  <c r="BU246" i="20"/>
  <c r="BW246" i="20" s="1"/>
  <c r="BU59" i="20"/>
  <c r="BW59" i="20" s="1"/>
  <c r="BU62" i="20"/>
  <c r="BW62" i="20" s="1"/>
  <c r="BU63" i="20"/>
  <c r="BW63" i="20" s="1"/>
  <c r="BU67" i="20"/>
  <c r="BW67" i="20" s="1"/>
  <c r="BN101" i="20"/>
  <c r="BU130" i="20"/>
  <c r="BW130" i="20" s="1"/>
  <c r="BU140" i="20"/>
  <c r="BW140" i="20" s="1"/>
  <c r="BU144" i="20"/>
  <c r="BW144" i="20" s="1"/>
  <c r="BU212" i="20"/>
  <c r="BW212" i="20" s="1"/>
  <c r="BQ217" i="20"/>
  <c r="BQ220" i="20"/>
  <c r="BU230" i="20"/>
  <c r="BW230" i="20" s="1"/>
  <c r="BQ245" i="20"/>
  <c r="BQ8" i="20"/>
  <c r="BQ32" i="20"/>
  <c r="BU42" i="20"/>
  <c r="BW42" i="20" s="1"/>
  <c r="BN127" i="20"/>
  <c r="BN133" i="20"/>
  <c r="BN142" i="20"/>
  <c r="BQ151" i="20"/>
  <c r="BU175" i="20"/>
  <c r="BW175" i="20" s="1"/>
  <c r="BU193" i="20"/>
  <c r="BW193" i="20" s="1"/>
  <c r="BU196" i="20"/>
  <c r="BW196" i="20" s="1"/>
  <c r="BU210" i="20"/>
  <c r="BW210" i="20" s="1"/>
  <c r="BU217" i="20"/>
  <c r="BW217" i="20" s="1"/>
  <c r="BU220" i="20"/>
  <c r="BW220" i="20" s="1"/>
  <c r="BU239" i="20"/>
  <c r="BW239" i="20" s="1"/>
  <c r="BQ240" i="20"/>
  <c r="BU245" i="20"/>
  <c r="BW245" i="20" s="1"/>
  <c r="BQ11" i="20"/>
  <c r="BN5" i="20"/>
  <c r="BU7" i="20"/>
  <c r="BW7" i="20" s="1"/>
  <c r="BU11" i="20"/>
  <c r="BW11" i="20" s="1"/>
  <c r="BN30" i="20"/>
  <c r="BN36" i="20"/>
  <c r="BN39" i="20"/>
  <c r="BQ54" i="20"/>
  <c r="BN55" i="20"/>
  <c r="BU60" i="20"/>
  <c r="BW60" i="20" s="1"/>
  <c r="BU68" i="20"/>
  <c r="BW68" i="20" s="1"/>
  <c r="BQ96" i="20"/>
  <c r="BU108" i="20"/>
  <c r="BW108" i="20" s="1"/>
  <c r="BQ110" i="20"/>
  <c r="BU113" i="20"/>
  <c r="BW113" i="20" s="1"/>
  <c r="BU153" i="20"/>
  <c r="BU173" i="20"/>
  <c r="BW173" i="20" s="1"/>
  <c r="BN174" i="20"/>
  <c r="BQ179" i="20"/>
  <c r="BU184" i="20"/>
  <c r="BW184" i="20" s="1"/>
  <c r="BN186" i="20"/>
  <c r="BN190" i="20"/>
  <c r="BU197" i="20"/>
  <c r="BW197" i="20" s="1"/>
  <c r="BN201" i="20"/>
  <c r="BU202" i="20"/>
  <c r="BW202" i="20" s="1"/>
  <c r="BN222" i="20"/>
  <c r="BQ224" i="20"/>
  <c r="BU231" i="20"/>
  <c r="BW231" i="20" s="1"/>
  <c r="BU80" i="20"/>
  <c r="BW80" i="20" s="1"/>
  <c r="BU86" i="20"/>
  <c r="BW86" i="20" s="1"/>
  <c r="BU91" i="20"/>
  <c r="BW91" i="20" s="1"/>
  <c r="BU93" i="20"/>
  <c r="BW93" i="20" s="1"/>
  <c r="BU179" i="20"/>
  <c r="BW179" i="20" s="1"/>
  <c r="BU198" i="20"/>
  <c r="BW198" i="20" s="1"/>
  <c r="BU224" i="20"/>
  <c r="BW224" i="20" s="1"/>
  <c r="BU12" i="20"/>
  <c r="BW12" i="20" s="1"/>
  <c r="BU14" i="20"/>
  <c r="BW14" i="20" s="1"/>
  <c r="BU15" i="20"/>
  <c r="BW15" i="20" s="1"/>
  <c r="BN10" i="20"/>
  <c r="BQ16" i="20"/>
  <c r="BQ25" i="20"/>
  <c r="BQ33" i="20"/>
  <c r="BU35" i="20"/>
  <c r="BW35" i="20" s="1"/>
  <c r="BQ39" i="20"/>
  <c r="BU45" i="20"/>
  <c r="BW45" i="20" s="1"/>
  <c r="BQ70" i="20"/>
  <c r="BU99" i="20"/>
  <c r="BW99" i="20" s="1"/>
  <c r="BN108" i="20"/>
  <c r="BU116" i="20"/>
  <c r="BW116" i="20" s="1"/>
  <c r="BU122" i="20"/>
  <c r="BW122" i="20" s="1"/>
  <c r="BQ133" i="20"/>
  <c r="BU139" i="20"/>
  <c r="BW139" i="20" s="1"/>
  <c r="BN145" i="20"/>
  <c r="BN150" i="20"/>
  <c r="BN156" i="20"/>
  <c r="BU162" i="20"/>
  <c r="BW162" i="20" s="1"/>
  <c r="BU170" i="20"/>
  <c r="BW170" i="20" s="1"/>
  <c r="BQ171" i="20"/>
  <c r="BQ174" i="20"/>
  <c r="BN187" i="20"/>
  <c r="BU188" i="20"/>
  <c r="BW188" i="20" s="1"/>
  <c r="BU189" i="20"/>
  <c r="BW189" i="20" s="1"/>
  <c r="BU192" i="20"/>
  <c r="BW192" i="20" s="1"/>
  <c r="BU200" i="20"/>
  <c r="BW200" i="20" s="1"/>
  <c r="BU205" i="20"/>
  <c r="BW205" i="20" s="1"/>
  <c r="BU206" i="20"/>
  <c r="BW206" i="20" s="1"/>
  <c r="BQ207" i="20"/>
  <c r="BQ208" i="20"/>
  <c r="BQ219" i="20"/>
  <c r="BQ225" i="20"/>
  <c r="BU229" i="20"/>
  <c r="BW229" i="20" s="1"/>
  <c r="BQ234" i="20"/>
  <c r="BQ244" i="20"/>
  <c r="BQ20" i="20"/>
  <c r="BQ118" i="20"/>
  <c r="BN2" i="20"/>
  <c r="BU4" i="20"/>
  <c r="BW4" i="20" s="1"/>
  <c r="BU16" i="20"/>
  <c r="BW16" i="20" s="1"/>
  <c r="BN18" i="20"/>
  <c r="BU20" i="20"/>
  <c r="BW20" i="20" s="1"/>
  <c r="BU27" i="20"/>
  <c r="BW27" i="20" s="1"/>
  <c r="BN35" i="20"/>
  <c r="BQ36" i="20"/>
  <c r="BN57" i="20"/>
  <c r="BQ60" i="20"/>
  <c r="BU78" i="20"/>
  <c r="BW78" i="20" s="1"/>
  <c r="BU89" i="20"/>
  <c r="BW89" i="20" s="1"/>
  <c r="BN120" i="20"/>
  <c r="BU121" i="20"/>
  <c r="BW121" i="20" s="1"/>
  <c r="BQ81" i="20"/>
  <c r="BQ9" i="20"/>
  <c r="BQ21" i="20"/>
  <c r="BU37" i="20"/>
  <c r="BW37" i="20" s="1"/>
  <c r="BQ64" i="20"/>
  <c r="BQ6" i="20"/>
  <c r="BQ45" i="20"/>
  <c r="BU34" i="20"/>
  <c r="BW34" i="20" s="1"/>
  <c r="BQ38" i="20"/>
  <c r="BU17" i="20"/>
  <c r="BW17" i="20" s="1"/>
  <c r="BQ2" i="20"/>
  <c r="BU3" i="20"/>
  <c r="BW3" i="20" s="1"/>
  <c r="BQ5" i="20"/>
  <c r="BN11" i="20"/>
  <c r="BN23" i="20"/>
  <c r="BQ24" i="20"/>
  <c r="BU46" i="20"/>
  <c r="BW46" i="20" s="1"/>
  <c r="BU50" i="20"/>
  <c r="BW50" i="20" s="1"/>
  <c r="BU51" i="20"/>
  <c r="BW51" i="20" s="1"/>
  <c r="BN59" i="20"/>
  <c r="BU75" i="20"/>
  <c r="BW75" i="20" s="1"/>
  <c r="BU77" i="20"/>
  <c r="BW77" i="20" s="1"/>
  <c r="BN87" i="20"/>
  <c r="BQ88" i="20"/>
  <c r="BU109" i="20"/>
  <c r="BW109" i="20" s="1"/>
  <c r="BU24" i="20"/>
  <c r="BW24" i="20" s="1"/>
  <c r="BN115" i="20"/>
  <c r="BN60" i="20"/>
  <c r="BU61" i="20"/>
  <c r="BW61" i="20" s="1"/>
  <c r="BQ157" i="20"/>
  <c r="BQ109" i="20"/>
  <c r="BU2" i="20"/>
  <c r="BW2" i="20" s="1"/>
  <c r="BN8" i="20"/>
  <c r="BU10" i="20"/>
  <c r="BW10" i="20" s="1"/>
  <c r="BQ15" i="20"/>
  <c r="BQ18" i="20"/>
  <c r="BU31" i="20"/>
  <c r="BW31" i="20" s="1"/>
  <c r="BU41" i="20"/>
  <c r="BW41" i="20" s="1"/>
  <c r="BU44" i="20"/>
  <c r="BW44" i="20" s="1"/>
  <c r="BQ48" i="20"/>
  <c r="BU52" i="20"/>
  <c r="BW52" i="20" s="1"/>
  <c r="BN66" i="20"/>
  <c r="BU84" i="20"/>
  <c r="BW84" i="20" s="1"/>
  <c r="BN85" i="20"/>
  <c r="BU101" i="20"/>
  <c r="BW101" i="20" s="1"/>
  <c r="BN102" i="20"/>
  <c r="BQ120" i="20"/>
  <c r="BU115" i="20"/>
  <c r="BW115" i="20" s="1"/>
  <c r="BN117" i="20"/>
  <c r="BQ141" i="20"/>
  <c r="BU97" i="20"/>
  <c r="BW97" i="20" s="1"/>
  <c r="BU8" i="20"/>
  <c r="BW8" i="20" s="1"/>
  <c r="BN37" i="20"/>
  <c r="BU40" i="20"/>
  <c r="BW40" i="20" s="1"/>
  <c r="BN46" i="20"/>
  <c r="BQ53" i="20"/>
  <c r="BN62" i="20"/>
  <c r="BU71" i="20"/>
  <c r="BW71" i="20" s="1"/>
  <c r="BU72" i="20"/>
  <c r="BW72" i="20" s="1"/>
  <c r="BQ80" i="20"/>
  <c r="BQ82" i="20"/>
  <c r="BQ85" i="20"/>
  <c r="BN6" i="20"/>
  <c r="BQ10" i="20"/>
  <c r="BQ12" i="20"/>
  <c r="BU13" i="20"/>
  <c r="BW13" i="20" s="1"/>
  <c r="BN14" i="20"/>
  <c r="BU19" i="20"/>
  <c r="BW19" i="20" s="1"/>
  <c r="BN20" i="20"/>
  <c r="BU25" i="20"/>
  <c r="BW25" i="20" s="1"/>
  <c r="BN26" i="20"/>
  <c r="BQ27" i="20"/>
  <c r="BN28" i="20"/>
  <c r="BN31" i="20"/>
  <c r="BU33" i="20"/>
  <c r="BW33" i="20" s="1"/>
  <c r="BU38" i="20"/>
  <c r="BW38" i="20" s="1"/>
  <c r="BQ44" i="20"/>
  <c r="BU57" i="20"/>
  <c r="BW57" i="20" s="1"/>
  <c r="BN58" i="20"/>
  <c r="BN61" i="20"/>
  <c r="BQ63" i="20"/>
  <c r="BN70" i="20"/>
  <c r="BN75" i="20"/>
  <c r="BU85" i="20"/>
  <c r="BW85" i="20" s="1"/>
  <c r="BQ114" i="20"/>
  <c r="BQ119" i="20"/>
  <c r="BU125" i="20"/>
  <c r="BW125" i="20" s="1"/>
  <c r="BU32" i="20"/>
  <c r="BW32" i="20" s="1"/>
  <c r="BN45" i="20"/>
  <c r="BN50" i="20"/>
  <c r="BU87" i="20"/>
  <c r="BW87" i="20" s="1"/>
  <c r="BN97" i="20"/>
  <c r="BU104" i="20"/>
  <c r="BW104" i="20" s="1"/>
  <c r="BN105" i="20"/>
  <c r="BU124" i="20"/>
  <c r="BW124" i="20" s="1"/>
  <c r="BQ185" i="20"/>
  <c r="BQ195" i="20"/>
  <c r="BQ203" i="20"/>
  <c r="BU204" i="20"/>
  <c r="BW204" i="20" s="1"/>
  <c r="BU221" i="20"/>
  <c r="BW221" i="20" s="1"/>
  <c r="BN230" i="20"/>
  <c r="BU234" i="20"/>
  <c r="BW234" i="20" s="1"/>
  <c r="BQ89" i="20"/>
  <c r="BN92" i="20"/>
  <c r="BN103" i="20"/>
  <c r="BQ104" i="20"/>
  <c r="BQ106" i="20"/>
  <c r="BU111" i="20"/>
  <c r="BW111" i="20" s="1"/>
  <c r="BN121" i="20"/>
  <c r="BN126" i="20"/>
  <c r="BU132" i="20"/>
  <c r="BW132" i="20" s="1"/>
  <c r="BQ144" i="20"/>
  <c r="BQ153" i="20"/>
  <c r="BN157" i="20"/>
  <c r="BU166" i="20"/>
  <c r="BW166" i="20" s="1"/>
  <c r="BN170" i="20"/>
  <c r="BQ172" i="20"/>
  <c r="BU174" i="20"/>
  <c r="BW174" i="20" s="1"/>
  <c r="BQ176" i="20"/>
  <c r="BQ198" i="20"/>
  <c r="BU203" i="20"/>
  <c r="BW203" i="20" s="1"/>
  <c r="BQ214" i="20"/>
  <c r="BU215" i="20"/>
  <c r="BW215" i="20" s="1"/>
  <c r="BU223" i="20"/>
  <c r="BW223" i="20" s="1"/>
  <c r="BU243" i="20"/>
  <c r="BW243" i="20" s="1"/>
  <c r="BQ95" i="20"/>
  <c r="BU98" i="20"/>
  <c r="BW98" i="20" s="1"/>
  <c r="BU102" i="20"/>
  <c r="BW102" i="20" s="1"/>
  <c r="BU120" i="20"/>
  <c r="BW120" i="20" s="1"/>
  <c r="BN124" i="20"/>
  <c r="BU131" i="20"/>
  <c r="BW131" i="20" s="1"/>
  <c r="BU145" i="20"/>
  <c r="BW145" i="20" s="1"/>
  <c r="BQ150" i="20"/>
  <c r="BU156" i="20"/>
  <c r="BW156" i="20" s="1"/>
  <c r="BU165" i="20"/>
  <c r="BW165" i="20" s="1"/>
  <c r="BU185" i="20"/>
  <c r="BW185" i="20" s="1"/>
  <c r="BU195" i="20"/>
  <c r="BW195" i="20" s="1"/>
  <c r="BN196" i="20"/>
  <c r="BN200" i="20"/>
  <c r="BN207" i="20"/>
  <c r="BQ209" i="20"/>
  <c r="BU214" i="20"/>
  <c r="BW214" i="20" s="1"/>
  <c r="BU219" i="20"/>
  <c r="BW219" i="20" s="1"/>
  <c r="BN229" i="20"/>
  <c r="BQ236" i="20"/>
  <c r="BQ247" i="20"/>
  <c r="BU135" i="20"/>
  <c r="BW135" i="20" s="1"/>
  <c r="BQ146" i="20"/>
  <c r="BU151" i="20"/>
  <c r="BW151" i="20" s="1"/>
  <c r="BN169" i="20"/>
  <c r="BU176" i="20"/>
  <c r="BW176" i="20" s="1"/>
  <c r="BU180" i="20"/>
  <c r="BW180" i="20" s="1"/>
  <c r="BU190" i="20"/>
  <c r="BW190" i="20" s="1"/>
  <c r="BU199" i="20"/>
  <c r="BW199" i="20" s="1"/>
  <c r="BU209" i="20"/>
  <c r="BW209" i="20" s="1"/>
  <c r="BN211" i="20"/>
  <c r="BQ216" i="20"/>
  <c r="BN225" i="20"/>
  <c r="BU228" i="20"/>
  <c r="BW228" i="20" s="1"/>
  <c r="BQ230" i="20"/>
  <c r="BN231" i="20"/>
  <c r="BU236" i="20"/>
  <c r="BW236" i="20" s="1"/>
  <c r="BN238" i="20"/>
  <c r="BU240" i="20"/>
  <c r="BW240" i="20" s="1"/>
  <c r="BU242" i="20"/>
  <c r="BW242" i="20" s="1"/>
  <c r="BU247" i="20"/>
  <c r="BW247" i="20" s="1"/>
  <c r="BU118" i="20"/>
  <c r="BW118" i="20" s="1"/>
  <c r="BN123" i="20"/>
  <c r="BQ124" i="20"/>
  <c r="BU127" i="20"/>
  <c r="BW127" i="20" s="1"/>
  <c r="BU133" i="20"/>
  <c r="BW133" i="20" s="1"/>
  <c r="BU138" i="20"/>
  <c r="BW138" i="20" s="1"/>
  <c r="BU146" i="20"/>
  <c r="BW146" i="20" s="1"/>
  <c r="BU155" i="20"/>
  <c r="BW155" i="20" s="1"/>
  <c r="BU157" i="20"/>
  <c r="BW157" i="20" s="1"/>
  <c r="BU158" i="20"/>
  <c r="BW158" i="20" s="1"/>
  <c r="BQ167" i="20"/>
  <c r="BQ175" i="20"/>
  <c r="BU182" i="20"/>
  <c r="BW182" i="20" s="1"/>
  <c r="BU186" i="20"/>
  <c r="BW186" i="20" s="1"/>
  <c r="BN195" i="20"/>
  <c r="BQ211" i="20"/>
  <c r="BU216" i="20"/>
  <c r="BW216" i="20" s="1"/>
  <c r="BQ218" i="20"/>
  <c r="BN223" i="20"/>
  <c r="BU226" i="20"/>
  <c r="BW226" i="20" s="1"/>
  <c r="BQ229" i="20"/>
  <c r="BQ231" i="20"/>
  <c r="BQ238" i="20"/>
  <c r="BU241" i="20"/>
  <c r="BW241" i="20" s="1"/>
  <c r="BN83" i="20"/>
  <c r="BU88" i="20"/>
  <c r="BW88" i="20" s="1"/>
  <c r="BN89" i="20"/>
  <c r="BU95" i="20"/>
  <c r="BW95" i="20" s="1"/>
  <c r="BU96" i="20"/>
  <c r="BW96" i="20" s="1"/>
  <c r="BQ99" i="20"/>
  <c r="BU110" i="20"/>
  <c r="BW110" i="20" s="1"/>
  <c r="BU126" i="20"/>
  <c r="BW126" i="20" s="1"/>
  <c r="BQ136" i="20"/>
  <c r="BQ152" i="20"/>
  <c r="BW153" i="20"/>
  <c r="BN159" i="20"/>
  <c r="BU160" i="20"/>
  <c r="BW160" i="20" s="1"/>
  <c r="BQ169" i="20"/>
  <c r="BU171" i="20"/>
  <c r="BW171" i="20" s="1"/>
  <c r="BN172" i="20"/>
  <c r="BN176" i="20"/>
  <c r="BU181" i="20"/>
  <c r="BW181" i="20" s="1"/>
  <c r="BQ188" i="20"/>
  <c r="BQ192" i="20"/>
  <c r="BU194" i="20"/>
  <c r="BW194" i="20" s="1"/>
  <c r="BU213" i="20"/>
  <c r="BW213" i="20" s="1"/>
  <c r="BU218" i="20"/>
  <c r="BW218" i="20" s="1"/>
  <c r="BN219" i="20"/>
  <c r="BQ221" i="20"/>
  <c r="BN227" i="20"/>
  <c r="BU232" i="20"/>
  <c r="BW232" i="20" s="1"/>
  <c r="BN242" i="20"/>
  <c r="BQ115" i="20"/>
  <c r="BQ127" i="20"/>
  <c r="BQ67" i="20"/>
  <c r="BQ74" i="20"/>
  <c r="BQ107" i="20"/>
  <c r="BQ49" i="20"/>
  <c r="BQ125" i="20"/>
  <c r="BQ14" i="20"/>
  <c r="BQ90" i="20"/>
  <c r="BQ159" i="20"/>
  <c r="BQ31" i="20"/>
  <c r="BU36" i="20"/>
  <c r="BW36" i="20" s="1"/>
  <c r="BU53" i="20"/>
  <c r="BW53" i="20" s="1"/>
  <c r="BU56" i="20"/>
  <c r="BW56" i="20" s="1"/>
  <c r="BU119" i="20"/>
  <c r="BW119" i="20" s="1"/>
  <c r="BQ7" i="20"/>
  <c r="BQ22" i="20"/>
  <c r="BQ40" i="20"/>
  <c r="BU92" i="20"/>
  <c r="BW92" i="20" s="1"/>
  <c r="BQ28" i="20"/>
  <c r="BQ55" i="20"/>
  <c r="BQ37" i="20"/>
  <c r="BU23" i="20"/>
  <c r="BW23" i="20" s="1"/>
  <c r="BQ43" i="20"/>
  <c r="BQ51" i="20"/>
  <c r="BQ65" i="20"/>
  <c r="BQ69" i="20"/>
  <c r="BU76" i="20"/>
  <c r="BW76" i="20" s="1"/>
  <c r="BU82" i="20"/>
  <c r="BW82" i="20" s="1"/>
  <c r="BQ108" i="20"/>
  <c r="BQ142" i="20"/>
  <c r="BQ161" i="20"/>
  <c r="BQ163" i="20"/>
  <c r="BQ147" i="20"/>
  <c r="BQ181" i="20"/>
  <c r="BQ205" i="20"/>
  <c r="BQ75" i="20"/>
  <c r="BU79" i="20"/>
  <c r="BW79" i="20" s="1"/>
  <c r="BQ102" i="20"/>
  <c r="BQ113" i="20"/>
  <c r="BU129" i="20"/>
  <c r="BW129" i="20" s="1"/>
  <c r="BQ139" i="20"/>
  <c r="BU163" i="20"/>
  <c r="BW163" i="20" s="1"/>
  <c r="BU69" i="20"/>
  <c r="BW69" i="20" s="1"/>
  <c r="BU141" i="20"/>
  <c r="BW141" i="20" s="1"/>
  <c r="BU65" i="20"/>
  <c r="BW65" i="20" s="1"/>
  <c r="BN81" i="20"/>
  <c r="BQ86" i="20"/>
  <c r="BQ94" i="20"/>
  <c r="BU117" i="20"/>
  <c r="BW117" i="20" s="1"/>
  <c r="BU134" i="20"/>
  <c r="BW134" i="20" s="1"/>
  <c r="BQ160" i="20"/>
  <c r="BQ168" i="20"/>
  <c r="BN91" i="20"/>
  <c r="BU103" i="20"/>
  <c r="BW103" i="20" s="1"/>
  <c r="BU128" i="20"/>
  <c r="BW128" i="20" s="1"/>
  <c r="BU148" i="20"/>
  <c r="BW148" i="20" s="1"/>
  <c r="BN166" i="20"/>
  <c r="BQ200" i="20"/>
  <c r="BU168" i="20"/>
  <c r="BW168" i="20" s="1"/>
  <c r="BQ180" i="20"/>
  <c r="BU159" i="20"/>
  <c r="BW159" i="20" s="1"/>
  <c r="BU172" i="20"/>
  <c r="BW172" i="20" s="1"/>
  <c r="BQ177" i="20"/>
  <c r="BQ190" i="20"/>
  <c r="BU191" i="20"/>
  <c r="BW191" i="20" s="1"/>
  <c r="BQ206" i="20"/>
  <c r="BQ237" i="20"/>
  <c r="BQ241" i="20"/>
  <c r="AT230" i="4"/>
  <c r="AT206" i="4"/>
  <c r="AT174" i="4"/>
  <c r="AT142" i="4"/>
  <c r="AT118" i="4"/>
  <c r="AT78" i="4"/>
  <c r="AT46" i="4"/>
  <c r="AT6" i="4"/>
  <c r="AT213" i="4"/>
  <c r="AT181" i="4"/>
  <c r="AT149" i="4"/>
  <c r="AT117" i="4"/>
  <c r="AT85" i="4"/>
  <c r="AT53" i="4"/>
  <c r="AT29" i="4"/>
  <c r="AT244" i="4"/>
  <c r="AT236" i="4"/>
  <c r="AT228" i="4"/>
  <c r="AT220" i="4"/>
  <c r="AT212" i="4"/>
  <c r="AT204" i="4"/>
  <c r="AT196" i="4"/>
  <c r="AT188" i="4"/>
  <c r="AT180" i="4"/>
  <c r="AT172" i="4"/>
  <c r="AT164" i="4"/>
  <c r="AT156" i="4"/>
  <c r="AT148" i="4"/>
  <c r="AT140" i="4"/>
  <c r="AT132" i="4"/>
  <c r="AT124" i="4"/>
  <c r="AT116" i="4"/>
  <c r="AT108" i="4"/>
  <c r="AT100" i="4"/>
  <c r="AT92" i="4"/>
  <c r="AT84" i="4"/>
  <c r="AT76" i="4"/>
  <c r="AT68" i="4"/>
  <c r="AT60" i="4"/>
  <c r="AT52" i="4"/>
  <c r="AT44" i="4"/>
  <c r="AT36" i="4"/>
  <c r="AT28" i="4"/>
  <c r="AT20" i="4"/>
  <c r="AT12" i="4"/>
  <c r="AT4" i="4"/>
  <c r="AT238" i="4"/>
  <c r="AT198" i="4"/>
  <c r="AT166" i="4"/>
  <c r="AT134" i="4"/>
  <c r="AT110" i="4"/>
  <c r="AT86" i="4"/>
  <c r="AT62" i="4"/>
  <c r="AT30" i="4"/>
  <c r="AT237" i="4"/>
  <c r="AT205" i="4"/>
  <c r="AT165" i="4"/>
  <c r="AT133" i="4"/>
  <c r="AT101" i="4"/>
  <c r="AT77" i="4"/>
  <c r="AT45" i="4"/>
  <c r="AT13" i="4"/>
  <c r="AT243" i="4"/>
  <c r="AT235" i="4"/>
  <c r="AT227" i="4"/>
  <c r="AT219" i="4"/>
  <c r="AT211" i="4"/>
  <c r="AT203" i="4"/>
  <c r="AT195" i="4"/>
  <c r="AT187" i="4"/>
  <c r="AT179" i="4"/>
  <c r="AT171" i="4"/>
  <c r="AT163" i="4"/>
  <c r="AT155" i="4"/>
  <c r="AT147" i="4"/>
  <c r="AT139" i="4"/>
  <c r="AT131" i="4"/>
  <c r="AT123" i="4"/>
  <c r="AT115" i="4"/>
  <c r="AT107" i="4"/>
  <c r="AT99" i="4"/>
  <c r="AT91" i="4"/>
  <c r="AT83" i="4"/>
  <c r="AT75" i="4"/>
  <c r="AT67" i="4"/>
  <c r="AT59" i="4"/>
  <c r="AT51" i="4"/>
  <c r="AT43" i="4"/>
  <c r="AT35" i="4"/>
  <c r="AT27" i="4"/>
  <c r="AT19" i="4"/>
  <c r="AT11" i="4"/>
  <c r="AT3" i="4"/>
  <c r="AT246" i="4"/>
  <c r="AT214" i="4"/>
  <c r="AT182" i="4"/>
  <c r="AT158" i="4"/>
  <c r="AT126" i="4"/>
  <c r="AT94" i="4"/>
  <c r="AT54" i="4"/>
  <c r="AT22" i="4"/>
  <c r="AT229" i="4"/>
  <c r="AT189" i="4"/>
  <c r="AT157" i="4"/>
  <c r="AT125" i="4"/>
  <c r="AT93" i="4"/>
  <c r="AT61" i="4"/>
  <c r="AT21" i="4"/>
  <c r="AT222" i="4"/>
  <c r="AT190" i="4"/>
  <c r="AT150" i="4"/>
  <c r="AT102" i="4"/>
  <c r="AT70" i="4"/>
  <c r="AT38" i="4"/>
  <c r="AT14" i="4"/>
  <c r="AT245" i="4"/>
  <c r="AT221" i="4"/>
  <c r="AT197" i="4"/>
  <c r="AT173" i="4"/>
  <c r="AT141" i="4"/>
  <c r="AT109" i="4"/>
  <c r="AT69" i="4"/>
  <c r="AT37" i="4"/>
  <c r="AT5" i="4"/>
  <c r="ET5" i="4"/>
  <c r="ET3" i="4"/>
  <c r="ET4" i="4"/>
  <c r="ET6" i="4"/>
  <c r="ET7" i="4"/>
  <c r="ET8" i="4"/>
  <c r="ET9" i="4"/>
  <c r="ET10" i="4"/>
  <c r="ET11" i="4"/>
  <c r="ET12" i="4"/>
  <c r="ET13" i="4"/>
  <c r="ET14" i="4"/>
  <c r="ET15" i="4"/>
  <c r="ET16" i="4"/>
  <c r="ET17" i="4"/>
  <c r="ET18" i="4"/>
  <c r="ET19" i="4"/>
  <c r="ET20" i="4"/>
  <c r="ET21" i="4"/>
  <c r="ET22" i="4"/>
  <c r="ET23" i="4"/>
  <c r="ET24" i="4"/>
  <c r="ET25" i="4"/>
  <c r="ET26" i="4"/>
  <c r="ET27" i="4"/>
  <c r="ET28" i="4"/>
  <c r="ET29" i="4"/>
  <c r="ET30" i="4"/>
  <c r="ET31" i="4"/>
  <c r="ET32" i="4"/>
  <c r="ET33" i="4"/>
  <c r="ET34" i="4"/>
  <c r="ET35" i="4"/>
  <c r="ET36" i="4"/>
  <c r="ET37" i="4"/>
  <c r="ET38" i="4"/>
  <c r="ET39" i="4"/>
  <c r="ET40" i="4"/>
  <c r="ET41" i="4"/>
  <c r="ET42" i="4"/>
  <c r="ET43" i="4"/>
  <c r="ET44" i="4"/>
  <c r="ET45" i="4"/>
  <c r="ET46" i="4"/>
  <c r="ET47" i="4"/>
  <c r="ET48" i="4"/>
  <c r="ET49" i="4"/>
  <c r="ET50" i="4"/>
  <c r="ET51" i="4"/>
  <c r="ET52" i="4"/>
  <c r="ET53" i="4"/>
  <c r="ET54" i="4"/>
  <c r="ET55" i="4"/>
  <c r="ET56" i="4"/>
  <c r="ET57" i="4"/>
  <c r="ET58" i="4"/>
  <c r="ET59" i="4"/>
  <c r="ET60" i="4"/>
  <c r="ET61" i="4"/>
  <c r="ET62" i="4"/>
  <c r="ET63" i="4"/>
  <c r="ET64" i="4"/>
  <c r="ET65" i="4"/>
  <c r="ET66" i="4"/>
  <c r="ET67" i="4"/>
  <c r="ET68" i="4"/>
  <c r="ET69" i="4"/>
  <c r="ET70" i="4"/>
  <c r="ET71" i="4"/>
  <c r="ET72" i="4"/>
  <c r="ET73" i="4"/>
  <c r="ET74" i="4"/>
  <c r="ET75" i="4"/>
  <c r="ET76" i="4"/>
  <c r="ET77" i="4"/>
  <c r="ET78" i="4"/>
  <c r="ET79" i="4"/>
  <c r="ET80" i="4"/>
  <c r="ET81" i="4"/>
  <c r="ET82" i="4"/>
  <c r="ET83" i="4"/>
  <c r="ET84" i="4"/>
  <c r="ET85" i="4"/>
  <c r="ET86" i="4"/>
  <c r="ET87" i="4"/>
  <c r="ET88" i="4"/>
  <c r="ET89" i="4"/>
  <c r="ET90" i="4"/>
  <c r="ET91" i="4"/>
  <c r="ET92" i="4"/>
  <c r="ET93" i="4"/>
  <c r="ET94" i="4"/>
  <c r="ET95" i="4"/>
  <c r="ET96" i="4"/>
  <c r="ET97" i="4"/>
  <c r="ET98" i="4"/>
  <c r="ET99" i="4"/>
  <c r="ET100" i="4"/>
  <c r="ET101" i="4"/>
  <c r="ET102" i="4"/>
  <c r="ET103" i="4"/>
  <c r="ET104" i="4"/>
  <c r="ET105" i="4"/>
  <c r="ET106" i="4"/>
  <c r="ET107" i="4"/>
  <c r="ET108" i="4"/>
  <c r="ET109" i="4"/>
  <c r="ET110" i="4"/>
  <c r="ET111" i="4"/>
  <c r="ET112" i="4"/>
  <c r="ET113" i="4"/>
  <c r="ET114" i="4"/>
  <c r="ET115" i="4"/>
  <c r="ET116" i="4"/>
  <c r="ET117" i="4"/>
  <c r="ET118" i="4"/>
  <c r="ET119" i="4"/>
  <c r="ET120" i="4"/>
  <c r="ET121" i="4"/>
  <c r="ET122" i="4"/>
  <c r="ET123" i="4"/>
  <c r="ET124" i="4"/>
  <c r="ET125" i="4"/>
  <c r="ET126" i="4"/>
  <c r="ET127" i="4"/>
  <c r="ET128" i="4"/>
  <c r="ET129" i="4"/>
  <c r="ET130" i="4"/>
  <c r="ET131" i="4"/>
  <c r="ET132" i="4"/>
  <c r="ET133" i="4"/>
  <c r="ET134" i="4"/>
  <c r="ET135" i="4"/>
  <c r="ET136" i="4"/>
  <c r="ET137" i="4"/>
  <c r="ET138" i="4"/>
  <c r="ET139" i="4"/>
  <c r="ET140" i="4"/>
  <c r="ET141" i="4"/>
  <c r="ET142" i="4"/>
  <c r="ET143" i="4"/>
  <c r="ET144" i="4"/>
  <c r="ET145" i="4"/>
  <c r="ET146" i="4"/>
  <c r="ET147" i="4"/>
  <c r="ET148" i="4"/>
  <c r="ET149" i="4"/>
  <c r="ET150" i="4"/>
  <c r="ET151" i="4"/>
  <c r="ET152" i="4"/>
  <c r="ET153" i="4"/>
  <c r="ET154" i="4"/>
  <c r="ET155" i="4"/>
  <c r="ET156" i="4"/>
  <c r="ET157" i="4"/>
  <c r="ET158" i="4"/>
  <c r="ET159" i="4"/>
  <c r="ET160" i="4"/>
  <c r="ET161" i="4"/>
  <c r="ET162" i="4"/>
  <c r="ET163" i="4"/>
  <c r="ET164" i="4"/>
  <c r="ET165" i="4"/>
  <c r="ET166" i="4"/>
  <c r="ET167" i="4"/>
  <c r="ET168" i="4"/>
  <c r="ET169" i="4"/>
  <c r="ET170" i="4"/>
  <c r="ET171" i="4"/>
  <c r="ET172" i="4"/>
  <c r="ET173" i="4"/>
  <c r="ET174" i="4"/>
  <c r="ET175" i="4"/>
  <c r="ET176" i="4"/>
  <c r="ET177" i="4"/>
  <c r="ET178" i="4"/>
  <c r="ET179" i="4"/>
  <c r="ET180" i="4"/>
  <c r="ET181" i="4"/>
  <c r="ET182" i="4"/>
  <c r="ET183" i="4"/>
  <c r="ET184" i="4"/>
  <c r="ET185" i="4"/>
  <c r="ET186" i="4"/>
  <c r="ET187" i="4"/>
  <c r="ET188" i="4"/>
  <c r="ET189" i="4"/>
  <c r="ET190" i="4"/>
  <c r="ET191" i="4"/>
  <c r="ET192" i="4"/>
  <c r="ET193" i="4"/>
  <c r="ET194" i="4"/>
  <c r="ET195" i="4"/>
  <c r="ET196" i="4"/>
  <c r="ET197" i="4"/>
  <c r="ET198" i="4"/>
  <c r="ET199" i="4"/>
  <c r="ET200" i="4"/>
  <c r="ET201" i="4"/>
  <c r="ET202" i="4"/>
  <c r="ET203" i="4"/>
  <c r="ET204" i="4"/>
  <c r="ET205" i="4"/>
  <c r="ET206" i="4"/>
  <c r="ET207" i="4"/>
  <c r="ET208" i="4"/>
  <c r="ET209" i="4"/>
  <c r="ET210" i="4"/>
  <c r="ET211" i="4"/>
  <c r="ET212" i="4"/>
  <c r="ET213" i="4"/>
  <c r="ET214" i="4"/>
  <c r="ET215" i="4"/>
  <c r="ET216" i="4"/>
  <c r="ET217" i="4"/>
  <c r="ET218" i="4"/>
  <c r="ET219" i="4"/>
  <c r="ET220" i="4"/>
  <c r="ET221" i="4"/>
  <c r="ET222" i="4"/>
  <c r="ET223" i="4"/>
  <c r="ET224" i="4"/>
  <c r="ET225" i="4"/>
  <c r="ET226" i="4"/>
  <c r="ET227" i="4"/>
  <c r="ET228" i="4"/>
  <c r="ET229" i="4"/>
  <c r="ET230" i="4"/>
  <c r="ET231" i="4"/>
  <c r="ET232" i="4"/>
  <c r="ET233" i="4"/>
  <c r="ET234" i="4"/>
  <c r="ET235" i="4"/>
  <c r="ET236" i="4"/>
  <c r="ET237" i="4"/>
  <c r="ET238" i="4"/>
  <c r="ET239" i="4"/>
  <c r="ET240" i="4"/>
  <c r="ET241" i="4"/>
  <c r="ET242" i="4"/>
  <c r="ET243" i="4"/>
  <c r="ET244" i="4"/>
  <c r="ET245" i="4"/>
  <c r="ET246" i="4"/>
  <c r="ET247" i="4"/>
  <c r="ET2" i="4"/>
  <c r="ES3" i="4"/>
  <c r="ES4" i="4"/>
  <c r="ES5" i="4"/>
  <c r="ES6" i="4"/>
  <c r="ES7" i="4"/>
  <c r="ES8" i="4"/>
  <c r="ES9" i="4"/>
  <c r="ES10" i="4"/>
  <c r="ES11" i="4"/>
  <c r="ES12" i="4"/>
  <c r="ES13" i="4"/>
  <c r="ES14" i="4"/>
  <c r="ES15" i="4"/>
  <c r="ES16" i="4"/>
  <c r="ES17" i="4"/>
  <c r="ES18" i="4"/>
  <c r="ES19" i="4"/>
  <c r="ES20" i="4"/>
  <c r="ES21" i="4"/>
  <c r="ES22" i="4"/>
  <c r="ES23" i="4"/>
  <c r="ES24" i="4"/>
  <c r="ES25" i="4"/>
  <c r="ES26" i="4"/>
  <c r="ES27" i="4"/>
  <c r="ES28" i="4"/>
  <c r="ES29" i="4"/>
  <c r="ES30" i="4"/>
  <c r="ES31" i="4"/>
  <c r="ES32" i="4"/>
  <c r="ES33" i="4"/>
  <c r="ES34" i="4"/>
  <c r="ES35" i="4"/>
  <c r="ES36" i="4"/>
  <c r="ES37" i="4"/>
  <c r="ES38" i="4"/>
  <c r="ES39" i="4"/>
  <c r="ES40" i="4"/>
  <c r="ES41" i="4"/>
  <c r="ES42" i="4"/>
  <c r="ES43" i="4"/>
  <c r="ES44" i="4"/>
  <c r="ES45" i="4"/>
  <c r="ES46" i="4"/>
  <c r="ES47" i="4"/>
  <c r="ES48" i="4"/>
  <c r="ES49" i="4"/>
  <c r="ES50" i="4"/>
  <c r="ES51" i="4"/>
  <c r="ES52" i="4"/>
  <c r="ES53" i="4"/>
  <c r="ES54" i="4"/>
  <c r="ES55" i="4"/>
  <c r="ES56" i="4"/>
  <c r="ES57" i="4"/>
  <c r="ES58" i="4"/>
  <c r="ES59" i="4"/>
  <c r="ES60" i="4"/>
  <c r="ES61" i="4"/>
  <c r="ES62" i="4"/>
  <c r="ES63" i="4"/>
  <c r="ES64" i="4"/>
  <c r="ES65" i="4"/>
  <c r="ES66" i="4"/>
  <c r="ES67" i="4"/>
  <c r="ES68" i="4"/>
  <c r="ES69" i="4"/>
  <c r="ES70" i="4"/>
  <c r="ES71" i="4"/>
  <c r="ES72" i="4"/>
  <c r="ES73" i="4"/>
  <c r="ES74" i="4"/>
  <c r="ES75" i="4"/>
  <c r="ES76" i="4"/>
  <c r="ES77" i="4"/>
  <c r="ES78" i="4"/>
  <c r="ES79" i="4"/>
  <c r="ES80" i="4"/>
  <c r="ES81" i="4"/>
  <c r="ES82" i="4"/>
  <c r="ES83" i="4"/>
  <c r="ES84" i="4"/>
  <c r="ES85" i="4"/>
  <c r="ES86" i="4"/>
  <c r="ES87" i="4"/>
  <c r="ES88" i="4"/>
  <c r="ES89" i="4"/>
  <c r="ES90" i="4"/>
  <c r="ES91" i="4"/>
  <c r="ES92" i="4"/>
  <c r="ES93" i="4"/>
  <c r="ES94" i="4"/>
  <c r="ES95" i="4"/>
  <c r="ES96" i="4"/>
  <c r="ES97" i="4"/>
  <c r="ES98" i="4"/>
  <c r="ES99" i="4"/>
  <c r="ES100" i="4"/>
  <c r="ES101" i="4"/>
  <c r="ES102" i="4"/>
  <c r="ES103" i="4"/>
  <c r="ES104" i="4"/>
  <c r="ES105" i="4"/>
  <c r="ES106" i="4"/>
  <c r="ES107" i="4"/>
  <c r="ES108" i="4"/>
  <c r="ES109" i="4"/>
  <c r="ES110" i="4"/>
  <c r="ES111" i="4"/>
  <c r="ES112" i="4"/>
  <c r="ES113" i="4"/>
  <c r="ES114" i="4"/>
  <c r="ES115" i="4"/>
  <c r="ES116" i="4"/>
  <c r="ES117" i="4"/>
  <c r="ES118" i="4"/>
  <c r="ES119" i="4"/>
  <c r="ES120" i="4"/>
  <c r="ES121" i="4"/>
  <c r="ES122" i="4"/>
  <c r="ES123" i="4"/>
  <c r="ES124" i="4"/>
  <c r="ES125" i="4"/>
  <c r="ES126" i="4"/>
  <c r="ES127" i="4"/>
  <c r="ES128" i="4"/>
  <c r="ES129" i="4"/>
  <c r="ES130" i="4"/>
  <c r="ES131" i="4"/>
  <c r="ES132" i="4"/>
  <c r="ES133" i="4"/>
  <c r="ES134" i="4"/>
  <c r="ES135" i="4"/>
  <c r="ES136" i="4"/>
  <c r="ES137" i="4"/>
  <c r="ES138" i="4"/>
  <c r="ES139" i="4"/>
  <c r="ES140" i="4"/>
  <c r="ES141" i="4"/>
  <c r="ES142" i="4"/>
  <c r="ES143" i="4"/>
  <c r="ES144" i="4"/>
  <c r="ES145" i="4"/>
  <c r="ES146" i="4"/>
  <c r="ES147" i="4"/>
  <c r="ES148" i="4"/>
  <c r="ES149" i="4"/>
  <c r="ES150" i="4"/>
  <c r="ES151" i="4"/>
  <c r="ES152" i="4"/>
  <c r="ES153" i="4"/>
  <c r="ES154" i="4"/>
  <c r="ES155" i="4"/>
  <c r="ES156" i="4"/>
  <c r="ES157" i="4"/>
  <c r="ES158" i="4"/>
  <c r="ES159" i="4"/>
  <c r="ES160" i="4"/>
  <c r="ES161" i="4"/>
  <c r="ES162" i="4"/>
  <c r="ES163" i="4"/>
  <c r="ES164" i="4"/>
  <c r="ES165" i="4"/>
  <c r="ES166" i="4"/>
  <c r="ES167" i="4"/>
  <c r="ES168" i="4"/>
  <c r="ES169" i="4"/>
  <c r="ES170" i="4"/>
  <c r="ES171" i="4"/>
  <c r="ES172" i="4"/>
  <c r="ES173" i="4"/>
  <c r="ES174" i="4"/>
  <c r="ES175" i="4"/>
  <c r="ES176" i="4"/>
  <c r="ES177" i="4"/>
  <c r="ES178" i="4"/>
  <c r="ES179" i="4"/>
  <c r="ES180" i="4"/>
  <c r="ES181" i="4"/>
  <c r="ES182" i="4"/>
  <c r="ES183" i="4"/>
  <c r="ES184" i="4"/>
  <c r="ES185" i="4"/>
  <c r="ES186" i="4"/>
  <c r="ES187" i="4"/>
  <c r="ES188" i="4"/>
  <c r="ES189" i="4"/>
  <c r="ES190" i="4"/>
  <c r="ES191" i="4"/>
  <c r="ES192" i="4"/>
  <c r="ES193" i="4"/>
  <c r="ES194" i="4"/>
  <c r="ES195" i="4"/>
  <c r="ES196" i="4"/>
  <c r="ES197" i="4"/>
  <c r="ES198" i="4"/>
  <c r="ES199" i="4"/>
  <c r="ES200" i="4"/>
  <c r="ES201" i="4"/>
  <c r="ES202" i="4"/>
  <c r="ES203" i="4"/>
  <c r="ES204" i="4"/>
  <c r="ES205" i="4"/>
  <c r="ES206" i="4"/>
  <c r="ES207" i="4"/>
  <c r="ES208" i="4"/>
  <c r="ES209" i="4"/>
  <c r="ES210" i="4"/>
  <c r="ES211" i="4"/>
  <c r="ES212" i="4"/>
  <c r="ES213" i="4"/>
  <c r="ES214" i="4"/>
  <c r="ES215" i="4"/>
  <c r="ES216" i="4"/>
  <c r="ES217" i="4"/>
  <c r="ES218" i="4"/>
  <c r="ES219" i="4"/>
  <c r="ES220" i="4"/>
  <c r="ES221" i="4"/>
  <c r="ES222" i="4"/>
  <c r="ES223" i="4"/>
  <c r="ES224" i="4"/>
  <c r="ES225" i="4"/>
  <c r="ES226" i="4"/>
  <c r="ES227" i="4"/>
  <c r="ES228" i="4"/>
  <c r="ES229" i="4"/>
  <c r="ES230" i="4"/>
  <c r="ES231" i="4"/>
  <c r="ES232" i="4"/>
  <c r="ES233" i="4"/>
  <c r="ES234" i="4"/>
  <c r="ES235" i="4"/>
  <c r="ES236" i="4"/>
  <c r="ES237" i="4"/>
  <c r="ES238" i="4"/>
  <c r="ES239" i="4"/>
  <c r="ES240" i="4"/>
  <c r="ES241" i="4"/>
  <c r="ES242" i="4"/>
  <c r="ES243" i="4"/>
  <c r="ES244" i="4"/>
  <c r="ES245" i="4"/>
  <c r="ES246" i="4"/>
  <c r="ES247" i="4"/>
  <c r="ES2" i="4"/>
  <c r="EU2" i="4"/>
  <c r="EU31" i="4"/>
  <c r="EW3" i="4"/>
  <c r="EW4" i="4"/>
  <c r="EW5" i="4"/>
  <c r="EW6" i="4"/>
  <c r="EW7" i="4"/>
  <c r="EW8" i="4"/>
  <c r="EW9" i="4"/>
  <c r="EW10" i="4"/>
  <c r="EW11" i="4"/>
  <c r="EW12" i="4"/>
  <c r="EW13" i="4"/>
  <c r="EW14" i="4"/>
  <c r="EW15" i="4"/>
  <c r="EW16" i="4"/>
  <c r="EW17" i="4"/>
  <c r="EW18" i="4"/>
  <c r="EW19" i="4"/>
  <c r="EW20" i="4"/>
  <c r="EW21" i="4"/>
  <c r="EW22" i="4"/>
  <c r="EW23" i="4"/>
  <c r="EW24" i="4"/>
  <c r="EW25" i="4"/>
  <c r="EW26" i="4"/>
  <c r="EW27" i="4"/>
  <c r="EW28" i="4"/>
  <c r="EW29" i="4"/>
  <c r="EW30" i="4"/>
  <c r="EW31" i="4"/>
  <c r="EW32" i="4"/>
  <c r="EW33" i="4"/>
  <c r="EW34" i="4"/>
  <c r="EW35" i="4"/>
  <c r="EW36" i="4"/>
  <c r="EW37" i="4"/>
  <c r="EW38" i="4"/>
  <c r="EW39" i="4"/>
  <c r="EW40" i="4"/>
  <c r="EW41" i="4"/>
  <c r="EW42" i="4"/>
  <c r="EW43" i="4"/>
  <c r="EW44" i="4"/>
  <c r="EW45" i="4"/>
  <c r="EW46" i="4"/>
  <c r="EW47" i="4"/>
  <c r="EW48" i="4"/>
  <c r="EW49" i="4"/>
  <c r="EW50" i="4"/>
  <c r="EW51" i="4"/>
  <c r="EW52" i="4"/>
  <c r="EW53" i="4"/>
  <c r="EW54" i="4"/>
  <c r="EW55" i="4"/>
  <c r="EW56" i="4"/>
  <c r="EW57" i="4"/>
  <c r="EW58" i="4"/>
  <c r="EW59" i="4"/>
  <c r="EW60" i="4"/>
  <c r="EW61" i="4"/>
  <c r="EW62" i="4"/>
  <c r="EW63" i="4"/>
  <c r="EW64" i="4"/>
  <c r="EW65" i="4"/>
  <c r="EW66" i="4"/>
  <c r="EW67" i="4"/>
  <c r="EW68" i="4"/>
  <c r="EW69" i="4"/>
  <c r="EW70" i="4"/>
  <c r="EW71" i="4"/>
  <c r="EW72" i="4"/>
  <c r="EW73" i="4"/>
  <c r="EW74" i="4"/>
  <c r="EW75" i="4"/>
  <c r="EW76" i="4"/>
  <c r="EW77" i="4"/>
  <c r="EW78" i="4"/>
  <c r="EW79" i="4"/>
  <c r="EW80" i="4"/>
  <c r="EW81" i="4"/>
  <c r="EW82" i="4"/>
  <c r="EW83" i="4"/>
  <c r="EW84" i="4"/>
  <c r="EW85" i="4"/>
  <c r="EW86" i="4"/>
  <c r="EW87" i="4"/>
  <c r="EW88" i="4"/>
  <c r="EW89" i="4"/>
  <c r="EW90" i="4"/>
  <c r="EW91" i="4"/>
  <c r="EW92" i="4"/>
  <c r="EW93" i="4"/>
  <c r="EW94" i="4"/>
  <c r="EW95" i="4"/>
  <c r="EW96" i="4"/>
  <c r="EW97" i="4"/>
  <c r="EW98" i="4"/>
  <c r="EW99" i="4"/>
  <c r="EW100" i="4"/>
  <c r="EW101" i="4"/>
  <c r="EW102" i="4"/>
  <c r="EW103" i="4"/>
  <c r="EW104" i="4"/>
  <c r="EW105" i="4"/>
  <c r="EW106" i="4"/>
  <c r="EW107" i="4"/>
  <c r="EW108" i="4"/>
  <c r="EW109" i="4"/>
  <c r="EW110" i="4"/>
  <c r="EW111" i="4"/>
  <c r="EW112" i="4"/>
  <c r="EW113" i="4"/>
  <c r="EW114" i="4"/>
  <c r="EW115" i="4"/>
  <c r="EW116" i="4"/>
  <c r="EW117" i="4"/>
  <c r="EW118" i="4"/>
  <c r="EW119" i="4"/>
  <c r="EW120" i="4"/>
  <c r="EW121" i="4"/>
  <c r="EW122" i="4"/>
  <c r="EW123" i="4"/>
  <c r="EW124" i="4"/>
  <c r="EW125" i="4"/>
  <c r="EW126" i="4"/>
  <c r="EW127" i="4"/>
  <c r="EW128" i="4"/>
  <c r="EW129" i="4"/>
  <c r="EW130" i="4"/>
  <c r="EW131" i="4"/>
  <c r="EW132" i="4"/>
  <c r="EW133" i="4"/>
  <c r="EW134" i="4"/>
  <c r="EW135" i="4"/>
  <c r="EW136" i="4"/>
  <c r="EW137" i="4"/>
  <c r="EW138" i="4"/>
  <c r="EW139" i="4"/>
  <c r="EW140" i="4"/>
  <c r="EW141" i="4"/>
  <c r="EW142" i="4"/>
  <c r="EW143" i="4"/>
  <c r="EW144" i="4"/>
  <c r="EW145" i="4"/>
  <c r="EW146" i="4"/>
  <c r="EW147" i="4"/>
  <c r="EW148" i="4"/>
  <c r="EW149" i="4"/>
  <c r="EW150" i="4"/>
  <c r="EW151" i="4"/>
  <c r="EW152" i="4"/>
  <c r="EW153" i="4"/>
  <c r="EW154" i="4"/>
  <c r="EW155" i="4"/>
  <c r="EW156" i="4"/>
  <c r="EW157" i="4"/>
  <c r="EW158" i="4"/>
  <c r="EW159" i="4"/>
  <c r="EW160" i="4"/>
  <c r="EW161" i="4"/>
  <c r="EW162" i="4"/>
  <c r="EW163" i="4"/>
  <c r="EW164" i="4"/>
  <c r="EW165" i="4"/>
  <c r="EW166" i="4"/>
  <c r="EW167" i="4"/>
  <c r="EW168" i="4"/>
  <c r="EW169" i="4"/>
  <c r="EW170" i="4"/>
  <c r="EW171" i="4"/>
  <c r="EW172" i="4"/>
  <c r="EW173" i="4"/>
  <c r="EW174" i="4"/>
  <c r="EW175" i="4"/>
  <c r="EW176" i="4"/>
  <c r="EW177" i="4"/>
  <c r="EW178" i="4"/>
  <c r="EW179" i="4"/>
  <c r="EW180" i="4"/>
  <c r="EW181" i="4"/>
  <c r="EW182" i="4"/>
  <c r="EW183" i="4"/>
  <c r="EW184" i="4"/>
  <c r="EW185" i="4"/>
  <c r="EW186" i="4"/>
  <c r="EW187" i="4"/>
  <c r="EW188" i="4"/>
  <c r="EW189" i="4"/>
  <c r="EW190" i="4"/>
  <c r="EW191" i="4"/>
  <c r="EW192" i="4"/>
  <c r="EW193" i="4"/>
  <c r="EW194" i="4"/>
  <c r="EW195" i="4"/>
  <c r="EW196" i="4"/>
  <c r="EW197" i="4"/>
  <c r="EW198" i="4"/>
  <c r="EW199" i="4"/>
  <c r="EW200" i="4"/>
  <c r="EW201" i="4"/>
  <c r="EW202" i="4"/>
  <c r="EW203" i="4"/>
  <c r="EW204" i="4"/>
  <c r="EW205" i="4"/>
  <c r="EW206" i="4"/>
  <c r="EW207" i="4"/>
  <c r="EW208" i="4"/>
  <c r="EW209" i="4"/>
  <c r="EW210" i="4"/>
  <c r="EW211" i="4"/>
  <c r="EW212" i="4"/>
  <c r="EW213" i="4"/>
  <c r="EW214" i="4"/>
  <c r="EW215" i="4"/>
  <c r="EW216" i="4"/>
  <c r="EW217" i="4"/>
  <c r="EW218" i="4"/>
  <c r="EW219" i="4"/>
  <c r="EW220" i="4"/>
  <c r="EW221" i="4"/>
  <c r="EW222" i="4"/>
  <c r="EW223" i="4"/>
  <c r="EW224" i="4"/>
  <c r="EW225" i="4"/>
  <c r="EW226" i="4"/>
  <c r="EW227" i="4"/>
  <c r="EW228" i="4"/>
  <c r="EW229" i="4"/>
  <c r="EW230" i="4"/>
  <c r="EW231" i="4"/>
  <c r="EW232" i="4"/>
  <c r="EW233" i="4"/>
  <c r="EW234" i="4"/>
  <c r="EW235" i="4"/>
  <c r="EW236" i="4"/>
  <c r="EW237" i="4"/>
  <c r="EW238" i="4"/>
  <c r="EW239" i="4"/>
  <c r="EW240" i="4"/>
  <c r="EW241" i="4"/>
  <c r="EW242" i="4"/>
  <c r="EW243" i="4"/>
  <c r="EW244" i="4"/>
  <c r="EW245" i="4"/>
  <c r="EW246" i="4"/>
  <c r="EW247" i="4"/>
  <c r="EW2" i="4"/>
  <c r="EU3" i="4"/>
  <c r="EU4" i="4"/>
  <c r="EU5" i="4"/>
  <c r="EU6" i="4"/>
  <c r="EU7" i="4"/>
  <c r="EU8" i="4"/>
  <c r="EU9" i="4"/>
  <c r="EU10" i="4"/>
  <c r="EU11" i="4"/>
  <c r="EU12" i="4"/>
  <c r="EU13" i="4"/>
  <c r="EU14" i="4"/>
  <c r="EU15" i="4"/>
  <c r="EU16" i="4"/>
  <c r="EU17" i="4"/>
  <c r="EU18" i="4"/>
  <c r="EU19" i="4"/>
  <c r="EU20" i="4"/>
  <c r="EU21" i="4"/>
  <c r="EU22" i="4"/>
  <c r="EU23" i="4"/>
  <c r="EU24" i="4"/>
  <c r="EU25" i="4"/>
  <c r="EU26" i="4"/>
  <c r="EU27" i="4"/>
  <c r="EU28" i="4"/>
  <c r="EU29" i="4"/>
  <c r="EU30" i="4"/>
  <c r="EU32" i="4"/>
  <c r="EU33" i="4"/>
  <c r="EU34" i="4"/>
  <c r="EU35" i="4"/>
  <c r="EU36" i="4"/>
  <c r="EU37" i="4"/>
  <c r="EU38" i="4"/>
  <c r="EU39" i="4"/>
  <c r="EU40" i="4"/>
  <c r="EU41" i="4"/>
  <c r="EU42" i="4"/>
  <c r="EU43" i="4"/>
  <c r="EU44" i="4"/>
  <c r="EU45" i="4"/>
  <c r="EU46" i="4"/>
  <c r="EU47" i="4"/>
  <c r="EU48" i="4"/>
  <c r="EU49" i="4"/>
  <c r="EU50" i="4"/>
  <c r="EU51" i="4"/>
  <c r="EU52" i="4"/>
  <c r="EU53" i="4"/>
  <c r="EU54" i="4"/>
  <c r="EU55" i="4"/>
  <c r="EU56" i="4"/>
  <c r="EU57" i="4"/>
  <c r="EU58" i="4"/>
  <c r="EU59" i="4"/>
  <c r="EU60" i="4"/>
  <c r="EU61" i="4"/>
  <c r="EU62" i="4"/>
  <c r="EU63" i="4"/>
  <c r="EU64" i="4"/>
  <c r="EU65" i="4"/>
  <c r="EU66" i="4"/>
  <c r="EU67" i="4"/>
  <c r="EU68" i="4"/>
  <c r="EU69" i="4"/>
  <c r="EU70" i="4"/>
  <c r="EU71" i="4"/>
  <c r="EU72" i="4"/>
  <c r="EU73" i="4"/>
  <c r="EU74" i="4"/>
  <c r="EU75" i="4"/>
  <c r="EU76" i="4"/>
  <c r="EU77" i="4"/>
  <c r="EU78" i="4"/>
  <c r="EU79" i="4"/>
  <c r="EU80" i="4"/>
  <c r="EU81" i="4"/>
  <c r="EU82" i="4"/>
  <c r="EU83" i="4"/>
  <c r="EU84" i="4"/>
  <c r="EU85" i="4"/>
  <c r="EU86" i="4"/>
  <c r="EU87" i="4"/>
  <c r="EU88" i="4"/>
  <c r="EU89" i="4"/>
  <c r="EU90" i="4"/>
  <c r="EU91" i="4"/>
  <c r="EU92" i="4"/>
  <c r="EU93" i="4"/>
  <c r="EU94" i="4"/>
  <c r="EU95" i="4"/>
  <c r="EU96" i="4"/>
  <c r="EU97" i="4"/>
  <c r="EU98" i="4"/>
  <c r="EU99" i="4"/>
  <c r="EU100" i="4"/>
  <c r="EU101" i="4"/>
  <c r="EU102" i="4"/>
  <c r="EU103" i="4"/>
  <c r="EU104" i="4"/>
  <c r="EU105" i="4"/>
  <c r="EU106" i="4"/>
  <c r="EU107" i="4"/>
  <c r="EU108" i="4"/>
  <c r="EU109" i="4"/>
  <c r="EU110" i="4"/>
  <c r="EU111" i="4"/>
  <c r="EU112" i="4"/>
  <c r="EU113" i="4"/>
  <c r="EU114" i="4"/>
  <c r="EU115" i="4"/>
  <c r="EU116" i="4"/>
  <c r="EU117" i="4"/>
  <c r="EU118" i="4"/>
  <c r="EU119" i="4"/>
  <c r="EU120" i="4"/>
  <c r="EU121" i="4"/>
  <c r="EU122" i="4"/>
  <c r="EU123" i="4"/>
  <c r="EU124" i="4"/>
  <c r="EU125" i="4"/>
  <c r="EU126" i="4"/>
  <c r="EU127" i="4"/>
  <c r="EU128" i="4"/>
  <c r="EU129" i="4"/>
  <c r="EU130" i="4"/>
  <c r="EU131" i="4"/>
  <c r="EU132" i="4"/>
  <c r="EU133" i="4"/>
  <c r="EU134" i="4"/>
  <c r="EU135" i="4"/>
  <c r="EU136" i="4"/>
  <c r="EU137" i="4"/>
  <c r="EU138" i="4"/>
  <c r="EU139" i="4"/>
  <c r="EU140" i="4"/>
  <c r="EU141" i="4"/>
  <c r="EU142" i="4"/>
  <c r="EU143" i="4"/>
  <c r="EU144" i="4"/>
  <c r="EU145" i="4"/>
  <c r="EU146" i="4"/>
  <c r="EU147" i="4"/>
  <c r="EU148" i="4"/>
  <c r="EU149" i="4"/>
  <c r="EU150" i="4"/>
  <c r="EU151" i="4"/>
  <c r="EU152" i="4"/>
  <c r="EU153" i="4"/>
  <c r="EU154" i="4"/>
  <c r="EU155" i="4"/>
  <c r="EU156" i="4"/>
  <c r="EU157" i="4"/>
  <c r="EU158" i="4"/>
  <c r="EU159" i="4"/>
  <c r="EU160" i="4"/>
  <c r="EU161" i="4"/>
  <c r="EU162" i="4"/>
  <c r="EU163" i="4"/>
  <c r="EU164" i="4"/>
  <c r="EU165" i="4"/>
  <c r="EU166" i="4"/>
  <c r="EU167" i="4"/>
  <c r="EU168" i="4"/>
  <c r="EU169" i="4"/>
  <c r="EU170" i="4"/>
  <c r="EU171" i="4"/>
  <c r="EU172" i="4"/>
  <c r="EU173" i="4"/>
  <c r="EU174" i="4"/>
  <c r="EU175" i="4"/>
  <c r="EU176" i="4"/>
  <c r="EU177" i="4"/>
  <c r="EU178" i="4"/>
  <c r="EU179" i="4"/>
  <c r="EU180" i="4"/>
  <c r="EU181" i="4"/>
  <c r="EU182" i="4"/>
  <c r="EU183" i="4"/>
  <c r="EU184" i="4"/>
  <c r="EU185" i="4"/>
  <c r="EU186" i="4"/>
  <c r="EU187" i="4"/>
  <c r="EU188" i="4"/>
  <c r="EU189" i="4"/>
  <c r="EU190" i="4"/>
  <c r="EU191" i="4"/>
  <c r="EU192" i="4"/>
  <c r="EU193" i="4"/>
  <c r="EU194" i="4"/>
  <c r="EU195" i="4"/>
  <c r="EU196" i="4"/>
  <c r="EU197" i="4"/>
  <c r="EU198" i="4"/>
  <c r="EU199" i="4"/>
  <c r="EU200" i="4"/>
  <c r="EU201" i="4"/>
  <c r="EU202" i="4"/>
  <c r="EU203" i="4"/>
  <c r="EU204" i="4"/>
  <c r="EU205" i="4"/>
  <c r="EU206" i="4"/>
  <c r="EU207" i="4"/>
  <c r="EU208" i="4"/>
  <c r="EU209" i="4"/>
  <c r="EU210" i="4"/>
  <c r="EU211" i="4"/>
  <c r="EU212" i="4"/>
  <c r="EU213" i="4"/>
  <c r="EU214" i="4"/>
  <c r="EU215" i="4"/>
  <c r="EU216" i="4"/>
  <c r="EU217" i="4"/>
  <c r="EU218" i="4"/>
  <c r="EU219" i="4"/>
  <c r="EU220" i="4"/>
  <c r="EU221" i="4"/>
  <c r="EU222" i="4"/>
  <c r="EU223" i="4"/>
  <c r="EU224" i="4"/>
  <c r="EU225" i="4"/>
  <c r="EU226" i="4"/>
  <c r="EU227" i="4"/>
  <c r="EU228" i="4"/>
  <c r="EU229" i="4"/>
  <c r="EU230" i="4"/>
  <c r="EU231" i="4"/>
  <c r="EU232" i="4"/>
  <c r="EU233" i="4"/>
  <c r="EU234" i="4"/>
  <c r="EU235" i="4"/>
  <c r="EU236" i="4"/>
  <c r="EU237" i="4"/>
  <c r="EU238" i="4"/>
  <c r="EU239" i="4"/>
  <c r="EU240" i="4"/>
  <c r="EU241" i="4"/>
  <c r="EU242" i="4"/>
  <c r="EU243" i="4"/>
  <c r="EU244" i="4"/>
  <c r="EU245" i="4"/>
  <c r="EU246" i="4"/>
  <c r="EU247" i="4"/>
  <c r="EV3" i="4" l="1"/>
  <c r="EX3" i="4" s="1"/>
  <c r="EV4" i="4"/>
  <c r="EX4" i="4" s="1"/>
  <c r="EV5" i="4"/>
  <c r="EX5" i="4" s="1"/>
  <c r="EV6" i="4"/>
  <c r="EX6" i="4" s="1"/>
  <c r="EV7" i="4"/>
  <c r="EX7" i="4" s="1"/>
  <c r="EV8" i="4"/>
  <c r="EX8" i="4" s="1"/>
  <c r="EV9" i="4"/>
  <c r="EX9" i="4" s="1"/>
  <c r="EV10" i="4"/>
  <c r="EX10" i="4" s="1"/>
  <c r="EV11" i="4"/>
  <c r="EX11" i="4" s="1"/>
  <c r="EV12" i="4"/>
  <c r="EX12" i="4" s="1"/>
  <c r="EV13" i="4"/>
  <c r="EX13" i="4" s="1"/>
  <c r="EV14" i="4"/>
  <c r="EX14" i="4" s="1"/>
  <c r="EV15" i="4"/>
  <c r="EX15" i="4" s="1"/>
  <c r="EV16" i="4"/>
  <c r="EX16" i="4" s="1"/>
  <c r="EV17" i="4"/>
  <c r="EX17" i="4" s="1"/>
  <c r="EV18" i="4"/>
  <c r="EX18" i="4" s="1"/>
  <c r="EV19" i="4"/>
  <c r="EX19" i="4" s="1"/>
  <c r="EV20" i="4"/>
  <c r="EX20" i="4" s="1"/>
  <c r="EV21" i="4"/>
  <c r="EX21" i="4" s="1"/>
  <c r="EV22" i="4"/>
  <c r="EX22" i="4" s="1"/>
  <c r="EV23" i="4"/>
  <c r="EX23" i="4" s="1"/>
  <c r="EV24" i="4"/>
  <c r="EX24" i="4" s="1"/>
  <c r="EV25" i="4"/>
  <c r="EX25" i="4" s="1"/>
  <c r="EV26" i="4"/>
  <c r="EX26" i="4" s="1"/>
  <c r="EV27" i="4"/>
  <c r="EX27" i="4" s="1"/>
  <c r="EV28" i="4"/>
  <c r="EX28" i="4" s="1"/>
  <c r="EV29" i="4"/>
  <c r="EX29" i="4" s="1"/>
  <c r="EV30" i="4"/>
  <c r="EX30" i="4" s="1"/>
  <c r="EV31" i="4"/>
  <c r="EX31" i="4" s="1"/>
  <c r="EV32" i="4"/>
  <c r="EX32" i="4" s="1"/>
  <c r="EV33" i="4"/>
  <c r="EX33" i="4" s="1"/>
  <c r="EV34" i="4"/>
  <c r="EX34" i="4" s="1"/>
  <c r="EV35" i="4"/>
  <c r="EX35" i="4" s="1"/>
  <c r="EV36" i="4"/>
  <c r="EX36" i="4" s="1"/>
  <c r="EV37" i="4"/>
  <c r="EX37" i="4" s="1"/>
  <c r="EV38" i="4"/>
  <c r="EX38" i="4" s="1"/>
  <c r="EV39" i="4"/>
  <c r="EX39" i="4" s="1"/>
  <c r="EV40" i="4"/>
  <c r="EX40" i="4" s="1"/>
  <c r="EV41" i="4"/>
  <c r="EX41" i="4" s="1"/>
  <c r="EV42" i="4"/>
  <c r="EX42" i="4" s="1"/>
  <c r="EV43" i="4"/>
  <c r="EX43" i="4" s="1"/>
  <c r="EV44" i="4"/>
  <c r="EX44" i="4" s="1"/>
  <c r="EV45" i="4"/>
  <c r="EX45" i="4" s="1"/>
  <c r="EV46" i="4"/>
  <c r="EX46" i="4" s="1"/>
  <c r="EV47" i="4"/>
  <c r="EX47" i="4" s="1"/>
  <c r="EV48" i="4"/>
  <c r="EX48" i="4" s="1"/>
  <c r="EV49" i="4"/>
  <c r="EX49" i="4" s="1"/>
  <c r="EV50" i="4"/>
  <c r="EX50" i="4" s="1"/>
  <c r="EV51" i="4"/>
  <c r="EX51" i="4" s="1"/>
  <c r="EV52" i="4"/>
  <c r="EX52" i="4" s="1"/>
  <c r="EV53" i="4"/>
  <c r="EX53" i="4" s="1"/>
  <c r="EV54" i="4"/>
  <c r="EX54" i="4" s="1"/>
  <c r="EV55" i="4"/>
  <c r="EX55" i="4" s="1"/>
  <c r="EV56" i="4"/>
  <c r="EX56" i="4" s="1"/>
  <c r="EV57" i="4"/>
  <c r="EX57" i="4" s="1"/>
  <c r="EV58" i="4"/>
  <c r="EX58" i="4" s="1"/>
  <c r="EV59" i="4"/>
  <c r="EX59" i="4" s="1"/>
  <c r="EV60" i="4"/>
  <c r="EX60" i="4" s="1"/>
  <c r="EV61" i="4"/>
  <c r="EX61" i="4" s="1"/>
  <c r="EV62" i="4"/>
  <c r="EX62" i="4" s="1"/>
  <c r="EV63" i="4"/>
  <c r="EX63" i="4" s="1"/>
  <c r="EV64" i="4"/>
  <c r="EX64" i="4" s="1"/>
  <c r="EV65" i="4"/>
  <c r="EX65" i="4" s="1"/>
  <c r="EV66" i="4"/>
  <c r="EX66" i="4" s="1"/>
  <c r="EV67" i="4"/>
  <c r="EX67" i="4" s="1"/>
  <c r="EV68" i="4"/>
  <c r="EX68" i="4" s="1"/>
  <c r="EV69" i="4"/>
  <c r="EX69" i="4" s="1"/>
  <c r="EV70" i="4"/>
  <c r="EX70" i="4" s="1"/>
  <c r="EV71" i="4"/>
  <c r="EX71" i="4" s="1"/>
  <c r="EV72" i="4"/>
  <c r="EX72" i="4" s="1"/>
  <c r="EV73" i="4"/>
  <c r="EX73" i="4" s="1"/>
  <c r="EV74" i="4"/>
  <c r="EX74" i="4" s="1"/>
  <c r="EV75" i="4"/>
  <c r="EX75" i="4" s="1"/>
  <c r="EV76" i="4"/>
  <c r="EX76" i="4" s="1"/>
  <c r="EV77" i="4"/>
  <c r="EX77" i="4" s="1"/>
  <c r="EV78" i="4"/>
  <c r="EX78" i="4" s="1"/>
  <c r="EV79" i="4"/>
  <c r="EX79" i="4" s="1"/>
  <c r="EV80" i="4"/>
  <c r="EX80" i="4" s="1"/>
  <c r="EV81" i="4"/>
  <c r="EX81" i="4" s="1"/>
  <c r="EV82" i="4"/>
  <c r="EX82" i="4" s="1"/>
  <c r="EV83" i="4"/>
  <c r="EX83" i="4" s="1"/>
  <c r="EV84" i="4"/>
  <c r="EX84" i="4" s="1"/>
  <c r="EV85" i="4"/>
  <c r="EX85" i="4" s="1"/>
  <c r="EV86" i="4"/>
  <c r="EX86" i="4" s="1"/>
  <c r="EV87" i="4"/>
  <c r="EX87" i="4" s="1"/>
  <c r="EV88" i="4"/>
  <c r="EX88" i="4" s="1"/>
  <c r="EV89" i="4"/>
  <c r="EX89" i="4" s="1"/>
  <c r="EV90" i="4"/>
  <c r="EX90" i="4" s="1"/>
  <c r="EV91" i="4"/>
  <c r="EX91" i="4" s="1"/>
  <c r="EV92" i="4"/>
  <c r="EX92" i="4" s="1"/>
  <c r="EV93" i="4"/>
  <c r="EX93" i="4" s="1"/>
  <c r="EV94" i="4"/>
  <c r="EX94" i="4" s="1"/>
  <c r="EV95" i="4"/>
  <c r="EX95" i="4" s="1"/>
  <c r="EV96" i="4"/>
  <c r="EX96" i="4" s="1"/>
  <c r="EV97" i="4"/>
  <c r="EX97" i="4" s="1"/>
  <c r="EV98" i="4"/>
  <c r="EX98" i="4" s="1"/>
  <c r="EV99" i="4"/>
  <c r="EX99" i="4" s="1"/>
  <c r="EV100" i="4"/>
  <c r="EX100" i="4" s="1"/>
  <c r="EV101" i="4"/>
  <c r="EX101" i="4" s="1"/>
  <c r="EV102" i="4"/>
  <c r="EX102" i="4" s="1"/>
  <c r="EV103" i="4"/>
  <c r="EX103" i="4" s="1"/>
  <c r="EV104" i="4"/>
  <c r="EX104" i="4" s="1"/>
  <c r="EV105" i="4"/>
  <c r="EX105" i="4" s="1"/>
  <c r="EV106" i="4"/>
  <c r="EX106" i="4" s="1"/>
  <c r="EV107" i="4"/>
  <c r="EX107" i="4" s="1"/>
  <c r="EV108" i="4"/>
  <c r="EX108" i="4" s="1"/>
  <c r="EV109" i="4"/>
  <c r="EX109" i="4" s="1"/>
  <c r="EV110" i="4"/>
  <c r="EX110" i="4" s="1"/>
  <c r="EV111" i="4"/>
  <c r="EX111" i="4" s="1"/>
  <c r="EV112" i="4"/>
  <c r="EX112" i="4" s="1"/>
  <c r="EV113" i="4"/>
  <c r="EX113" i="4" s="1"/>
  <c r="EV114" i="4"/>
  <c r="EX114" i="4" s="1"/>
  <c r="EV115" i="4"/>
  <c r="EX115" i="4" s="1"/>
  <c r="EV116" i="4"/>
  <c r="EX116" i="4" s="1"/>
  <c r="EV117" i="4"/>
  <c r="EX117" i="4" s="1"/>
  <c r="EV118" i="4"/>
  <c r="EX118" i="4" s="1"/>
  <c r="EV119" i="4"/>
  <c r="EX119" i="4" s="1"/>
  <c r="EV120" i="4"/>
  <c r="EX120" i="4" s="1"/>
  <c r="EV121" i="4"/>
  <c r="EX121" i="4" s="1"/>
  <c r="EV122" i="4"/>
  <c r="EX122" i="4" s="1"/>
  <c r="EV123" i="4"/>
  <c r="EX123" i="4" s="1"/>
  <c r="EV124" i="4"/>
  <c r="EX124" i="4" s="1"/>
  <c r="EV125" i="4"/>
  <c r="EX125" i="4" s="1"/>
  <c r="EV126" i="4"/>
  <c r="EX126" i="4" s="1"/>
  <c r="EV127" i="4"/>
  <c r="EX127" i="4" s="1"/>
  <c r="EV128" i="4"/>
  <c r="EX128" i="4" s="1"/>
  <c r="EV129" i="4"/>
  <c r="EX129" i="4" s="1"/>
  <c r="EV130" i="4"/>
  <c r="EX130" i="4" s="1"/>
  <c r="EV131" i="4"/>
  <c r="EX131" i="4" s="1"/>
  <c r="EV132" i="4"/>
  <c r="EX132" i="4" s="1"/>
  <c r="EV133" i="4"/>
  <c r="EX133" i="4" s="1"/>
  <c r="EV134" i="4"/>
  <c r="EX134" i="4" s="1"/>
  <c r="EV135" i="4"/>
  <c r="EX135" i="4" s="1"/>
  <c r="EV136" i="4"/>
  <c r="EX136" i="4" s="1"/>
  <c r="EV137" i="4"/>
  <c r="EX137" i="4" s="1"/>
  <c r="EV138" i="4"/>
  <c r="EX138" i="4" s="1"/>
  <c r="EV139" i="4"/>
  <c r="EX139" i="4" s="1"/>
  <c r="EV140" i="4"/>
  <c r="EX140" i="4" s="1"/>
  <c r="EV141" i="4"/>
  <c r="EX141" i="4" s="1"/>
  <c r="EV142" i="4"/>
  <c r="EX142" i="4" s="1"/>
  <c r="EV143" i="4"/>
  <c r="EX143" i="4" s="1"/>
  <c r="EV144" i="4"/>
  <c r="EX144" i="4" s="1"/>
  <c r="EV145" i="4"/>
  <c r="EX145" i="4" s="1"/>
  <c r="EV146" i="4"/>
  <c r="EX146" i="4" s="1"/>
  <c r="EV147" i="4"/>
  <c r="EX147" i="4" s="1"/>
  <c r="EV148" i="4"/>
  <c r="EX148" i="4" s="1"/>
  <c r="EV149" i="4"/>
  <c r="EX149" i="4" s="1"/>
  <c r="EV150" i="4"/>
  <c r="EX150" i="4" s="1"/>
  <c r="EV151" i="4"/>
  <c r="EX151" i="4" s="1"/>
  <c r="EV152" i="4"/>
  <c r="EX152" i="4" s="1"/>
  <c r="EV153" i="4"/>
  <c r="EX153" i="4" s="1"/>
  <c r="EV154" i="4"/>
  <c r="EX154" i="4" s="1"/>
  <c r="EV155" i="4"/>
  <c r="EX155" i="4" s="1"/>
  <c r="EV156" i="4"/>
  <c r="EX156" i="4" s="1"/>
  <c r="EV157" i="4"/>
  <c r="EX157" i="4" s="1"/>
  <c r="EV158" i="4"/>
  <c r="EX158" i="4" s="1"/>
  <c r="EV159" i="4"/>
  <c r="EX159" i="4" s="1"/>
  <c r="EV160" i="4"/>
  <c r="EX160" i="4" s="1"/>
  <c r="EV161" i="4"/>
  <c r="EX161" i="4" s="1"/>
  <c r="EV162" i="4"/>
  <c r="EX162" i="4" s="1"/>
  <c r="EV163" i="4"/>
  <c r="EX163" i="4" s="1"/>
  <c r="EV164" i="4"/>
  <c r="EX164" i="4" s="1"/>
  <c r="EV165" i="4"/>
  <c r="EX165" i="4" s="1"/>
  <c r="EV166" i="4"/>
  <c r="EX166" i="4" s="1"/>
  <c r="EV167" i="4"/>
  <c r="EX167" i="4" s="1"/>
  <c r="EV168" i="4"/>
  <c r="EX168" i="4" s="1"/>
  <c r="EV169" i="4"/>
  <c r="EX169" i="4" s="1"/>
  <c r="EV170" i="4"/>
  <c r="EX170" i="4" s="1"/>
  <c r="EV171" i="4"/>
  <c r="EX171" i="4" s="1"/>
  <c r="EV172" i="4"/>
  <c r="EX172" i="4" s="1"/>
  <c r="EV173" i="4"/>
  <c r="EX173" i="4" s="1"/>
  <c r="EV174" i="4"/>
  <c r="EX174" i="4" s="1"/>
  <c r="EV175" i="4"/>
  <c r="EX175" i="4" s="1"/>
  <c r="EV176" i="4"/>
  <c r="EX176" i="4" s="1"/>
  <c r="EV177" i="4"/>
  <c r="EX177" i="4" s="1"/>
  <c r="EV178" i="4"/>
  <c r="EX178" i="4" s="1"/>
  <c r="EV179" i="4"/>
  <c r="EX179" i="4" s="1"/>
  <c r="EV180" i="4"/>
  <c r="EX180" i="4" s="1"/>
  <c r="EV181" i="4"/>
  <c r="EX181" i="4" s="1"/>
  <c r="EV182" i="4"/>
  <c r="EX182" i="4" s="1"/>
  <c r="EV183" i="4"/>
  <c r="EX183" i="4" s="1"/>
  <c r="EV184" i="4"/>
  <c r="EX184" i="4" s="1"/>
  <c r="EV185" i="4"/>
  <c r="EX185" i="4" s="1"/>
  <c r="EV186" i="4"/>
  <c r="EX186" i="4" s="1"/>
  <c r="EV187" i="4"/>
  <c r="EX187" i="4" s="1"/>
  <c r="EV188" i="4"/>
  <c r="EX188" i="4" s="1"/>
  <c r="EV189" i="4"/>
  <c r="EX189" i="4" s="1"/>
  <c r="EV190" i="4"/>
  <c r="EX190" i="4" s="1"/>
  <c r="EV191" i="4"/>
  <c r="EX191" i="4" s="1"/>
  <c r="EV192" i="4"/>
  <c r="EX192" i="4" s="1"/>
  <c r="EV193" i="4"/>
  <c r="EX193" i="4" s="1"/>
  <c r="EV194" i="4"/>
  <c r="EX194" i="4" s="1"/>
  <c r="EV195" i="4"/>
  <c r="EX195" i="4" s="1"/>
  <c r="EV196" i="4"/>
  <c r="EX196" i="4" s="1"/>
  <c r="EV197" i="4"/>
  <c r="EX197" i="4" s="1"/>
  <c r="EV198" i="4"/>
  <c r="EX198" i="4" s="1"/>
  <c r="EV199" i="4"/>
  <c r="EX199" i="4" s="1"/>
  <c r="EV200" i="4"/>
  <c r="EX200" i="4" s="1"/>
  <c r="EV201" i="4"/>
  <c r="EX201" i="4" s="1"/>
  <c r="EV202" i="4"/>
  <c r="EX202" i="4" s="1"/>
  <c r="EV203" i="4"/>
  <c r="EX203" i="4" s="1"/>
  <c r="EV204" i="4"/>
  <c r="EX204" i="4" s="1"/>
  <c r="EV205" i="4"/>
  <c r="EX205" i="4" s="1"/>
  <c r="EV206" i="4"/>
  <c r="EX206" i="4" s="1"/>
  <c r="EV207" i="4"/>
  <c r="EX207" i="4" s="1"/>
  <c r="EV208" i="4"/>
  <c r="EX208" i="4" s="1"/>
  <c r="EV209" i="4"/>
  <c r="EX209" i="4" s="1"/>
  <c r="EV210" i="4"/>
  <c r="EX210" i="4" s="1"/>
  <c r="EV211" i="4"/>
  <c r="EX211" i="4" s="1"/>
  <c r="EV212" i="4"/>
  <c r="EX212" i="4" s="1"/>
  <c r="EV213" i="4"/>
  <c r="EX213" i="4" s="1"/>
  <c r="EV214" i="4"/>
  <c r="EX214" i="4" s="1"/>
  <c r="EV215" i="4"/>
  <c r="EX215" i="4" s="1"/>
  <c r="EV216" i="4"/>
  <c r="EX216" i="4" s="1"/>
  <c r="EV217" i="4"/>
  <c r="EX217" i="4" s="1"/>
  <c r="EV218" i="4"/>
  <c r="EX218" i="4" s="1"/>
  <c r="EV219" i="4"/>
  <c r="EX219" i="4" s="1"/>
  <c r="EV220" i="4"/>
  <c r="EX220" i="4" s="1"/>
  <c r="EV221" i="4"/>
  <c r="EX221" i="4" s="1"/>
  <c r="EV222" i="4"/>
  <c r="EX222" i="4" s="1"/>
  <c r="EV223" i="4"/>
  <c r="EX223" i="4" s="1"/>
  <c r="EV224" i="4"/>
  <c r="EX224" i="4" s="1"/>
  <c r="EV225" i="4"/>
  <c r="EX225" i="4" s="1"/>
  <c r="EV226" i="4"/>
  <c r="EX226" i="4" s="1"/>
  <c r="EV227" i="4"/>
  <c r="EX227" i="4" s="1"/>
  <c r="EV228" i="4"/>
  <c r="EX228" i="4" s="1"/>
  <c r="EV229" i="4"/>
  <c r="EX229" i="4" s="1"/>
  <c r="EV230" i="4"/>
  <c r="EX230" i="4" s="1"/>
  <c r="EV231" i="4"/>
  <c r="EX231" i="4" s="1"/>
  <c r="EV232" i="4"/>
  <c r="EX232" i="4" s="1"/>
  <c r="EV233" i="4"/>
  <c r="EX233" i="4" s="1"/>
  <c r="EV234" i="4"/>
  <c r="EX234" i="4" s="1"/>
  <c r="EV235" i="4"/>
  <c r="EX235" i="4" s="1"/>
  <c r="EV236" i="4"/>
  <c r="EX236" i="4" s="1"/>
  <c r="EV237" i="4"/>
  <c r="EX237" i="4" s="1"/>
  <c r="EV238" i="4"/>
  <c r="EX238" i="4" s="1"/>
  <c r="EV239" i="4"/>
  <c r="EX239" i="4" s="1"/>
  <c r="EV240" i="4"/>
  <c r="EX240" i="4" s="1"/>
  <c r="EV241" i="4"/>
  <c r="EX241" i="4" s="1"/>
  <c r="EV242" i="4"/>
  <c r="EX242" i="4" s="1"/>
  <c r="EV243" i="4"/>
  <c r="EX243" i="4" s="1"/>
  <c r="EV244" i="4"/>
  <c r="EX244" i="4" s="1"/>
  <c r="EV245" i="4"/>
  <c r="EX245" i="4" s="1"/>
  <c r="EV246" i="4"/>
  <c r="EX246" i="4" s="1"/>
  <c r="EV247" i="4"/>
  <c r="EX247" i="4" s="1"/>
  <c r="EV2" i="4"/>
  <c r="EX2" i="4" s="1"/>
  <c r="EQ8" i="4" l="1"/>
  <c r="CG169" i="4" l="1"/>
  <c r="CG208" i="4"/>
  <c r="CG206" i="4"/>
  <c r="CG151" i="4"/>
  <c r="CG176" i="4"/>
  <c r="CG150" i="4"/>
  <c r="CG177" i="4"/>
  <c r="CG190" i="4"/>
  <c r="CG171" i="4"/>
  <c r="CG166" i="4"/>
  <c r="CG156" i="4"/>
  <c r="CG172" i="4"/>
  <c r="CG160" i="4"/>
  <c r="CG212" i="4"/>
  <c r="CG142" i="4"/>
  <c r="CG43" i="4"/>
  <c r="CG68" i="4"/>
  <c r="CG35" i="4"/>
  <c r="CG36" i="4"/>
  <c r="CG49" i="4"/>
  <c r="CG63" i="4"/>
  <c r="CG146" i="4"/>
  <c r="CG37" i="4"/>
  <c r="CG48" i="4"/>
  <c r="CG72" i="4"/>
  <c r="CG97" i="4"/>
  <c r="CG38" i="4"/>
  <c r="CG60" i="4"/>
  <c r="CG132" i="4"/>
  <c r="CG47" i="4"/>
  <c r="CG87" i="4"/>
  <c r="CG46" i="4"/>
  <c r="CG55" i="4"/>
  <c r="CG58" i="4"/>
  <c r="CG39" i="4"/>
  <c r="CG80" i="4"/>
  <c r="CG82" i="4"/>
  <c r="CG59" i="4"/>
  <c r="CG64" i="4"/>
  <c r="CG51" i="4"/>
  <c r="CG67" i="4"/>
  <c r="CG139" i="4"/>
  <c r="CG96" i="4"/>
  <c r="CG44" i="4"/>
  <c r="CG95" i="4"/>
  <c r="CG57" i="4"/>
  <c r="CG66" i="4"/>
  <c r="CG50" i="4"/>
  <c r="CG53" i="4"/>
  <c r="CG54" i="4"/>
  <c r="CG90" i="4"/>
  <c r="CG62" i="4"/>
  <c r="CG91" i="4"/>
  <c r="CG89" i="4"/>
  <c r="CG65" i="4"/>
  <c r="CG101" i="4"/>
  <c r="CG83" i="4"/>
  <c r="CG133" i="4"/>
  <c r="CG77" i="4"/>
  <c r="CG113" i="4"/>
  <c r="CG100" i="4"/>
  <c r="CG40" i="4"/>
  <c r="CG86" i="4"/>
  <c r="CG105" i="4"/>
  <c r="CG56" i="4"/>
  <c r="CG52" i="4"/>
  <c r="CG138" i="4"/>
  <c r="CG71" i="4"/>
  <c r="CG201" i="4"/>
  <c r="CG149" i="4"/>
  <c r="CG163" i="4"/>
  <c r="CG187" i="4"/>
  <c r="CG189" i="4"/>
  <c r="CG188" i="4"/>
  <c r="CG184" i="4"/>
  <c r="CG170" i="4"/>
  <c r="CG198" i="4"/>
  <c r="CG209" i="4"/>
  <c r="CG161" i="4"/>
  <c r="CG214" i="4"/>
  <c r="CG183" i="4"/>
  <c r="CG191" i="4"/>
  <c r="CG152" i="4"/>
  <c r="CG192" i="4"/>
  <c r="CG205" i="4"/>
  <c r="CG181" i="4"/>
  <c r="CG195" i="4"/>
  <c r="CG211" i="4"/>
  <c r="CG207" i="4"/>
  <c r="CG210" i="4"/>
  <c r="CG159" i="4"/>
  <c r="CG154" i="4"/>
  <c r="CG153" i="4"/>
  <c r="CG213" i="4"/>
  <c r="CG168" i="4"/>
  <c r="CG175" i="4"/>
  <c r="CG203" i="4"/>
  <c r="CG197" i="4"/>
  <c r="CG180" i="4"/>
  <c r="CG200" i="4"/>
  <c r="CG173" i="4"/>
  <c r="CG174" i="4"/>
  <c r="CG186" i="4"/>
  <c r="CG182" i="4"/>
  <c r="CG179" i="4"/>
  <c r="CG194" i="4"/>
  <c r="CG167" i="4"/>
  <c r="CG185" i="4"/>
  <c r="CG165" i="4"/>
  <c r="CG202" i="4"/>
  <c r="CG157" i="4"/>
  <c r="CG193" i="4"/>
  <c r="CG204" i="4"/>
  <c r="CG155" i="4"/>
  <c r="CG158" i="4"/>
  <c r="CG164" i="4"/>
  <c r="CG178" i="4"/>
  <c r="CG199" i="4"/>
  <c r="CG162" i="4"/>
  <c r="CG69" i="4"/>
  <c r="CG124" i="4"/>
  <c r="CG102" i="4"/>
  <c r="CG130" i="4"/>
  <c r="CG103" i="4"/>
  <c r="CG104" i="4"/>
  <c r="CG107" i="4"/>
  <c r="CG74" i="4"/>
  <c r="CG94" i="4"/>
  <c r="CG41" i="4"/>
  <c r="CG75" i="4"/>
  <c r="CG123" i="4"/>
  <c r="CG73" i="4"/>
  <c r="CG135" i="4"/>
  <c r="CG45" i="4"/>
  <c r="CG117" i="4"/>
  <c r="CG118" i="4"/>
  <c r="CG127" i="4"/>
  <c r="CG129" i="4"/>
  <c r="CG78" i="4"/>
  <c r="CG61" i="4"/>
  <c r="CG147" i="4"/>
  <c r="CG112" i="4"/>
  <c r="CG70" i="4"/>
  <c r="CG92" i="4"/>
  <c r="CG131" i="4"/>
  <c r="CG144" i="4"/>
  <c r="CG111" i="4"/>
  <c r="CG134" i="4"/>
  <c r="CG121" i="4"/>
  <c r="CG126" i="4"/>
  <c r="CG136" i="4"/>
  <c r="CG119" i="4"/>
  <c r="CG145" i="4"/>
  <c r="CG115" i="4"/>
  <c r="CG141" i="4"/>
  <c r="CG140" i="4"/>
  <c r="CG143" i="4"/>
  <c r="CG125" i="4"/>
  <c r="CG88" i="4"/>
  <c r="CG106" i="4"/>
  <c r="CG128" i="4"/>
  <c r="CG114" i="4"/>
  <c r="CG109" i="4"/>
  <c r="CG79" i="4"/>
  <c r="CG108" i="4"/>
  <c r="CG85" i="4"/>
  <c r="CG120" i="4"/>
  <c r="CG110" i="4"/>
  <c r="CG81" i="4"/>
  <c r="CG99" i="4"/>
  <c r="CG122" i="4"/>
  <c r="CG76" i="4"/>
  <c r="CG116" i="4"/>
  <c r="CG137" i="4"/>
  <c r="CG42" i="4"/>
  <c r="CG98" i="4"/>
  <c r="CG93" i="4"/>
  <c r="CG84" i="4"/>
  <c r="CG148" i="4"/>
  <c r="CG217" i="4"/>
  <c r="CG216" i="4"/>
  <c r="CG215" i="4"/>
  <c r="CG247" i="4"/>
  <c r="CG234" i="4"/>
  <c r="CG245" i="4"/>
  <c r="CG244" i="4"/>
  <c r="CG233" i="4"/>
  <c r="CG242" i="4"/>
  <c r="CG231" i="4"/>
  <c r="CG237" i="4"/>
  <c r="CG241" i="4"/>
  <c r="CG230" i="4"/>
  <c r="CG240" i="4"/>
  <c r="CG243" i="4"/>
  <c r="CG239" i="4"/>
  <c r="CG238" i="4"/>
  <c r="CG235" i="4"/>
  <c r="CG236" i="4"/>
  <c r="CG232" i="4"/>
  <c r="CG246" i="4"/>
  <c r="CG7" i="4"/>
  <c r="CG10" i="4"/>
  <c r="CG8" i="4"/>
  <c r="CG9" i="4"/>
  <c r="CG6" i="4"/>
  <c r="CG11" i="4"/>
  <c r="CG12" i="4"/>
  <c r="CG13" i="4"/>
  <c r="CG14" i="4"/>
  <c r="CG32" i="4"/>
  <c r="CG33" i="4"/>
  <c r="CG34" i="4"/>
  <c r="CG223" i="4"/>
  <c r="CG229" i="4"/>
  <c r="CG224" i="4"/>
  <c r="CG220" i="4"/>
  <c r="CG226" i="4"/>
  <c r="CG222" i="4"/>
  <c r="CG221" i="4"/>
  <c r="CG219" i="4"/>
  <c r="CG228" i="4"/>
  <c r="CG225" i="4"/>
  <c r="CG218" i="4"/>
  <c r="CG227" i="4"/>
  <c r="CG2" i="4"/>
  <c r="CG5" i="4"/>
  <c r="CG3" i="4"/>
  <c r="CG4" i="4"/>
  <c r="CG26" i="4"/>
  <c r="CG21" i="4"/>
  <c r="CG16" i="4"/>
  <c r="CG23" i="4"/>
  <c r="CG30" i="4"/>
  <c r="CG18" i="4"/>
  <c r="CG22" i="4"/>
  <c r="CG15" i="4"/>
  <c r="CG27" i="4"/>
  <c r="CG24" i="4"/>
  <c r="CG17" i="4"/>
  <c r="CG19" i="4"/>
  <c r="CG25" i="4"/>
  <c r="CG20" i="4"/>
  <c r="CG28" i="4"/>
  <c r="CG31" i="4"/>
  <c r="CG29" i="4"/>
  <c r="CG196" i="4"/>
  <c r="BW169" i="4"/>
  <c r="BW208" i="4"/>
  <c r="BW206" i="4"/>
  <c r="BW151" i="4"/>
  <c r="BW176" i="4"/>
  <c r="BW150" i="4"/>
  <c r="BW177" i="4"/>
  <c r="BW190" i="4"/>
  <c r="BW171" i="4"/>
  <c r="BW166" i="4"/>
  <c r="BW156" i="4"/>
  <c r="BW172" i="4"/>
  <c r="BW160" i="4"/>
  <c r="BW212" i="4"/>
  <c r="BW142" i="4"/>
  <c r="BW43" i="4"/>
  <c r="BW68" i="4"/>
  <c r="BW35" i="4"/>
  <c r="BW36" i="4"/>
  <c r="BW49" i="4"/>
  <c r="BW63" i="4"/>
  <c r="BW146" i="4"/>
  <c r="BW37" i="4"/>
  <c r="BW48" i="4"/>
  <c r="BW72" i="4"/>
  <c r="BW97" i="4"/>
  <c r="BW38" i="4"/>
  <c r="BW60" i="4"/>
  <c r="BW132" i="4"/>
  <c r="BW47" i="4"/>
  <c r="BW87" i="4"/>
  <c r="BW46" i="4"/>
  <c r="BW55" i="4"/>
  <c r="BW58" i="4"/>
  <c r="BW39" i="4"/>
  <c r="BW80" i="4"/>
  <c r="BW82" i="4"/>
  <c r="BW59" i="4"/>
  <c r="BW64" i="4"/>
  <c r="BW51" i="4"/>
  <c r="BW67" i="4"/>
  <c r="BW139" i="4"/>
  <c r="BW96" i="4"/>
  <c r="BW44" i="4"/>
  <c r="BW95" i="4"/>
  <c r="BW57" i="4"/>
  <c r="BW66" i="4"/>
  <c r="BW50" i="4"/>
  <c r="BW53" i="4"/>
  <c r="BW54" i="4"/>
  <c r="BW90" i="4"/>
  <c r="BW62" i="4"/>
  <c r="BW91" i="4"/>
  <c r="BW89" i="4"/>
  <c r="BW65" i="4"/>
  <c r="BW101" i="4"/>
  <c r="BW83" i="4"/>
  <c r="BW133" i="4"/>
  <c r="BW77" i="4"/>
  <c r="BW113" i="4"/>
  <c r="BW100" i="4"/>
  <c r="BW40" i="4"/>
  <c r="BW86" i="4"/>
  <c r="BW105" i="4"/>
  <c r="BW56" i="4"/>
  <c r="BW52" i="4"/>
  <c r="BW138" i="4"/>
  <c r="BW71" i="4"/>
  <c r="BW201" i="4"/>
  <c r="BW149" i="4"/>
  <c r="BW163" i="4"/>
  <c r="BW187" i="4"/>
  <c r="BW189" i="4"/>
  <c r="BW188" i="4"/>
  <c r="BW184" i="4"/>
  <c r="BW170" i="4"/>
  <c r="BW198" i="4"/>
  <c r="BW209" i="4"/>
  <c r="BW161" i="4"/>
  <c r="BW214" i="4"/>
  <c r="BW183" i="4"/>
  <c r="BW191" i="4"/>
  <c r="BW152" i="4"/>
  <c r="BW192" i="4"/>
  <c r="BW205" i="4"/>
  <c r="BW181" i="4"/>
  <c r="BW195" i="4"/>
  <c r="BW211" i="4"/>
  <c r="BW207" i="4"/>
  <c r="BW210" i="4"/>
  <c r="BW159" i="4"/>
  <c r="BW154" i="4"/>
  <c r="BW153" i="4"/>
  <c r="BW213" i="4"/>
  <c r="BW168" i="4"/>
  <c r="BW175" i="4"/>
  <c r="BW203" i="4"/>
  <c r="BW197" i="4"/>
  <c r="BW180" i="4"/>
  <c r="BW200" i="4"/>
  <c r="BW173" i="4"/>
  <c r="BW174" i="4"/>
  <c r="BW186" i="4"/>
  <c r="BW182" i="4"/>
  <c r="BW179" i="4"/>
  <c r="BW194" i="4"/>
  <c r="BW167" i="4"/>
  <c r="BW185" i="4"/>
  <c r="BW165" i="4"/>
  <c r="BW202" i="4"/>
  <c r="BW157" i="4"/>
  <c r="BW193" i="4"/>
  <c r="BW204" i="4"/>
  <c r="BW155" i="4"/>
  <c r="BW158" i="4"/>
  <c r="BW164" i="4"/>
  <c r="BW178" i="4"/>
  <c r="BW199" i="4"/>
  <c r="BW162" i="4"/>
  <c r="BW69" i="4"/>
  <c r="BW124" i="4"/>
  <c r="BW102" i="4"/>
  <c r="BW130" i="4"/>
  <c r="BW103" i="4"/>
  <c r="BW104" i="4"/>
  <c r="BW107" i="4"/>
  <c r="BW74" i="4"/>
  <c r="BW94" i="4"/>
  <c r="BW41" i="4"/>
  <c r="BW75" i="4"/>
  <c r="BW123" i="4"/>
  <c r="BW73" i="4"/>
  <c r="BW135" i="4"/>
  <c r="BW45" i="4"/>
  <c r="BW117" i="4"/>
  <c r="BW118" i="4"/>
  <c r="BW127" i="4"/>
  <c r="BW129" i="4"/>
  <c r="BW78" i="4"/>
  <c r="BW61" i="4"/>
  <c r="BW147" i="4"/>
  <c r="BW112" i="4"/>
  <c r="BW70" i="4"/>
  <c r="BW92" i="4"/>
  <c r="BW131" i="4"/>
  <c r="BW144" i="4"/>
  <c r="BW111" i="4"/>
  <c r="BW134" i="4"/>
  <c r="BW121" i="4"/>
  <c r="BW126" i="4"/>
  <c r="BW136" i="4"/>
  <c r="BW119" i="4"/>
  <c r="BW145" i="4"/>
  <c r="BW115" i="4"/>
  <c r="BW141" i="4"/>
  <c r="BW140" i="4"/>
  <c r="BW143" i="4"/>
  <c r="BW125" i="4"/>
  <c r="BW88" i="4"/>
  <c r="BW106" i="4"/>
  <c r="BW128" i="4"/>
  <c r="BW114" i="4"/>
  <c r="BW109" i="4"/>
  <c r="BW79" i="4"/>
  <c r="BW108" i="4"/>
  <c r="BW85" i="4"/>
  <c r="BW120" i="4"/>
  <c r="BW110" i="4"/>
  <c r="BW81" i="4"/>
  <c r="BW99" i="4"/>
  <c r="BW122" i="4"/>
  <c r="BW76" i="4"/>
  <c r="BW116" i="4"/>
  <c r="BW137" i="4"/>
  <c r="BW42" i="4"/>
  <c r="BW98" i="4"/>
  <c r="BW93" i="4"/>
  <c r="BW84" i="4"/>
  <c r="BW148" i="4"/>
  <c r="BW217" i="4"/>
  <c r="BW216" i="4"/>
  <c r="BW215" i="4"/>
  <c r="BW247" i="4"/>
  <c r="BW234" i="4"/>
  <c r="BW245" i="4"/>
  <c r="BW244" i="4"/>
  <c r="BW233" i="4"/>
  <c r="BW242" i="4"/>
  <c r="BW231" i="4"/>
  <c r="BW237" i="4"/>
  <c r="BW241" i="4"/>
  <c r="BW230" i="4"/>
  <c r="BW240" i="4"/>
  <c r="BW243" i="4"/>
  <c r="BW239" i="4"/>
  <c r="BW238" i="4"/>
  <c r="BW235" i="4"/>
  <c r="BW236" i="4"/>
  <c r="BW232" i="4"/>
  <c r="BW246" i="4"/>
  <c r="BW7" i="4"/>
  <c r="BW10" i="4"/>
  <c r="BW8" i="4"/>
  <c r="BW9" i="4"/>
  <c r="BW6" i="4"/>
  <c r="BW11" i="4"/>
  <c r="BW12" i="4"/>
  <c r="BW13" i="4"/>
  <c r="BW14" i="4"/>
  <c r="BW32" i="4"/>
  <c r="BW33" i="4"/>
  <c r="BW34" i="4"/>
  <c r="BW223" i="4"/>
  <c r="BW229" i="4"/>
  <c r="BW224" i="4"/>
  <c r="BW220" i="4"/>
  <c r="BW226" i="4"/>
  <c r="BW222" i="4"/>
  <c r="BW221" i="4"/>
  <c r="BW219" i="4"/>
  <c r="BW228" i="4"/>
  <c r="BW225" i="4"/>
  <c r="BW218" i="4"/>
  <c r="BW227" i="4"/>
  <c r="BW2" i="4"/>
  <c r="BW5" i="4"/>
  <c r="BW3" i="4"/>
  <c r="BW4" i="4"/>
  <c r="BW26" i="4"/>
  <c r="BW21" i="4"/>
  <c r="BW16" i="4"/>
  <c r="BW23" i="4"/>
  <c r="BW30" i="4"/>
  <c r="BW18" i="4"/>
  <c r="BW22" i="4"/>
  <c r="BW15" i="4"/>
  <c r="BW27" i="4"/>
  <c r="BW24" i="4"/>
  <c r="BW17" i="4"/>
  <c r="BW19" i="4"/>
  <c r="BW25" i="4"/>
  <c r="BW20" i="4"/>
  <c r="BW28" i="4"/>
  <c r="BW31" i="4"/>
  <c r="BW29" i="4"/>
  <c r="BW196" i="4"/>
  <c r="CI196" i="4"/>
  <c r="BD169" i="4"/>
  <c r="BE169" i="4" s="1"/>
  <c r="BD208" i="4"/>
  <c r="BE208" i="4" s="1"/>
  <c r="BD206" i="4"/>
  <c r="BE206" i="4" s="1"/>
  <c r="BD151" i="4"/>
  <c r="BE151" i="4" s="1"/>
  <c r="BD176" i="4"/>
  <c r="BE176" i="4" s="1"/>
  <c r="BD150" i="4"/>
  <c r="BE150" i="4" s="1"/>
  <c r="BD177" i="4"/>
  <c r="BE177" i="4" s="1"/>
  <c r="BD190" i="4"/>
  <c r="BE190" i="4" s="1"/>
  <c r="BD171" i="4"/>
  <c r="BE171" i="4" s="1"/>
  <c r="BD166" i="4"/>
  <c r="BE166" i="4" s="1"/>
  <c r="BD156" i="4"/>
  <c r="BE156" i="4" s="1"/>
  <c r="BD172" i="4"/>
  <c r="BE172" i="4" s="1"/>
  <c r="BD160" i="4"/>
  <c r="BE160" i="4" s="1"/>
  <c r="BD212" i="4"/>
  <c r="BE212" i="4" s="1"/>
  <c r="BD142" i="4"/>
  <c r="BE142" i="4" s="1"/>
  <c r="BD43" i="4"/>
  <c r="BE43" i="4" s="1"/>
  <c r="BD68" i="4"/>
  <c r="BE68" i="4" s="1"/>
  <c r="BD35" i="4"/>
  <c r="BE35" i="4" s="1"/>
  <c r="BD36" i="4"/>
  <c r="BE36" i="4" s="1"/>
  <c r="BD49" i="4"/>
  <c r="BE49" i="4" s="1"/>
  <c r="BD63" i="4"/>
  <c r="BE63" i="4" s="1"/>
  <c r="BD146" i="4"/>
  <c r="BE146" i="4" s="1"/>
  <c r="BD37" i="4"/>
  <c r="BE37" i="4" s="1"/>
  <c r="BD48" i="4"/>
  <c r="BE48" i="4" s="1"/>
  <c r="BD72" i="4"/>
  <c r="BE72" i="4" s="1"/>
  <c r="BD97" i="4"/>
  <c r="BE97" i="4" s="1"/>
  <c r="BD38" i="4"/>
  <c r="BE38" i="4" s="1"/>
  <c r="BD60" i="4"/>
  <c r="BE60" i="4" s="1"/>
  <c r="BD132" i="4"/>
  <c r="BE132" i="4" s="1"/>
  <c r="BD47" i="4"/>
  <c r="BE47" i="4" s="1"/>
  <c r="BD87" i="4"/>
  <c r="BE87" i="4" s="1"/>
  <c r="BD46" i="4"/>
  <c r="BE46" i="4" s="1"/>
  <c r="BD55" i="4"/>
  <c r="BE55" i="4" s="1"/>
  <c r="BD58" i="4"/>
  <c r="BE58" i="4" s="1"/>
  <c r="BD39" i="4"/>
  <c r="BE39" i="4" s="1"/>
  <c r="BD80" i="4"/>
  <c r="BE80" i="4" s="1"/>
  <c r="BD82" i="4"/>
  <c r="BE82" i="4" s="1"/>
  <c r="BD59" i="4"/>
  <c r="BE59" i="4" s="1"/>
  <c r="BD64" i="4"/>
  <c r="BE64" i="4" s="1"/>
  <c r="BD51" i="4"/>
  <c r="BE51" i="4" s="1"/>
  <c r="BD67" i="4"/>
  <c r="BE67" i="4" s="1"/>
  <c r="BD139" i="4"/>
  <c r="BE139" i="4" s="1"/>
  <c r="BD96" i="4"/>
  <c r="BE96" i="4" s="1"/>
  <c r="BD44" i="4"/>
  <c r="BE44" i="4" s="1"/>
  <c r="BD95" i="4"/>
  <c r="BE95" i="4" s="1"/>
  <c r="BD57" i="4"/>
  <c r="BE57" i="4" s="1"/>
  <c r="BD66" i="4"/>
  <c r="BE66" i="4" s="1"/>
  <c r="BD50" i="4"/>
  <c r="BE50" i="4" s="1"/>
  <c r="BD53" i="4"/>
  <c r="BE53" i="4" s="1"/>
  <c r="BD54" i="4"/>
  <c r="BE54" i="4" s="1"/>
  <c r="BD90" i="4"/>
  <c r="BE90" i="4" s="1"/>
  <c r="BD62" i="4"/>
  <c r="BE62" i="4" s="1"/>
  <c r="BD91" i="4"/>
  <c r="BE91" i="4" s="1"/>
  <c r="BD89" i="4"/>
  <c r="BE89" i="4" s="1"/>
  <c r="BD65" i="4"/>
  <c r="BE65" i="4" s="1"/>
  <c r="BD101" i="4"/>
  <c r="BE101" i="4" s="1"/>
  <c r="BD83" i="4"/>
  <c r="BE83" i="4" s="1"/>
  <c r="BD133" i="4"/>
  <c r="BE133" i="4" s="1"/>
  <c r="BD77" i="4"/>
  <c r="BE77" i="4" s="1"/>
  <c r="BD113" i="4"/>
  <c r="BE113" i="4" s="1"/>
  <c r="BD100" i="4"/>
  <c r="BE100" i="4" s="1"/>
  <c r="BD40" i="4"/>
  <c r="BE40" i="4" s="1"/>
  <c r="BD86" i="4"/>
  <c r="BE86" i="4" s="1"/>
  <c r="BD105" i="4"/>
  <c r="BE105" i="4" s="1"/>
  <c r="BD56" i="4"/>
  <c r="BE56" i="4" s="1"/>
  <c r="BD52" i="4"/>
  <c r="BE52" i="4" s="1"/>
  <c r="BD138" i="4"/>
  <c r="BE138" i="4" s="1"/>
  <c r="BD71" i="4"/>
  <c r="BE71" i="4" s="1"/>
  <c r="BD201" i="4"/>
  <c r="BE201" i="4" s="1"/>
  <c r="BD149" i="4"/>
  <c r="BE149" i="4" s="1"/>
  <c r="BD163" i="4"/>
  <c r="BE163" i="4" s="1"/>
  <c r="BD187" i="4"/>
  <c r="BE187" i="4" s="1"/>
  <c r="BD189" i="4"/>
  <c r="BE189" i="4" s="1"/>
  <c r="BD188" i="4"/>
  <c r="BE188" i="4" s="1"/>
  <c r="BD184" i="4"/>
  <c r="BE184" i="4" s="1"/>
  <c r="BD170" i="4"/>
  <c r="BE170" i="4" s="1"/>
  <c r="BD198" i="4"/>
  <c r="BE198" i="4" s="1"/>
  <c r="BD209" i="4"/>
  <c r="BE209" i="4" s="1"/>
  <c r="BD161" i="4"/>
  <c r="BE161" i="4" s="1"/>
  <c r="BD214" i="4"/>
  <c r="BE214" i="4" s="1"/>
  <c r="BD183" i="4"/>
  <c r="BE183" i="4" s="1"/>
  <c r="BD191" i="4"/>
  <c r="BE191" i="4" s="1"/>
  <c r="BD152" i="4"/>
  <c r="BE152" i="4" s="1"/>
  <c r="BD192" i="4"/>
  <c r="BE192" i="4" s="1"/>
  <c r="BD205" i="4"/>
  <c r="BE205" i="4" s="1"/>
  <c r="BD181" i="4"/>
  <c r="BE181" i="4" s="1"/>
  <c r="BD195" i="4"/>
  <c r="BE195" i="4" s="1"/>
  <c r="BD211" i="4"/>
  <c r="BE211" i="4" s="1"/>
  <c r="BD207" i="4"/>
  <c r="BE207" i="4" s="1"/>
  <c r="BD210" i="4"/>
  <c r="BE210" i="4" s="1"/>
  <c r="BD159" i="4"/>
  <c r="BE159" i="4" s="1"/>
  <c r="BD154" i="4"/>
  <c r="BE154" i="4" s="1"/>
  <c r="BD153" i="4"/>
  <c r="BE153" i="4" s="1"/>
  <c r="BD213" i="4"/>
  <c r="BE213" i="4" s="1"/>
  <c r="BD168" i="4"/>
  <c r="BE168" i="4" s="1"/>
  <c r="BD175" i="4"/>
  <c r="BE175" i="4" s="1"/>
  <c r="BD203" i="4"/>
  <c r="BE203" i="4" s="1"/>
  <c r="BD197" i="4"/>
  <c r="BE197" i="4" s="1"/>
  <c r="BD180" i="4"/>
  <c r="BE180" i="4" s="1"/>
  <c r="BD200" i="4"/>
  <c r="BE200" i="4" s="1"/>
  <c r="BD173" i="4"/>
  <c r="BE173" i="4" s="1"/>
  <c r="BD174" i="4"/>
  <c r="BE174" i="4" s="1"/>
  <c r="BD186" i="4"/>
  <c r="BE186" i="4" s="1"/>
  <c r="BD182" i="4"/>
  <c r="BE182" i="4" s="1"/>
  <c r="BD179" i="4"/>
  <c r="BE179" i="4" s="1"/>
  <c r="BD194" i="4"/>
  <c r="BE194" i="4" s="1"/>
  <c r="BD167" i="4"/>
  <c r="BE167" i="4" s="1"/>
  <c r="BD185" i="4"/>
  <c r="BE185" i="4" s="1"/>
  <c r="BD165" i="4"/>
  <c r="BE165" i="4" s="1"/>
  <c r="BD202" i="4"/>
  <c r="BE202" i="4" s="1"/>
  <c r="BD157" i="4"/>
  <c r="BE157" i="4" s="1"/>
  <c r="BD193" i="4"/>
  <c r="BE193" i="4" s="1"/>
  <c r="BD204" i="4"/>
  <c r="BE204" i="4" s="1"/>
  <c r="BD155" i="4"/>
  <c r="BE155" i="4" s="1"/>
  <c r="BD158" i="4"/>
  <c r="BE158" i="4" s="1"/>
  <c r="BD164" i="4"/>
  <c r="BE164" i="4" s="1"/>
  <c r="BD178" i="4"/>
  <c r="BE178" i="4" s="1"/>
  <c r="BD199" i="4"/>
  <c r="BE199" i="4" s="1"/>
  <c r="BD162" i="4"/>
  <c r="BE162" i="4" s="1"/>
  <c r="BD69" i="4"/>
  <c r="BE69" i="4" s="1"/>
  <c r="BD124" i="4"/>
  <c r="BE124" i="4" s="1"/>
  <c r="BD102" i="4"/>
  <c r="BE102" i="4" s="1"/>
  <c r="BD130" i="4"/>
  <c r="BE130" i="4" s="1"/>
  <c r="BD103" i="4"/>
  <c r="BE103" i="4" s="1"/>
  <c r="BD104" i="4"/>
  <c r="BE104" i="4" s="1"/>
  <c r="BD107" i="4"/>
  <c r="BE107" i="4" s="1"/>
  <c r="BD74" i="4"/>
  <c r="BE74" i="4" s="1"/>
  <c r="BD94" i="4"/>
  <c r="BE94" i="4" s="1"/>
  <c r="BD41" i="4"/>
  <c r="BE41" i="4" s="1"/>
  <c r="BD75" i="4"/>
  <c r="BE75" i="4" s="1"/>
  <c r="BD123" i="4"/>
  <c r="BE123" i="4" s="1"/>
  <c r="BD73" i="4"/>
  <c r="BE73" i="4" s="1"/>
  <c r="BD135" i="4"/>
  <c r="BE135" i="4" s="1"/>
  <c r="BD45" i="4"/>
  <c r="BE45" i="4" s="1"/>
  <c r="BD117" i="4"/>
  <c r="BE117" i="4" s="1"/>
  <c r="BD118" i="4"/>
  <c r="BE118" i="4" s="1"/>
  <c r="BD127" i="4"/>
  <c r="BE127" i="4" s="1"/>
  <c r="BD129" i="4"/>
  <c r="BE129" i="4" s="1"/>
  <c r="BD78" i="4"/>
  <c r="BE78" i="4" s="1"/>
  <c r="BD61" i="4"/>
  <c r="BE61" i="4" s="1"/>
  <c r="BD147" i="4"/>
  <c r="BE147" i="4" s="1"/>
  <c r="BD112" i="4"/>
  <c r="BE112" i="4" s="1"/>
  <c r="BD70" i="4"/>
  <c r="BE70" i="4" s="1"/>
  <c r="BD92" i="4"/>
  <c r="BE92" i="4" s="1"/>
  <c r="BD131" i="4"/>
  <c r="BE131" i="4" s="1"/>
  <c r="BD144" i="4"/>
  <c r="BE144" i="4" s="1"/>
  <c r="BD111" i="4"/>
  <c r="BE111" i="4" s="1"/>
  <c r="BD134" i="4"/>
  <c r="BE134" i="4" s="1"/>
  <c r="BD121" i="4"/>
  <c r="BE121" i="4" s="1"/>
  <c r="BD126" i="4"/>
  <c r="BE126" i="4" s="1"/>
  <c r="BD136" i="4"/>
  <c r="BE136" i="4" s="1"/>
  <c r="BD119" i="4"/>
  <c r="BE119" i="4" s="1"/>
  <c r="BD145" i="4"/>
  <c r="BE145" i="4" s="1"/>
  <c r="BD115" i="4"/>
  <c r="BE115" i="4" s="1"/>
  <c r="BD141" i="4"/>
  <c r="BE141" i="4" s="1"/>
  <c r="BD140" i="4"/>
  <c r="BE140" i="4" s="1"/>
  <c r="BD143" i="4"/>
  <c r="BE143" i="4" s="1"/>
  <c r="BD125" i="4"/>
  <c r="BE125" i="4" s="1"/>
  <c r="BD88" i="4"/>
  <c r="BE88" i="4" s="1"/>
  <c r="BD106" i="4"/>
  <c r="BE106" i="4" s="1"/>
  <c r="BD128" i="4"/>
  <c r="BE128" i="4" s="1"/>
  <c r="BD114" i="4"/>
  <c r="BE114" i="4" s="1"/>
  <c r="BD109" i="4"/>
  <c r="BE109" i="4" s="1"/>
  <c r="BD79" i="4"/>
  <c r="BE79" i="4" s="1"/>
  <c r="BD108" i="4"/>
  <c r="BE108" i="4" s="1"/>
  <c r="BD85" i="4"/>
  <c r="BE85" i="4" s="1"/>
  <c r="BD120" i="4"/>
  <c r="BE120" i="4" s="1"/>
  <c r="BD110" i="4"/>
  <c r="BE110" i="4" s="1"/>
  <c r="BD81" i="4"/>
  <c r="BE81" i="4" s="1"/>
  <c r="BD99" i="4"/>
  <c r="BE99" i="4" s="1"/>
  <c r="BD122" i="4"/>
  <c r="BE122" i="4" s="1"/>
  <c r="BD76" i="4"/>
  <c r="BE76" i="4" s="1"/>
  <c r="BD116" i="4"/>
  <c r="BE116" i="4" s="1"/>
  <c r="BD137" i="4"/>
  <c r="BE137" i="4" s="1"/>
  <c r="BD42" i="4"/>
  <c r="BE42" i="4" s="1"/>
  <c r="BD98" i="4"/>
  <c r="BE98" i="4" s="1"/>
  <c r="BD93" i="4"/>
  <c r="BE93" i="4" s="1"/>
  <c r="BD84" i="4"/>
  <c r="BE84" i="4" s="1"/>
  <c r="BD148" i="4"/>
  <c r="BE148" i="4" s="1"/>
  <c r="BD217" i="4"/>
  <c r="BE217" i="4" s="1"/>
  <c r="BD216" i="4"/>
  <c r="BE216" i="4" s="1"/>
  <c r="BD215" i="4"/>
  <c r="BE215" i="4" s="1"/>
  <c r="BD247" i="4"/>
  <c r="BE247" i="4" s="1"/>
  <c r="BD234" i="4"/>
  <c r="BE234" i="4" s="1"/>
  <c r="BD245" i="4"/>
  <c r="BE245" i="4" s="1"/>
  <c r="BD244" i="4"/>
  <c r="BE244" i="4" s="1"/>
  <c r="BD233" i="4"/>
  <c r="BE233" i="4" s="1"/>
  <c r="BD242" i="4"/>
  <c r="BE242" i="4" s="1"/>
  <c r="BD231" i="4"/>
  <c r="BE231" i="4" s="1"/>
  <c r="BD237" i="4"/>
  <c r="BE237" i="4" s="1"/>
  <c r="BD241" i="4"/>
  <c r="BE241" i="4" s="1"/>
  <c r="BD230" i="4"/>
  <c r="BE230" i="4" s="1"/>
  <c r="BD240" i="4"/>
  <c r="BE240" i="4" s="1"/>
  <c r="BD243" i="4"/>
  <c r="BE243" i="4" s="1"/>
  <c r="BD239" i="4"/>
  <c r="BE239" i="4" s="1"/>
  <c r="BD238" i="4"/>
  <c r="BE238" i="4" s="1"/>
  <c r="BD235" i="4"/>
  <c r="BE235" i="4" s="1"/>
  <c r="BD236" i="4"/>
  <c r="BE236" i="4" s="1"/>
  <c r="BD232" i="4"/>
  <c r="BE232" i="4" s="1"/>
  <c r="BD246" i="4"/>
  <c r="BE246" i="4" s="1"/>
  <c r="BD7" i="4"/>
  <c r="BE7" i="4" s="1"/>
  <c r="BD10" i="4"/>
  <c r="BE10" i="4" s="1"/>
  <c r="BD8" i="4"/>
  <c r="BE8" i="4" s="1"/>
  <c r="BD9" i="4"/>
  <c r="BE9" i="4" s="1"/>
  <c r="BD6" i="4"/>
  <c r="BE6" i="4" s="1"/>
  <c r="BD11" i="4"/>
  <c r="BE11" i="4" s="1"/>
  <c r="BD12" i="4"/>
  <c r="BE12" i="4" s="1"/>
  <c r="BD13" i="4"/>
  <c r="BE13" i="4" s="1"/>
  <c r="BD14" i="4"/>
  <c r="BE14" i="4" s="1"/>
  <c r="BD32" i="4"/>
  <c r="BE32" i="4" s="1"/>
  <c r="BD33" i="4"/>
  <c r="BE33" i="4" s="1"/>
  <c r="BD34" i="4"/>
  <c r="BE34" i="4" s="1"/>
  <c r="BD223" i="4"/>
  <c r="BE223" i="4" s="1"/>
  <c r="BD229" i="4"/>
  <c r="BE229" i="4" s="1"/>
  <c r="BD224" i="4"/>
  <c r="BE224" i="4" s="1"/>
  <c r="BD220" i="4"/>
  <c r="BE220" i="4" s="1"/>
  <c r="BD226" i="4"/>
  <c r="BE226" i="4" s="1"/>
  <c r="BD222" i="4"/>
  <c r="BE222" i="4" s="1"/>
  <c r="BD221" i="4"/>
  <c r="BE221" i="4" s="1"/>
  <c r="BD219" i="4"/>
  <c r="BE219" i="4" s="1"/>
  <c r="BD228" i="4"/>
  <c r="BE228" i="4" s="1"/>
  <c r="BD225" i="4"/>
  <c r="BE225" i="4" s="1"/>
  <c r="BD218" i="4"/>
  <c r="BE218" i="4" s="1"/>
  <c r="BD227" i="4"/>
  <c r="BE227" i="4" s="1"/>
  <c r="BD2" i="4"/>
  <c r="BE2" i="4" s="1"/>
  <c r="BD5" i="4"/>
  <c r="BE5" i="4" s="1"/>
  <c r="BD3" i="4"/>
  <c r="BE3" i="4" s="1"/>
  <c r="BD4" i="4"/>
  <c r="BE4" i="4" s="1"/>
  <c r="BD26" i="4"/>
  <c r="BE26" i="4" s="1"/>
  <c r="BD21" i="4"/>
  <c r="BE21" i="4" s="1"/>
  <c r="BD16" i="4"/>
  <c r="BE16" i="4" s="1"/>
  <c r="BD23" i="4"/>
  <c r="BE23" i="4" s="1"/>
  <c r="BD30" i="4"/>
  <c r="BE30" i="4" s="1"/>
  <c r="BD18" i="4"/>
  <c r="BE18" i="4" s="1"/>
  <c r="BD22" i="4"/>
  <c r="BE22" i="4" s="1"/>
  <c r="BD15" i="4"/>
  <c r="BE15" i="4" s="1"/>
  <c r="BD27" i="4"/>
  <c r="BE27" i="4" s="1"/>
  <c r="BD24" i="4"/>
  <c r="BE24" i="4" s="1"/>
  <c r="BD17" i="4"/>
  <c r="BE17" i="4" s="1"/>
  <c r="BD19" i="4"/>
  <c r="BE19" i="4" s="1"/>
  <c r="BD25" i="4"/>
  <c r="BE25" i="4" s="1"/>
  <c r="BD20" i="4"/>
  <c r="BE20" i="4" s="1"/>
  <c r="BD28" i="4"/>
  <c r="BE28" i="4" s="1"/>
  <c r="BD31" i="4"/>
  <c r="BE31" i="4" s="1"/>
  <c r="BD29" i="4"/>
  <c r="BE29" i="4" s="1"/>
  <c r="BD196" i="4"/>
  <c r="BE196" i="4" s="1"/>
  <c r="H169" i="4"/>
  <c r="H208" i="4"/>
  <c r="H206" i="4"/>
  <c r="H151" i="4"/>
  <c r="H176" i="4"/>
  <c r="H11" i="4"/>
  <c r="H150" i="4"/>
  <c r="H177" i="4"/>
  <c r="H190" i="4"/>
  <c r="H171" i="4"/>
  <c r="H166" i="4"/>
  <c r="H156" i="4"/>
  <c r="H172" i="4"/>
  <c r="H160" i="4"/>
  <c r="H212" i="4"/>
  <c r="H223" i="4"/>
  <c r="H229" i="4"/>
  <c r="H32" i="4"/>
  <c r="H224" i="4"/>
  <c r="H142" i="4"/>
  <c r="H43" i="4"/>
  <c r="H68" i="4"/>
  <c r="H26" i="4"/>
  <c r="H35" i="4"/>
  <c r="H36" i="4"/>
  <c r="H21" i="4"/>
  <c r="H49" i="4"/>
  <c r="H63" i="4"/>
  <c r="H146" i="4"/>
  <c r="H16" i="4"/>
  <c r="H37" i="4"/>
  <c r="H48" i="4"/>
  <c r="H72" i="4"/>
  <c r="H97" i="4"/>
  <c r="H38" i="4"/>
  <c r="H60" i="4"/>
  <c r="H132" i="4"/>
  <c r="H47" i="4"/>
  <c r="H87" i="4"/>
  <c r="H46" i="4"/>
  <c r="H55" i="4"/>
  <c r="H58" i="4"/>
  <c r="H39" i="4"/>
  <c r="H80" i="4"/>
  <c r="H23" i="4"/>
  <c r="H30" i="4"/>
  <c r="H82" i="4"/>
  <c r="H18" i="4"/>
  <c r="H59" i="4"/>
  <c r="H22" i="4"/>
  <c r="H64" i="4"/>
  <c r="H51" i="4"/>
  <c r="H67" i="4"/>
  <c r="H139" i="4"/>
  <c r="H5" i="4"/>
  <c r="H96" i="4"/>
  <c r="H44" i="4"/>
  <c r="H95" i="4"/>
  <c r="H15" i="4"/>
  <c r="H57" i="4"/>
  <c r="H66" i="4"/>
  <c r="H50" i="4"/>
  <c r="H53" i="4"/>
  <c r="H54" i="4"/>
  <c r="H90" i="4"/>
  <c r="H62" i="4"/>
  <c r="H91" i="4"/>
  <c r="H27" i="4"/>
  <c r="H89" i="4"/>
  <c r="H65" i="4"/>
  <c r="H101" i="4"/>
  <c r="H83" i="4"/>
  <c r="H24" i="4"/>
  <c r="H133" i="4"/>
  <c r="H77" i="4"/>
  <c r="H113" i="4"/>
  <c r="H100" i="4"/>
  <c r="H40" i="4"/>
  <c r="H86" i="4"/>
  <c r="H105" i="4"/>
  <c r="H56" i="4"/>
  <c r="H52" i="4"/>
  <c r="H138" i="4"/>
  <c r="H71" i="4"/>
  <c r="H17" i="4"/>
  <c r="H19" i="4"/>
  <c r="H247" i="4"/>
  <c r="H234" i="4"/>
  <c r="H245" i="4"/>
  <c r="H217" i="4"/>
  <c r="H244" i="4"/>
  <c r="H216" i="4"/>
  <c r="H233" i="4"/>
  <c r="H242" i="4"/>
  <c r="H231" i="4"/>
  <c r="H237" i="4"/>
  <c r="H241" i="4"/>
  <c r="H230" i="4"/>
  <c r="H240" i="4"/>
  <c r="H243" i="4"/>
  <c r="H239" i="4"/>
  <c r="H238" i="4"/>
  <c r="H235" i="4"/>
  <c r="H236" i="4"/>
  <c r="H148" i="4"/>
  <c r="H232" i="4"/>
  <c r="H246" i="4"/>
  <c r="H215" i="4"/>
  <c r="H201" i="4"/>
  <c r="H149" i="4"/>
  <c r="H163" i="4"/>
  <c r="H187" i="4"/>
  <c r="H189" i="4"/>
  <c r="H188" i="4"/>
  <c r="H184" i="4"/>
  <c r="H170" i="4"/>
  <c r="H198" i="4"/>
  <c r="H7" i="4"/>
  <c r="H10" i="4"/>
  <c r="H209" i="4"/>
  <c r="H161" i="4"/>
  <c r="H8" i="4"/>
  <c r="H214" i="4"/>
  <c r="H183" i="4"/>
  <c r="H191" i="4"/>
  <c r="H152" i="4"/>
  <c r="H192" i="4"/>
  <c r="H205" i="4"/>
  <c r="H181" i="4"/>
  <c r="H195" i="4"/>
  <c r="H211" i="4"/>
  <c r="H207" i="4"/>
  <c r="H210" i="4"/>
  <c r="H159" i="4"/>
  <c r="H154" i="4"/>
  <c r="H153" i="4"/>
  <c r="H213" i="4"/>
  <c r="H168" i="4"/>
  <c r="H175" i="4"/>
  <c r="H203" i="4"/>
  <c r="H197" i="4"/>
  <c r="H180" i="4"/>
  <c r="H200" i="4"/>
  <c r="H173" i="4"/>
  <c r="H174" i="4"/>
  <c r="H186" i="4"/>
  <c r="H182" i="4"/>
  <c r="H179" i="4"/>
  <c r="H194" i="4"/>
  <c r="H167" i="4"/>
  <c r="H12" i="4"/>
  <c r="H185" i="4"/>
  <c r="H9" i="4"/>
  <c r="H6" i="4"/>
  <c r="H165" i="4"/>
  <c r="H202" i="4"/>
  <c r="H157" i="4"/>
  <c r="H193" i="4"/>
  <c r="H204" i="4"/>
  <c r="H155" i="4"/>
  <c r="H158" i="4"/>
  <c r="H164" i="4"/>
  <c r="H13" i="4"/>
  <c r="H178" i="4"/>
  <c r="H199" i="4"/>
  <c r="H162" i="4"/>
  <c r="H14" i="4"/>
  <c r="H220" i="4"/>
  <c r="H226" i="4"/>
  <c r="H222" i="4"/>
  <c r="H221" i="4"/>
  <c r="H219" i="4"/>
  <c r="H228" i="4"/>
  <c r="H33" i="4"/>
  <c r="H34" i="4"/>
  <c r="H225" i="4"/>
  <c r="H218" i="4"/>
  <c r="H227" i="4"/>
  <c r="H69" i="4"/>
  <c r="H124" i="4"/>
  <c r="H102" i="4"/>
  <c r="H130" i="4"/>
  <c r="H103" i="4"/>
  <c r="H104" i="4"/>
  <c r="H107" i="4"/>
  <c r="H74" i="4"/>
  <c r="H94" i="4"/>
  <c r="H41" i="4"/>
  <c r="H75" i="4"/>
  <c r="H123" i="4"/>
  <c r="H73" i="4"/>
  <c r="H135" i="4"/>
  <c r="H45" i="4"/>
  <c r="H117" i="4"/>
  <c r="H118" i="4"/>
  <c r="H127" i="4"/>
  <c r="H25" i="4"/>
  <c r="H20" i="4"/>
  <c r="H129" i="4"/>
  <c r="H78" i="4"/>
  <c r="H61" i="4"/>
  <c r="H147" i="4"/>
  <c r="H112" i="4"/>
  <c r="H70" i="4"/>
  <c r="H92" i="4"/>
  <c r="H2" i="4"/>
  <c r="H131" i="4"/>
  <c r="H144" i="4"/>
  <c r="H111" i="4"/>
  <c r="H134" i="4"/>
  <c r="H121" i="4"/>
  <c r="H28" i="4"/>
  <c r="H126" i="4"/>
  <c r="H136" i="4"/>
  <c r="H119" i="4"/>
  <c r="H145" i="4"/>
  <c r="H115" i="4"/>
  <c r="H141" i="4"/>
  <c r="H140" i="4"/>
  <c r="H143" i="4"/>
  <c r="H125" i="4"/>
  <c r="H88" i="4"/>
  <c r="H106" i="4"/>
  <c r="H31" i="4"/>
  <c r="H128" i="4"/>
  <c r="H114" i="4"/>
  <c r="H109" i="4"/>
  <c r="H79" i="4"/>
  <c r="H108" i="4"/>
  <c r="H85" i="4"/>
  <c r="H120" i="4"/>
  <c r="H110" i="4"/>
  <c r="H81" i="4"/>
  <c r="H99" i="4"/>
  <c r="H29" i="4"/>
  <c r="H3" i="4"/>
  <c r="H122" i="4"/>
  <c r="H76" i="4"/>
  <c r="H116" i="4"/>
  <c r="H137" i="4"/>
  <c r="H42" i="4"/>
  <c r="H98" i="4"/>
  <c r="H93" i="4"/>
  <c r="H84" i="4"/>
  <c r="H4" i="4"/>
  <c r="H196" i="4"/>
  <c r="EK81" i="4" l="1"/>
  <c r="EM169" i="4"/>
  <c r="EN169" i="4"/>
  <c r="EM208" i="4"/>
  <c r="EN206" i="4"/>
  <c r="EM151" i="4"/>
  <c r="EN151" i="4"/>
  <c r="EM176" i="4"/>
  <c r="EN176" i="4"/>
  <c r="EM11" i="4"/>
  <c r="EN11" i="4"/>
  <c r="EM150" i="4"/>
  <c r="EN150" i="4"/>
  <c r="EM177" i="4"/>
  <c r="EM190" i="4"/>
  <c r="EN190" i="4"/>
  <c r="EM171" i="4"/>
  <c r="EN171" i="4"/>
  <c r="EM166" i="4"/>
  <c r="EN166" i="4"/>
  <c r="EM156" i="4"/>
  <c r="EN156" i="4"/>
  <c r="EM172" i="4"/>
  <c r="EN172" i="4"/>
  <c r="EM160" i="4"/>
  <c r="EN160" i="4"/>
  <c r="EM223" i="4"/>
  <c r="EN223" i="4"/>
  <c r="EM229" i="4"/>
  <c r="EN229" i="4"/>
  <c r="EM32" i="4"/>
  <c r="EN32" i="4"/>
  <c r="EM224" i="4"/>
  <c r="EN224" i="4"/>
  <c r="EM142" i="4"/>
  <c r="EN142" i="4"/>
  <c r="EM68" i="4"/>
  <c r="EN68" i="4"/>
  <c r="EM26" i="4"/>
  <c r="EN26" i="4"/>
  <c r="EM35" i="4"/>
  <c r="EN35" i="4"/>
  <c r="EM36" i="4"/>
  <c r="EN36" i="4"/>
  <c r="EN49" i="4"/>
  <c r="EN63" i="4"/>
  <c r="EM146" i="4"/>
  <c r="EN146" i="4"/>
  <c r="EM16" i="4"/>
  <c r="EN16" i="4"/>
  <c r="EM37" i="4"/>
  <c r="EN37" i="4"/>
  <c r="EN48" i="4"/>
  <c r="EM72" i="4"/>
  <c r="EN72" i="4"/>
  <c r="EM97" i="4"/>
  <c r="EN97" i="4"/>
  <c r="EM38" i="4"/>
  <c r="EN38" i="4"/>
  <c r="EM60" i="4"/>
  <c r="EN60" i="4"/>
  <c r="EM132" i="4"/>
  <c r="EN132" i="4"/>
  <c r="EN47" i="4"/>
  <c r="EM87" i="4"/>
  <c r="EN87" i="4"/>
  <c r="EM46" i="4"/>
  <c r="EN46" i="4"/>
  <c r="EM55" i="4"/>
  <c r="EN55" i="4"/>
  <c r="EM58" i="4"/>
  <c r="EN58" i="4"/>
  <c r="EM39" i="4"/>
  <c r="EN39" i="4"/>
  <c r="EM80" i="4"/>
  <c r="EN80" i="4"/>
  <c r="EM23" i="4"/>
  <c r="EN23" i="4"/>
  <c r="EM30" i="4"/>
  <c r="EN30" i="4"/>
  <c r="EN82" i="4"/>
  <c r="EM18" i="4"/>
  <c r="EN18" i="4"/>
  <c r="EM59" i="4"/>
  <c r="EN59" i="4"/>
  <c r="EM22" i="4"/>
  <c r="EN22" i="4"/>
  <c r="EM64" i="4"/>
  <c r="EN64" i="4"/>
  <c r="EM67" i="4"/>
  <c r="EN67" i="4"/>
  <c r="EN139" i="4"/>
  <c r="EM5" i="4"/>
  <c r="EN5" i="4"/>
  <c r="EM44" i="4"/>
  <c r="EN44" i="4"/>
  <c r="EN95" i="4"/>
  <c r="EM15" i="4"/>
  <c r="EM57" i="4"/>
  <c r="EN57" i="4"/>
  <c r="EM66" i="4"/>
  <c r="EN66" i="4"/>
  <c r="EM50" i="4"/>
  <c r="EN50" i="4"/>
  <c r="EM53" i="4"/>
  <c r="EN53" i="4"/>
  <c r="EM54" i="4"/>
  <c r="EM62" i="4"/>
  <c r="EN62" i="4"/>
  <c r="EM91" i="4"/>
  <c r="EN91" i="4"/>
  <c r="EM27" i="4"/>
  <c r="EN27" i="4"/>
  <c r="EM89" i="4"/>
  <c r="EN89" i="4"/>
  <c r="EM65" i="4"/>
  <c r="EN65" i="4"/>
  <c r="EM101" i="4"/>
  <c r="EN101" i="4"/>
  <c r="EM83" i="4"/>
  <c r="EN83" i="4"/>
  <c r="EM24" i="4"/>
  <c r="EN24" i="4"/>
  <c r="EM133" i="4"/>
  <c r="EN133" i="4"/>
  <c r="EM77" i="4"/>
  <c r="EN77" i="4"/>
  <c r="EM113" i="4"/>
  <c r="EN113" i="4"/>
  <c r="EM100" i="4"/>
  <c r="EN100" i="4"/>
  <c r="EM40" i="4"/>
  <c r="EN40" i="4"/>
  <c r="EM86" i="4"/>
  <c r="EN86" i="4"/>
  <c r="EM105" i="4"/>
  <c r="EN105" i="4"/>
  <c r="EM56" i="4"/>
  <c r="EN56" i="4"/>
  <c r="EM52" i="4"/>
  <c r="EM247" i="4"/>
  <c r="EN247" i="4"/>
  <c r="EM234" i="4"/>
  <c r="EN234" i="4"/>
  <c r="EM245" i="4"/>
  <c r="EN245" i="4"/>
  <c r="EM217" i="4"/>
  <c r="EN217" i="4"/>
  <c r="EN244" i="4"/>
  <c r="EM216" i="4"/>
  <c r="EN216" i="4"/>
  <c r="EM233" i="4"/>
  <c r="EN233" i="4"/>
  <c r="EM242" i="4"/>
  <c r="EN242" i="4"/>
  <c r="EM231" i="4"/>
  <c r="EN231" i="4"/>
  <c r="EM237" i="4"/>
  <c r="EM241" i="4"/>
  <c r="EM230" i="4"/>
  <c r="EN230" i="4"/>
  <c r="EM240" i="4"/>
  <c r="EN240" i="4"/>
  <c r="EM243" i="4"/>
  <c r="EN243" i="4"/>
  <c r="EM239" i="4"/>
  <c r="EN239" i="4"/>
  <c r="EM238" i="4"/>
  <c r="EN238" i="4"/>
  <c r="EM236" i="4"/>
  <c r="EN236" i="4"/>
  <c r="EM201" i="4"/>
  <c r="EN201" i="4"/>
  <c r="EM149" i="4"/>
  <c r="EN149" i="4"/>
  <c r="EM163" i="4"/>
  <c r="EM187" i="4"/>
  <c r="EN187" i="4"/>
  <c r="EM189" i="4"/>
  <c r="EM188" i="4"/>
  <c r="EN188" i="4"/>
  <c r="EM184" i="4"/>
  <c r="EN184" i="4"/>
  <c r="EM170" i="4"/>
  <c r="EN170" i="4"/>
  <c r="EM198" i="4"/>
  <c r="EM7" i="4"/>
  <c r="EM10" i="4"/>
  <c r="EN10" i="4"/>
  <c r="EM209" i="4"/>
  <c r="EN209" i="4"/>
  <c r="EM161" i="4"/>
  <c r="EM8" i="4"/>
  <c r="EN8" i="4"/>
  <c r="EM214" i="4"/>
  <c r="EN214" i="4"/>
  <c r="EM183" i="4"/>
  <c r="EN183" i="4"/>
  <c r="EM191" i="4"/>
  <c r="EN191" i="4"/>
  <c r="EM152" i="4"/>
  <c r="EN152" i="4"/>
  <c r="EM192" i="4"/>
  <c r="EN192" i="4"/>
  <c r="EM205" i="4"/>
  <c r="EN205" i="4"/>
  <c r="EN181" i="4"/>
  <c r="EM195" i="4"/>
  <c r="EN195" i="4"/>
  <c r="EM211" i="4"/>
  <c r="EN211" i="4"/>
  <c r="EM207" i="4"/>
  <c r="EN207" i="4"/>
  <c r="EM210" i="4"/>
  <c r="EM159" i="4"/>
  <c r="EN159" i="4"/>
  <c r="EN154" i="4"/>
  <c r="EM153" i="4"/>
  <c r="EN153" i="4"/>
  <c r="EM213" i="4"/>
  <c r="EN213" i="4"/>
  <c r="EM168" i="4"/>
  <c r="EN168" i="4"/>
  <c r="EM175" i="4"/>
  <c r="EN175" i="4"/>
  <c r="EM203" i="4"/>
  <c r="EN203" i="4"/>
  <c r="EN197" i="4"/>
  <c r="EM180" i="4"/>
  <c r="EN180" i="4"/>
  <c r="EM200" i="4"/>
  <c r="EN200" i="4"/>
  <c r="EM173" i="4"/>
  <c r="EN173" i="4"/>
  <c r="EM174" i="4"/>
  <c r="EN174" i="4"/>
  <c r="EM186" i="4"/>
  <c r="EN186" i="4"/>
  <c r="EM179" i="4"/>
  <c r="EN179" i="4"/>
  <c r="EM194" i="4"/>
  <c r="EN194" i="4"/>
  <c r="EM167" i="4"/>
  <c r="EN167" i="4"/>
  <c r="EM12" i="4"/>
  <c r="EM185" i="4"/>
  <c r="EN185" i="4"/>
  <c r="EM9" i="4"/>
  <c r="EN9" i="4"/>
  <c r="EM6" i="4"/>
  <c r="EN6" i="4"/>
  <c r="EM202" i="4"/>
  <c r="EN202" i="4"/>
  <c r="EM157" i="4"/>
  <c r="EN157" i="4"/>
  <c r="EM14" i="4"/>
  <c r="EN14" i="4"/>
  <c r="EM220" i="4"/>
  <c r="EN220" i="4"/>
  <c r="EM226" i="4"/>
  <c r="EN226" i="4"/>
  <c r="EM222" i="4"/>
  <c r="EN222" i="4"/>
  <c r="EM221" i="4"/>
  <c r="EN221" i="4"/>
  <c r="EM219" i="4"/>
  <c r="EN219" i="4"/>
  <c r="EM228" i="4"/>
  <c r="EN228" i="4"/>
  <c r="EM33" i="4"/>
  <c r="EN33" i="4"/>
  <c r="EM34" i="4"/>
  <c r="EM225" i="4"/>
  <c r="EN225" i="4"/>
  <c r="EM218" i="4"/>
  <c r="EN218" i="4"/>
  <c r="EM227" i="4"/>
  <c r="EN227" i="4"/>
  <c r="EM69" i="4"/>
  <c r="EN69" i="4"/>
  <c r="EM124" i="4"/>
  <c r="EN124" i="4"/>
  <c r="EM102" i="4"/>
  <c r="EN102" i="4"/>
  <c r="EN130" i="4"/>
  <c r="EM103" i="4"/>
  <c r="EN103" i="4"/>
  <c r="EM104" i="4"/>
  <c r="EN104" i="4"/>
  <c r="EM74" i="4"/>
  <c r="EM94" i="4"/>
  <c r="EN94" i="4"/>
  <c r="EM41" i="4"/>
  <c r="EN41" i="4"/>
  <c r="EM75" i="4"/>
  <c r="EN75" i="4"/>
  <c r="EM123" i="4"/>
  <c r="EN123" i="4"/>
  <c r="EM73" i="4"/>
  <c r="EM135" i="4"/>
  <c r="EM45" i="4"/>
  <c r="EN45" i="4"/>
  <c r="EM117" i="4"/>
  <c r="EN117" i="4"/>
  <c r="EM118" i="4"/>
  <c r="EM127" i="4"/>
  <c r="EN127" i="4"/>
  <c r="EN25" i="4"/>
  <c r="EM20" i="4"/>
  <c r="EN20" i="4"/>
  <c r="EN129" i="4"/>
  <c r="EM78" i="4"/>
  <c r="EN78" i="4"/>
  <c r="EM61" i="4"/>
  <c r="EN61" i="4"/>
  <c r="EM147" i="4"/>
  <c r="EN147" i="4"/>
  <c r="EM112" i="4"/>
  <c r="EN112" i="4"/>
  <c r="EM70" i="4"/>
  <c r="EN70" i="4"/>
  <c r="EM92" i="4"/>
  <c r="EN92" i="4"/>
  <c r="EM2" i="4"/>
  <c r="EN2" i="4"/>
  <c r="EM131" i="4"/>
  <c r="EN131" i="4"/>
  <c r="EM111" i="4"/>
  <c r="EN111" i="4"/>
  <c r="EN134" i="4"/>
  <c r="EM121" i="4"/>
  <c r="EN121" i="4"/>
  <c r="EM28" i="4"/>
  <c r="EN28" i="4"/>
  <c r="EM126" i="4"/>
  <c r="EN126" i="4"/>
  <c r="EM136" i="4"/>
  <c r="EN136" i="4"/>
  <c r="EN119" i="4"/>
  <c r="EM145" i="4"/>
  <c r="EN145" i="4"/>
  <c r="EM115" i="4"/>
  <c r="EN115" i="4"/>
  <c r="EM141" i="4"/>
  <c r="EN141" i="4"/>
  <c r="EM140" i="4"/>
  <c r="EN140" i="4"/>
  <c r="EM143" i="4"/>
  <c r="EN143" i="4"/>
  <c r="EM88" i="4"/>
  <c r="EN88" i="4"/>
  <c r="EM31" i="4"/>
  <c r="EN31" i="4"/>
  <c r="EM114" i="4"/>
  <c r="EN114" i="4"/>
  <c r="EM108" i="4"/>
  <c r="EN108" i="4"/>
  <c r="EM85" i="4"/>
  <c r="EN85" i="4"/>
  <c r="EM120" i="4"/>
  <c r="EN120" i="4"/>
  <c r="EM110" i="4"/>
  <c r="EN110" i="4"/>
  <c r="EM81" i="4"/>
  <c r="EN81" i="4"/>
  <c r="EM99" i="4"/>
  <c r="EN99" i="4"/>
  <c r="EN196" i="4"/>
  <c r="EM196" i="4"/>
  <c r="EL233" i="4"/>
  <c r="EK147" i="4"/>
  <c r="EL147" i="4"/>
  <c r="EL169" i="4"/>
  <c r="EL206" i="4"/>
  <c r="EL151" i="4"/>
  <c r="EL176" i="4"/>
  <c r="EL11" i="4"/>
  <c r="EL150" i="4"/>
  <c r="EL190" i="4"/>
  <c r="EL171" i="4"/>
  <c r="EL166" i="4"/>
  <c r="EL156" i="4"/>
  <c r="EL172" i="4"/>
  <c r="EL160" i="4"/>
  <c r="EL223" i="4"/>
  <c r="EL229" i="4"/>
  <c r="EL32" i="4"/>
  <c r="EL224" i="4"/>
  <c r="EL142" i="4"/>
  <c r="EL26" i="4"/>
  <c r="EL35" i="4"/>
  <c r="EL36" i="4"/>
  <c r="EL49" i="4"/>
  <c r="EL63" i="4"/>
  <c r="EL146" i="4"/>
  <c r="EL16" i="4"/>
  <c r="EL37" i="4"/>
  <c r="EL48" i="4"/>
  <c r="EL72" i="4"/>
  <c r="EL97" i="4"/>
  <c r="EL38" i="4"/>
  <c r="EL60" i="4"/>
  <c r="EL132" i="4"/>
  <c r="EL47" i="4"/>
  <c r="EL87" i="4"/>
  <c r="EL46" i="4"/>
  <c r="EL55" i="4"/>
  <c r="EL58" i="4"/>
  <c r="EL39" i="4"/>
  <c r="EL80" i="4"/>
  <c r="EL23" i="4"/>
  <c r="EL30" i="4"/>
  <c r="EL82" i="4"/>
  <c r="EL18" i="4"/>
  <c r="EL59" i="4"/>
  <c r="EL22" i="4"/>
  <c r="EL64" i="4"/>
  <c r="EL67" i="4"/>
  <c r="EL139" i="4"/>
  <c r="EL5" i="4"/>
  <c r="EL44" i="4"/>
  <c r="EL95" i="4"/>
  <c r="EL57" i="4"/>
  <c r="EL66" i="4"/>
  <c r="EL50" i="4"/>
  <c r="EL53" i="4"/>
  <c r="EL54" i="4"/>
  <c r="EL62" i="4"/>
  <c r="EL91" i="4"/>
  <c r="EL27" i="4"/>
  <c r="EL89" i="4"/>
  <c r="EL65" i="4"/>
  <c r="EL101" i="4"/>
  <c r="EL83" i="4"/>
  <c r="EL24" i="4"/>
  <c r="EL133" i="4"/>
  <c r="EL77" i="4"/>
  <c r="EL113" i="4"/>
  <c r="EL100" i="4"/>
  <c r="EL40" i="4"/>
  <c r="EL86" i="4"/>
  <c r="EL105" i="4"/>
  <c r="EL56" i="4"/>
  <c r="EL247" i="4"/>
  <c r="EL234" i="4"/>
  <c r="EL245" i="4"/>
  <c r="EL217" i="4"/>
  <c r="EL244" i="4"/>
  <c r="EL216" i="4"/>
  <c r="EL242" i="4"/>
  <c r="EL231" i="4"/>
  <c r="EL230" i="4"/>
  <c r="EL240" i="4"/>
  <c r="EL243" i="4"/>
  <c r="EL239" i="4"/>
  <c r="EL238" i="4"/>
  <c r="EL236" i="4"/>
  <c r="EL201" i="4"/>
  <c r="EL149" i="4"/>
  <c r="EL187" i="4"/>
  <c r="EL188" i="4"/>
  <c r="EL184" i="4"/>
  <c r="EL170" i="4"/>
  <c r="EL10" i="4"/>
  <c r="EL209" i="4"/>
  <c r="EL8" i="4"/>
  <c r="EL214" i="4"/>
  <c r="EL183" i="4"/>
  <c r="EL191" i="4"/>
  <c r="EL152" i="4"/>
  <c r="EL192" i="4"/>
  <c r="EL205" i="4"/>
  <c r="EL181" i="4"/>
  <c r="EL195" i="4"/>
  <c r="EL211" i="4"/>
  <c r="EL207" i="4"/>
  <c r="EL159" i="4"/>
  <c r="EL154" i="4"/>
  <c r="EL153" i="4"/>
  <c r="EL213" i="4"/>
  <c r="EL168" i="4"/>
  <c r="EL175" i="4"/>
  <c r="EL203" i="4"/>
  <c r="EL197" i="4"/>
  <c r="EL180" i="4"/>
  <c r="EL200" i="4"/>
  <c r="EL173" i="4"/>
  <c r="EL174" i="4"/>
  <c r="EL186" i="4"/>
  <c r="EL179" i="4"/>
  <c r="EL194" i="4"/>
  <c r="EL167" i="4"/>
  <c r="EL185" i="4"/>
  <c r="EL9" i="4"/>
  <c r="EL6" i="4"/>
  <c r="EL202" i="4"/>
  <c r="EL157" i="4"/>
  <c r="EL14" i="4"/>
  <c r="EL220" i="4"/>
  <c r="EL226" i="4"/>
  <c r="EL222" i="4"/>
  <c r="EL221" i="4"/>
  <c r="EL219" i="4"/>
  <c r="EL33" i="4"/>
  <c r="EL225" i="4"/>
  <c r="EL218" i="4"/>
  <c r="EL227" i="4"/>
  <c r="EL69" i="4"/>
  <c r="EL124" i="4"/>
  <c r="EL102" i="4"/>
  <c r="EL130" i="4"/>
  <c r="EL103" i="4"/>
  <c r="EL104" i="4"/>
  <c r="EL94" i="4"/>
  <c r="EL41" i="4"/>
  <c r="EL75" i="4"/>
  <c r="EL123" i="4"/>
  <c r="EL45" i="4"/>
  <c r="EL117" i="4"/>
  <c r="EL127" i="4"/>
  <c r="EL25" i="4"/>
  <c r="EL20" i="4"/>
  <c r="EL129" i="4"/>
  <c r="EL78" i="4"/>
  <c r="EL61" i="4"/>
  <c r="EL112" i="4"/>
  <c r="EL70" i="4"/>
  <c r="EL92" i="4"/>
  <c r="EL2" i="4"/>
  <c r="EL131" i="4"/>
  <c r="EL111" i="4"/>
  <c r="EL134" i="4"/>
  <c r="EL121" i="4"/>
  <c r="EL28" i="4"/>
  <c r="EL126" i="4"/>
  <c r="EL136" i="4"/>
  <c r="EL119" i="4"/>
  <c r="EL145" i="4"/>
  <c r="EL115" i="4"/>
  <c r="EL141" i="4"/>
  <c r="EL140" i="4"/>
  <c r="EL143" i="4"/>
  <c r="EL88" i="4"/>
  <c r="EL31" i="4"/>
  <c r="EL128" i="4"/>
  <c r="EL114" i="4"/>
  <c r="EL108" i="4"/>
  <c r="EL85" i="4"/>
  <c r="EL120" i="4"/>
  <c r="EL110" i="4"/>
  <c r="EL81" i="4"/>
  <c r="EL99" i="4"/>
  <c r="EL196" i="4"/>
  <c r="EK169" i="4"/>
  <c r="EK208" i="4"/>
  <c r="EK151" i="4"/>
  <c r="EK176" i="4"/>
  <c r="EK11" i="4"/>
  <c r="EK150" i="4"/>
  <c r="EK177" i="4"/>
  <c r="EK190" i="4"/>
  <c r="EK171" i="4"/>
  <c r="EK166" i="4"/>
  <c r="EK156" i="4"/>
  <c r="EK172" i="4"/>
  <c r="EK160" i="4"/>
  <c r="EK212" i="4"/>
  <c r="EK223" i="4"/>
  <c r="EK229" i="4"/>
  <c r="EK32" i="4"/>
  <c r="EK224" i="4"/>
  <c r="EK142" i="4"/>
  <c r="EK68" i="4"/>
  <c r="EK26" i="4"/>
  <c r="EK35" i="4"/>
  <c r="EK36" i="4"/>
  <c r="EK146" i="4"/>
  <c r="EK16" i="4"/>
  <c r="EK37" i="4"/>
  <c r="EK72" i="4"/>
  <c r="EK97" i="4"/>
  <c r="EK38" i="4"/>
  <c r="EK60" i="4"/>
  <c r="EK132" i="4"/>
  <c r="EK87" i="4"/>
  <c r="EK46" i="4"/>
  <c r="EK55" i="4"/>
  <c r="EK58" i="4"/>
  <c r="EK39" i="4"/>
  <c r="EK80" i="4"/>
  <c r="EK23" i="4"/>
  <c r="EK30" i="4"/>
  <c r="EK18" i="4"/>
  <c r="EK59" i="4"/>
  <c r="EK22" i="4"/>
  <c r="EK64" i="4"/>
  <c r="EK67" i="4"/>
  <c r="EK5" i="4"/>
  <c r="EK44" i="4"/>
  <c r="EK15" i="4"/>
  <c r="EK57" i="4"/>
  <c r="EK66" i="4"/>
  <c r="EK50" i="4"/>
  <c r="EK53" i="4"/>
  <c r="EK54" i="4"/>
  <c r="EK62" i="4"/>
  <c r="EK91" i="4"/>
  <c r="EK27" i="4"/>
  <c r="EK89" i="4"/>
  <c r="EK65" i="4"/>
  <c r="EK101" i="4"/>
  <c r="EK83" i="4"/>
  <c r="EK24" i="4"/>
  <c r="EK133" i="4"/>
  <c r="EK77" i="4"/>
  <c r="EK113" i="4"/>
  <c r="EK100" i="4"/>
  <c r="EK40" i="4"/>
  <c r="EK86" i="4"/>
  <c r="EK105" i="4"/>
  <c r="EK56" i="4"/>
  <c r="EK52" i="4"/>
  <c r="EK247" i="4"/>
  <c r="EK234" i="4"/>
  <c r="EK245" i="4"/>
  <c r="EK217" i="4"/>
  <c r="EK216" i="4"/>
  <c r="EK233" i="4"/>
  <c r="EK242" i="4"/>
  <c r="EK231" i="4"/>
  <c r="EK237" i="4"/>
  <c r="EK241" i="4"/>
  <c r="EK230" i="4"/>
  <c r="EK240" i="4"/>
  <c r="EK243" i="4"/>
  <c r="EK239" i="4"/>
  <c r="EK238" i="4"/>
  <c r="EK236" i="4"/>
  <c r="EK201" i="4"/>
  <c r="EK149" i="4"/>
  <c r="EK163" i="4"/>
  <c r="EK187" i="4"/>
  <c r="EK189" i="4"/>
  <c r="EK188" i="4"/>
  <c r="EK184" i="4"/>
  <c r="EK170" i="4"/>
  <c r="EK198" i="4"/>
  <c r="EK7" i="4"/>
  <c r="EK10" i="4"/>
  <c r="EK209" i="4"/>
  <c r="EK161" i="4"/>
  <c r="EK8" i="4"/>
  <c r="EK214" i="4"/>
  <c r="EK183" i="4"/>
  <c r="EK191" i="4"/>
  <c r="EK152" i="4"/>
  <c r="EK192" i="4"/>
  <c r="EK205" i="4"/>
  <c r="EK195" i="4"/>
  <c r="EK211" i="4"/>
  <c r="EK207" i="4"/>
  <c r="EK210" i="4"/>
  <c r="EK159" i="4"/>
  <c r="EK153" i="4"/>
  <c r="EK213" i="4"/>
  <c r="EK168" i="4"/>
  <c r="EK175" i="4"/>
  <c r="EK203" i="4"/>
  <c r="EK180" i="4"/>
  <c r="EK200" i="4"/>
  <c r="EK173" i="4"/>
  <c r="EK174" i="4"/>
  <c r="EK186" i="4"/>
  <c r="EK179" i="4"/>
  <c r="EK194" i="4"/>
  <c r="EK167" i="4"/>
  <c r="EK12" i="4"/>
  <c r="EK185" i="4"/>
  <c r="EK9" i="4"/>
  <c r="EK6" i="4"/>
  <c r="EK165" i="4"/>
  <c r="EK202" i="4"/>
  <c r="EK157" i="4"/>
  <c r="EK14" i="4"/>
  <c r="EK220" i="4"/>
  <c r="EK226" i="4"/>
  <c r="EK222" i="4"/>
  <c r="EK221" i="4"/>
  <c r="EK219" i="4"/>
  <c r="EK228" i="4"/>
  <c r="EK33" i="4"/>
  <c r="EK34" i="4"/>
  <c r="EK225" i="4"/>
  <c r="EK218" i="4"/>
  <c r="EK227" i="4"/>
  <c r="EK69" i="4"/>
  <c r="EK124" i="4"/>
  <c r="EK102" i="4"/>
  <c r="EK103" i="4"/>
  <c r="EK104" i="4"/>
  <c r="EK74" i="4"/>
  <c r="EK94" i="4"/>
  <c r="EK41" i="4"/>
  <c r="EK75" i="4"/>
  <c r="EK123" i="4"/>
  <c r="EK73" i="4"/>
  <c r="EK135" i="4"/>
  <c r="EK45" i="4"/>
  <c r="EK117" i="4"/>
  <c r="EK118" i="4"/>
  <c r="EK127" i="4"/>
  <c r="EK20" i="4"/>
  <c r="EK78" i="4"/>
  <c r="EK61" i="4"/>
  <c r="EK112" i="4"/>
  <c r="EK70" i="4"/>
  <c r="EK92" i="4"/>
  <c r="EK2" i="4"/>
  <c r="EK131" i="4"/>
  <c r="EK111" i="4"/>
  <c r="EK121" i="4"/>
  <c r="EK28" i="4"/>
  <c r="EK126" i="4"/>
  <c r="EK136" i="4"/>
  <c r="EK145" i="4"/>
  <c r="EK115" i="4"/>
  <c r="EK141" i="4"/>
  <c r="EK140" i="4"/>
  <c r="EK143" i="4"/>
  <c r="EK88" i="4"/>
  <c r="EK31" i="4"/>
  <c r="EK128" i="4"/>
  <c r="EK114" i="4"/>
  <c r="EK108" i="4"/>
  <c r="EK85" i="4"/>
  <c r="EK120" i="4"/>
  <c r="EK110" i="4"/>
  <c r="EK99" i="4"/>
  <c r="EK196" i="4"/>
  <c r="EO81" i="4" l="1"/>
  <c r="EO108" i="4"/>
  <c r="EO143" i="4"/>
  <c r="EO145" i="4"/>
  <c r="EO2" i="4"/>
  <c r="EO147" i="4"/>
  <c r="EO228" i="4"/>
  <c r="EO226" i="4"/>
  <c r="EO202" i="4"/>
  <c r="EO213" i="4"/>
  <c r="EO207" i="4"/>
  <c r="EO10" i="4"/>
  <c r="EO188" i="4"/>
  <c r="EO201" i="4"/>
  <c r="EO243" i="4"/>
  <c r="EO231" i="4"/>
  <c r="EO40" i="4"/>
  <c r="EO133" i="4"/>
  <c r="EO65" i="4"/>
  <c r="EO59" i="4"/>
  <c r="EO219" i="4"/>
  <c r="EO220" i="4"/>
  <c r="EO6" i="4"/>
  <c r="EO203" i="4"/>
  <c r="EO153" i="4"/>
  <c r="EO211" i="4"/>
  <c r="EO236" i="4"/>
  <c r="EO240" i="4"/>
  <c r="EO242" i="4"/>
  <c r="EO56" i="4"/>
  <c r="EO100" i="4"/>
  <c r="EO24" i="4"/>
  <c r="EO89" i="4"/>
  <c r="EO67" i="4"/>
  <c r="EO18" i="4"/>
  <c r="EO38" i="4"/>
  <c r="EO150" i="4"/>
  <c r="EO11" i="4"/>
  <c r="EO152" i="4"/>
  <c r="EO8" i="4"/>
  <c r="EO187" i="4"/>
  <c r="EO110" i="4"/>
  <c r="EO92" i="4"/>
  <c r="EO61" i="4"/>
  <c r="EO127" i="4"/>
  <c r="EO245" i="4"/>
  <c r="EO53" i="4"/>
  <c r="EO171" i="4"/>
  <c r="EO120" i="4"/>
  <c r="EO31" i="4"/>
  <c r="EO141" i="4"/>
  <c r="EO111" i="4"/>
  <c r="EO70" i="4"/>
  <c r="EO78" i="4"/>
  <c r="EO104" i="4"/>
  <c r="EO221" i="4"/>
  <c r="EO14" i="4"/>
  <c r="EO9" i="4"/>
  <c r="EO175" i="4"/>
  <c r="EO195" i="4"/>
  <c r="EO99" i="4"/>
  <c r="EO85" i="4"/>
  <c r="EO88" i="4"/>
  <c r="EO115" i="4"/>
  <c r="EO131" i="4"/>
  <c r="EO112" i="4"/>
  <c r="EO103" i="4"/>
  <c r="EO33" i="4"/>
  <c r="EO222" i="4"/>
  <c r="EO157" i="4"/>
  <c r="EO185" i="4"/>
  <c r="EO168" i="4"/>
  <c r="EO209" i="4"/>
  <c r="EO184" i="4"/>
  <c r="EO149" i="4"/>
  <c r="EO239" i="4"/>
  <c r="EO216" i="4"/>
  <c r="EO86" i="4"/>
  <c r="EO77" i="4"/>
  <c r="EO101" i="4"/>
  <c r="EO91" i="4"/>
  <c r="EO22" i="4"/>
  <c r="EO132" i="4"/>
  <c r="EO72" i="4"/>
  <c r="EO151" i="4"/>
  <c r="EO114" i="4"/>
  <c r="EO140" i="4"/>
  <c r="EO50" i="4"/>
  <c r="EO44" i="4"/>
  <c r="EO30" i="4"/>
  <c r="EO58" i="4"/>
  <c r="EO146" i="4"/>
  <c r="EO26" i="4"/>
  <c r="EO32" i="4"/>
  <c r="EO172" i="4"/>
  <c r="EO136" i="4"/>
  <c r="EO123" i="4"/>
  <c r="EO124" i="4"/>
  <c r="EO225" i="4"/>
  <c r="EO194" i="4"/>
  <c r="EO173" i="4"/>
  <c r="EO170" i="4"/>
  <c r="EO238" i="4"/>
  <c r="EO230" i="4"/>
  <c r="EO233" i="4"/>
  <c r="EO105" i="4"/>
  <c r="EO113" i="4"/>
  <c r="EO83" i="4"/>
  <c r="EO27" i="4"/>
  <c r="EO64" i="4"/>
  <c r="EO97" i="4"/>
  <c r="EO176" i="4"/>
  <c r="EO126" i="4"/>
  <c r="EO117" i="4"/>
  <c r="EO75" i="4"/>
  <c r="EO69" i="4"/>
  <c r="EO179" i="4"/>
  <c r="EO200" i="4"/>
  <c r="EO159" i="4"/>
  <c r="EO191" i="4"/>
  <c r="EO234" i="4"/>
  <c r="EO190" i="4"/>
  <c r="EO28" i="4"/>
  <c r="EO20" i="4"/>
  <c r="EO45" i="4"/>
  <c r="EO41" i="4"/>
  <c r="EO227" i="4"/>
  <c r="EO186" i="4"/>
  <c r="EO180" i="4"/>
  <c r="EO205" i="4"/>
  <c r="EO183" i="4"/>
  <c r="EO247" i="4"/>
  <c r="EO66" i="4"/>
  <c r="EO5" i="4"/>
  <c r="EO23" i="4"/>
  <c r="EO55" i="4"/>
  <c r="EO68" i="4"/>
  <c r="EO229" i="4"/>
  <c r="EO156" i="4"/>
  <c r="EO62" i="4"/>
  <c r="EO60" i="4"/>
  <c r="EO121" i="4"/>
  <c r="EO94" i="4"/>
  <c r="EO102" i="4"/>
  <c r="EO218" i="4"/>
  <c r="EO167" i="4"/>
  <c r="EO174" i="4"/>
  <c r="EO192" i="4"/>
  <c r="EO214" i="4"/>
  <c r="EO217" i="4"/>
  <c r="EO57" i="4"/>
  <c r="EO80" i="4"/>
  <c r="EO46" i="4"/>
  <c r="EO37" i="4"/>
  <c r="EO36" i="4"/>
  <c r="EO142" i="4"/>
  <c r="EO223" i="4"/>
  <c r="EO166" i="4"/>
  <c r="EO169" i="4"/>
  <c r="EO196" i="4"/>
  <c r="EO39" i="4"/>
  <c r="EO87" i="4"/>
  <c r="EO16" i="4"/>
  <c r="EO35" i="4"/>
  <c r="EO224" i="4"/>
  <c r="EO160" i="4"/>
  <c r="EG169" i="4"/>
  <c r="EG208" i="4"/>
  <c r="EG206" i="4"/>
  <c r="EG151" i="4"/>
  <c r="EG176" i="4"/>
  <c r="EG11" i="4"/>
  <c r="EG150" i="4"/>
  <c r="EG177" i="4"/>
  <c r="EG190" i="4"/>
  <c r="EG171" i="4"/>
  <c r="EG166" i="4"/>
  <c r="EG156" i="4"/>
  <c r="EG172" i="4"/>
  <c r="EG160" i="4"/>
  <c r="EG212" i="4"/>
  <c r="EG223" i="4"/>
  <c r="EG229" i="4"/>
  <c r="EG32" i="4"/>
  <c r="EG224" i="4"/>
  <c r="EG142" i="4"/>
  <c r="EG43" i="4"/>
  <c r="EG68" i="4"/>
  <c r="EG26" i="4"/>
  <c r="EG35" i="4"/>
  <c r="EG36" i="4"/>
  <c r="EG21" i="4"/>
  <c r="EG49" i="4"/>
  <c r="EG63" i="4"/>
  <c r="EG146" i="4"/>
  <c r="EG16" i="4"/>
  <c r="EG37" i="4"/>
  <c r="EG48" i="4"/>
  <c r="EG72" i="4"/>
  <c r="EG97" i="4"/>
  <c r="EG38" i="4"/>
  <c r="EG60" i="4"/>
  <c r="EG132" i="4"/>
  <c r="EG47" i="4"/>
  <c r="EG87" i="4"/>
  <c r="EG46" i="4"/>
  <c r="EG55" i="4"/>
  <c r="EG58" i="4"/>
  <c r="EG39" i="4"/>
  <c r="EG80" i="4"/>
  <c r="EG23" i="4"/>
  <c r="EG30" i="4"/>
  <c r="EG82" i="4"/>
  <c r="EG18" i="4"/>
  <c r="EG59" i="4"/>
  <c r="EG22" i="4"/>
  <c r="EG64" i="4"/>
  <c r="EG51" i="4"/>
  <c r="EG67" i="4"/>
  <c r="EG139" i="4"/>
  <c r="EG5" i="4"/>
  <c r="EG96" i="4"/>
  <c r="EG44" i="4"/>
  <c r="EG95" i="4"/>
  <c r="EG15" i="4"/>
  <c r="EG57" i="4"/>
  <c r="EG66" i="4"/>
  <c r="EG50" i="4"/>
  <c r="EG53" i="4"/>
  <c r="EG54" i="4"/>
  <c r="EG90" i="4"/>
  <c r="EG62" i="4"/>
  <c r="EG91" i="4"/>
  <c r="EG27" i="4"/>
  <c r="EG89" i="4"/>
  <c r="EG65" i="4"/>
  <c r="EG101" i="4"/>
  <c r="EG83" i="4"/>
  <c r="EG24" i="4"/>
  <c r="EG133" i="4"/>
  <c r="EG77" i="4"/>
  <c r="EG113" i="4"/>
  <c r="EG100" i="4"/>
  <c r="EG40" i="4"/>
  <c r="EG86" i="4"/>
  <c r="EG105" i="4"/>
  <c r="EG56" i="4"/>
  <c r="EG52" i="4"/>
  <c r="EG138" i="4"/>
  <c r="EG71" i="4"/>
  <c r="EG17" i="4"/>
  <c r="EG19" i="4"/>
  <c r="EG247" i="4"/>
  <c r="EG234" i="4"/>
  <c r="EG245" i="4"/>
  <c r="EG217" i="4"/>
  <c r="EG244" i="4"/>
  <c r="EG216" i="4"/>
  <c r="EG233" i="4"/>
  <c r="EG242" i="4"/>
  <c r="EG231" i="4"/>
  <c r="EG237" i="4"/>
  <c r="EG241" i="4"/>
  <c r="EG230" i="4"/>
  <c r="EG240" i="4"/>
  <c r="EG243" i="4"/>
  <c r="EG239" i="4"/>
  <c r="EG238" i="4"/>
  <c r="EG235" i="4"/>
  <c r="EG236" i="4"/>
  <c r="EG148" i="4"/>
  <c r="EG232" i="4"/>
  <c r="EG246" i="4"/>
  <c r="EG215" i="4"/>
  <c r="EG201" i="4"/>
  <c r="EG149" i="4"/>
  <c r="EG163" i="4"/>
  <c r="EG187" i="4"/>
  <c r="EG189" i="4"/>
  <c r="EG188" i="4"/>
  <c r="EG184" i="4"/>
  <c r="EG170" i="4"/>
  <c r="EG198" i="4"/>
  <c r="EG7" i="4"/>
  <c r="EG10" i="4"/>
  <c r="EG209" i="4"/>
  <c r="EG161" i="4"/>
  <c r="EG8" i="4"/>
  <c r="EG214" i="4"/>
  <c r="EG183" i="4"/>
  <c r="EG191" i="4"/>
  <c r="EG152" i="4"/>
  <c r="EG192" i="4"/>
  <c r="EG205" i="4"/>
  <c r="EG181" i="4"/>
  <c r="EG195" i="4"/>
  <c r="EG211" i="4"/>
  <c r="EG207" i="4"/>
  <c r="EG210" i="4"/>
  <c r="EG159" i="4"/>
  <c r="EG154" i="4"/>
  <c r="EG153" i="4"/>
  <c r="EG213" i="4"/>
  <c r="EG168" i="4"/>
  <c r="EG175" i="4"/>
  <c r="EG203" i="4"/>
  <c r="EG197" i="4"/>
  <c r="EG180" i="4"/>
  <c r="EG200" i="4"/>
  <c r="EG173" i="4"/>
  <c r="EG174" i="4"/>
  <c r="EG186" i="4"/>
  <c r="EG182" i="4"/>
  <c r="EG179" i="4"/>
  <c r="EG194" i="4"/>
  <c r="EG167" i="4"/>
  <c r="EG12" i="4"/>
  <c r="EG185" i="4"/>
  <c r="EG9" i="4"/>
  <c r="EG6" i="4"/>
  <c r="EG165" i="4"/>
  <c r="EG202" i="4"/>
  <c r="EG157" i="4"/>
  <c r="EG193" i="4"/>
  <c r="EG204" i="4"/>
  <c r="EG155" i="4"/>
  <c r="EG158" i="4"/>
  <c r="EG164" i="4"/>
  <c r="EG13" i="4"/>
  <c r="EG178" i="4"/>
  <c r="EG199" i="4"/>
  <c r="EG162" i="4"/>
  <c r="EG14" i="4"/>
  <c r="EG220" i="4"/>
  <c r="EG226" i="4"/>
  <c r="EG222" i="4"/>
  <c r="EG221" i="4"/>
  <c r="EG219" i="4"/>
  <c r="EG228" i="4"/>
  <c r="EG33" i="4"/>
  <c r="EG34" i="4"/>
  <c r="EG225" i="4"/>
  <c r="EG218" i="4"/>
  <c r="EG227" i="4"/>
  <c r="EG69" i="4"/>
  <c r="EG124" i="4"/>
  <c r="EG102" i="4"/>
  <c r="EG130" i="4"/>
  <c r="EG103" i="4"/>
  <c r="EG104" i="4"/>
  <c r="EG107" i="4"/>
  <c r="EG74" i="4"/>
  <c r="EG94" i="4"/>
  <c r="EG41" i="4"/>
  <c r="EG75" i="4"/>
  <c r="EG123" i="4"/>
  <c r="EG73" i="4"/>
  <c r="EG135" i="4"/>
  <c r="EG45" i="4"/>
  <c r="EG117" i="4"/>
  <c r="EG118" i="4"/>
  <c r="EG127" i="4"/>
  <c r="EG25" i="4"/>
  <c r="EG20" i="4"/>
  <c r="EG129" i="4"/>
  <c r="EG78" i="4"/>
  <c r="EG61" i="4"/>
  <c r="EG147" i="4"/>
  <c r="EG112" i="4"/>
  <c r="EG70" i="4"/>
  <c r="EG92" i="4"/>
  <c r="EG2" i="4"/>
  <c r="EG131" i="4"/>
  <c r="EG144" i="4"/>
  <c r="EG111" i="4"/>
  <c r="EG134" i="4"/>
  <c r="EG121" i="4"/>
  <c r="EG28" i="4"/>
  <c r="EG126" i="4"/>
  <c r="EG136" i="4"/>
  <c r="EG119" i="4"/>
  <c r="EG145" i="4"/>
  <c r="EG115" i="4"/>
  <c r="EG141" i="4"/>
  <c r="EG140" i="4"/>
  <c r="EG143" i="4"/>
  <c r="EG125" i="4"/>
  <c r="EG88" i="4"/>
  <c r="EG106" i="4"/>
  <c r="EG31" i="4"/>
  <c r="EG128" i="4"/>
  <c r="EG114" i="4"/>
  <c r="EG109" i="4"/>
  <c r="EG79" i="4"/>
  <c r="EG108" i="4"/>
  <c r="EG85" i="4"/>
  <c r="EG120" i="4"/>
  <c r="EG110" i="4"/>
  <c r="EG81" i="4"/>
  <c r="EG99" i="4"/>
  <c r="EG29" i="4"/>
  <c r="EG3" i="4"/>
  <c r="EG122" i="4"/>
  <c r="EG76" i="4"/>
  <c r="EG116" i="4"/>
  <c r="EG137" i="4"/>
  <c r="EG42" i="4"/>
  <c r="EG98" i="4"/>
  <c r="EG93" i="4"/>
  <c r="EG84" i="4"/>
  <c r="EG4" i="4"/>
  <c r="EG196" i="4"/>
  <c r="I3" i="10"/>
  <c r="I4" i="10"/>
  <c r="I5" i="10"/>
  <c r="I6" i="10"/>
  <c r="I7" i="10"/>
  <c r="I8" i="10"/>
  <c r="I9" i="10"/>
  <c r="I10" i="10"/>
  <c r="I11" i="10"/>
  <c r="I12" i="10"/>
  <c r="I13" i="10"/>
  <c r="I14" i="10"/>
  <c r="I15" i="10"/>
  <c r="I16" i="10"/>
  <c r="I17" i="10"/>
  <c r="I18" i="10"/>
  <c r="I19" i="10"/>
  <c r="I20" i="10"/>
  <c r="I21" i="10"/>
  <c r="I22" i="10"/>
  <c r="I23" i="10"/>
  <c r="I24" i="10"/>
  <c r="I25" i="10"/>
  <c r="I26" i="10"/>
  <c r="I27" i="10"/>
  <c r="I28" i="10"/>
  <c r="I29" i="10"/>
  <c r="I30" i="10"/>
  <c r="I31" i="10"/>
  <c r="I32" i="10"/>
  <c r="I33" i="10"/>
  <c r="I34" i="10"/>
  <c r="I35" i="10"/>
  <c r="I36" i="10"/>
  <c r="I37" i="10"/>
  <c r="I38" i="10"/>
  <c r="I39" i="10"/>
  <c r="I40" i="10"/>
  <c r="I41" i="10"/>
  <c r="I42" i="10"/>
  <c r="I43" i="10"/>
  <c r="I44" i="10"/>
  <c r="I45" i="10"/>
  <c r="I46" i="10"/>
  <c r="I47" i="10"/>
  <c r="I48" i="10"/>
  <c r="I49" i="10"/>
  <c r="I50" i="10"/>
  <c r="I51" i="10"/>
  <c r="I52" i="10"/>
  <c r="I53" i="10"/>
  <c r="I54" i="10"/>
  <c r="I55" i="10"/>
  <c r="I56" i="10"/>
  <c r="I57" i="10"/>
  <c r="I58" i="10"/>
  <c r="I59" i="10"/>
  <c r="I60" i="10"/>
  <c r="I61" i="10"/>
  <c r="I62" i="10"/>
  <c r="I63" i="10"/>
  <c r="I64" i="10"/>
  <c r="I65" i="10"/>
  <c r="I66" i="10"/>
  <c r="I67" i="10"/>
  <c r="I68" i="10"/>
  <c r="I69" i="10"/>
  <c r="I70" i="10"/>
  <c r="I71" i="10"/>
  <c r="I72" i="10"/>
  <c r="I73" i="10"/>
  <c r="I74" i="10"/>
  <c r="I75" i="10"/>
  <c r="I76" i="10"/>
  <c r="I77" i="10"/>
  <c r="I78" i="10"/>
  <c r="I79" i="10"/>
  <c r="I80" i="10"/>
  <c r="I81" i="10"/>
  <c r="I82" i="10"/>
  <c r="I83" i="10"/>
  <c r="I84" i="10"/>
  <c r="I85" i="10"/>
  <c r="I86" i="10"/>
  <c r="I87" i="10"/>
  <c r="I88" i="10"/>
  <c r="I89" i="10"/>
  <c r="I90" i="10"/>
  <c r="I91" i="10"/>
  <c r="I92" i="10"/>
  <c r="I93" i="10"/>
  <c r="I94" i="10"/>
  <c r="I95" i="10"/>
  <c r="I96" i="10"/>
  <c r="I97" i="10"/>
  <c r="I98" i="10"/>
  <c r="I99" i="10"/>
  <c r="I100" i="10"/>
  <c r="I101" i="10"/>
  <c r="I102" i="10"/>
  <c r="I103" i="10"/>
  <c r="I104" i="10"/>
  <c r="I105" i="10"/>
  <c r="I106" i="10"/>
  <c r="I107" i="10"/>
  <c r="I108" i="10"/>
  <c r="I109" i="10"/>
  <c r="I110" i="10"/>
  <c r="I111" i="10"/>
  <c r="I112" i="10"/>
  <c r="I113" i="10"/>
  <c r="I114" i="10"/>
  <c r="I115" i="10"/>
  <c r="I116" i="10"/>
  <c r="I117" i="10"/>
  <c r="I118" i="10"/>
  <c r="I119" i="10"/>
  <c r="I120" i="10"/>
  <c r="I121" i="10"/>
  <c r="I122" i="10"/>
  <c r="I123" i="10"/>
  <c r="I124" i="10"/>
  <c r="I125" i="10"/>
  <c r="I126" i="10"/>
  <c r="I127" i="10"/>
  <c r="I128" i="10"/>
  <c r="I129" i="10"/>
  <c r="I130" i="10"/>
  <c r="I131" i="10"/>
  <c r="I132" i="10"/>
  <c r="I133" i="10"/>
  <c r="I134" i="10"/>
  <c r="I135" i="10"/>
  <c r="I136" i="10"/>
  <c r="I137" i="10"/>
  <c r="I138" i="10"/>
  <c r="I139" i="10"/>
  <c r="I140" i="10"/>
  <c r="I141" i="10"/>
  <c r="I142" i="10"/>
  <c r="I143" i="10"/>
  <c r="I144" i="10"/>
  <c r="I145" i="10"/>
  <c r="I146" i="10"/>
  <c r="I147" i="10"/>
  <c r="I148" i="10"/>
  <c r="I149" i="10"/>
  <c r="I150" i="10"/>
  <c r="I151" i="10"/>
  <c r="I152" i="10"/>
  <c r="I153" i="10"/>
  <c r="I154" i="10"/>
  <c r="I155" i="10"/>
  <c r="I156" i="10"/>
  <c r="I157" i="10"/>
  <c r="I158" i="10"/>
  <c r="I159" i="10"/>
  <c r="I160" i="10"/>
  <c r="I161" i="10"/>
  <c r="I162" i="10"/>
  <c r="I163" i="10"/>
  <c r="I164" i="10"/>
  <c r="I165" i="10"/>
  <c r="I166" i="10"/>
  <c r="I167" i="10"/>
  <c r="I168" i="10"/>
  <c r="I169" i="10"/>
  <c r="I170" i="10"/>
  <c r="I171" i="10"/>
  <c r="I172" i="10"/>
  <c r="I173" i="10"/>
  <c r="I174" i="10"/>
  <c r="I175" i="10"/>
  <c r="I176" i="10"/>
  <c r="I177" i="10"/>
  <c r="I178" i="10"/>
  <c r="I179" i="10"/>
  <c r="I180" i="10"/>
  <c r="I181" i="10"/>
  <c r="I182" i="10"/>
  <c r="I183" i="10"/>
  <c r="I184" i="10"/>
  <c r="I185" i="10"/>
  <c r="I186" i="10"/>
  <c r="I187" i="10"/>
  <c r="I188" i="10"/>
  <c r="I189" i="10"/>
  <c r="I190" i="10"/>
  <c r="I191" i="10"/>
  <c r="I192" i="10"/>
  <c r="I193" i="10"/>
  <c r="I194" i="10"/>
  <c r="I195" i="10"/>
  <c r="I196" i="10"/>
  <c r="I197" i="10"/>
  <c r="I198" i="10"/>
  <c r="I199" i="10"/>
  <c r="I200" i="10"/>
  <c r="I201" i="10"/>
  <c r="I202" i="10"/>
  <c r="I203" i="10"/>
  <c r="I204" i="10"/>
  <c r="I205" i="10"/>
  <c r="I206" i="10"/>
  <c r="I207" i="10"/>
  <c r="I208" i="10"/>
  <c r="I209" i="10"/>
  <c r="I210" i="10"/>
  <c r="I211" i="10"/>
  <c r="I212" i="10"/>
  <c r="I213" i="10"/>
  <c r="I214" i="10"/>
  <c r="I215" i="10"/>
  <c r="I216" i="10"/>
  <c r="I217" i="10"/>
  <c r="I218" i="10"/>
  <c r="I219" i="10"/>
  <c r="I220" i="10"/>
  <c r="I221" i="10"/>
  <c r="I222" i="10"/>
  <c r="I223" i="10"/>
  <c r="I224" i="10"/>
  <c r="I225" i="10"/>
  <c r="I226" i="10"/>
  <c r="I227" i="10"/>
  <c r="I228" i="10"/>
  <c r="I229" i="10"/>
  <c r="I230" i="10"/>
  <c r="I231" i="10"/>
  <c r="I232" i="10"/>
  <c r="I233" i="10"/>
  <c r="I234" i="10"/>
  <c r="I235" i="10"/>
  <c r="I236" i="10"/>
  <c r="I237" i="10"/>
  <c r="I238" i="10"/>
  <c r="I239" i="10"/>
  <c r="I240" i="10"/>
  <c r="I241" i="10"/>
  <c r="I242" i="10"/>
  <c r="I243" i="10"/>
  <c r="I244" i="10"/>
  <c r="I245" i="10"/>
  <c r="I246" i="10"/>
  <c r="I247" i="10"/>
  <c r="I248" i="10"/>
  <c r="I249" i="10"/>
  <c r="I250" i="10"/>
  <c r="I251" i="10"/>
  <c r="I252" i="10"/>
  <c r="I253" i="10"/>
  <c r="I254" i="10"/>
  <c r="I255" i="10"/>
  <c r="I256" i="10"/>
  <c r="I257" i="10"/>
  <c r="I258" i="10"/>
  <c r="I259" i="10"/>
  <c r="I260" i="10"/>
  <c r="I261" i="10"/>
  <c r="I262" i="10"/>
  <c r="I263" i="10"/>
  <c r="I264" i="10"/>
  <c r="I265" i="10"/>
  <c r="I266" i="10"/>
  <c r="I267" i="10"/>
  <c r="I268" i="10"/>
  <c r="I269" i="10"/>
  <c r="I270" i="10"/>
  <c r="I271" i="10"/>
  <c r="I272" i="10"/>
  <c r="I273" i="10"/>
  <c r="I274" i="10"/>
  <c r="I275" i="10"/>
  <c r="I276" i="10"/>
  <c r="I277" i="10"/>
  <c r="I278" i="10"/>
  <c r="I279" i="10"/>
  <c r="I280" i="10"/>
  <c r="I281" i="10"/>
  <c r="I283" i="10"/>
  <c r="I284" i="10"/>
  <c r="I285" i="10"/>
  <c r="I286" i="10"/>
  <c r="I287" i="10"/>
  <c r="I288" i="10"/>
  <c r="I289" i="10"/>
  <c r="I290" i="10"/>
  <c r="I291" i="10"/>
  <c r="I292" i="10"/>
  <c r="I293" i="10"/>
  <c r="I294" i="10"/>
  <c r="I295" i="10"/>
  <c r="I296" i="10"/>
  <c r="I297" i="10"/>
  <c r="I298" i="10"/>
  <c r="I299" i="10"/>
  <c r="I300" i="10"/>
  <c r="I301" i="10"/>
  <c r="I302" i="10"/>
  <c r="I303" i="10"/>
  <c r="I304" i="10"/>
  <c r="I305" i="10"/>
  <c r="I306" i="10"/>
  <c r="I307" i="10"/>
  <c r="I308" i="10"/>
  <c r="I309" i="10"/>
  <c r="I310" i="10"/>
  <c r="I311" i="10"/>
  <c r="I312" i="10"/>
  <c r="I313" i="10"/>
  <c r="I314" i="10"/>
  <c r="I315" i="10"/>
  <c r="I316" i="10"/>
  <c r="I317" i="10"/>
  <c r="I318" i="10"/>
  <c r="I319" i="10"/>
  <c r="I320" i="10"/>
  <c r="I321" i="10"/>
  <c r="I322" i="10"/>
  <c r="I323" i="10"/>
  <c r="I324" i="10"/>
  <c r="I325" i="10"/>
  <c r="I326" i="10"/>
  <c r="I327" i="10"/>
  <c r="I328" i="10"/>
  <c r="I329" i="10"/>
  <c r="I330" i="10"/>
  <c r="I331" i="10"/>
  <c r="I332" i="10"/>
  <c r="I333" i="10"/>
  <c r="I334" i="10"/>
  <c r="I335" i="10"/>
  <c r="I336" i="10"/>
  <c r="I337" i="10"/>
  <c r="I338" i="10"/>
  <c r="I339" i="10"/>
  <c r="I340" i="10"/>
  <c r="I341" i="10"/>
  <c r="I342" i="10"/>
  <c r="I343" i="10"/>
  <c r="I344" i="10"/>
  <c r="I345" i="10"/>
  <c r="I346" i="10"/>
  <c r="I347" i="10"/>
  <c r="I348" i="10"/>
  <c r="I349" i="10"/>
  <c r="I350" i="10"/>
  <c r="I351" i="10"/>
  <c r="I352" i="10"/>
  <c r="I353" i="10"/>
  <c r="I354" i="10"/>
  <c r="I355" i="10"/>
  <c r="I356" i="10"/>
  <c r="I357" i="10"/>
  <c r="I2" i="10"/>
  <c r="I27" i="14" l="1"/>
  <c r="I25" i="14"/>
  <c r="H27" i="14"/>
  <c r="H25" i="14"/>
  <c r="F27" i="14"/>
  <c r="G27" i="14"/>
  <c r="F28" i="14"/>
  <c r="G28" i="14"/>
  <c r="F29" i="14"/>
  <c r="G29" i="14"/>
  <c r="F4" i="14"/>
  <c r="G4" i="14"/>
  <c r="F5" i="14"/>
  <c r="G5" i="14"/>
  <c r="F6" i="14"/>
  <c r="G6" i="14"/>
  <c r="F11" i="14"/>
  <c r="G11" i="14"/>
  <c r="F12" i="14"/>
  <c r="G12" i="14"/>
  <c r="C15" i="14"/>
  <c r="D15" i="14" s="1"/>
  <c r="G26" i="14"/>
  <c r="F26" i="14"/>
  <c r="G25" i="14"/>
  <c r="F25" i="14"/>
  <c r="G24" i="14"/>
  <c r="F24" i="14"/>
  <c r="AS142" i="4"/>
  <c r="AS196" i="4"/>
  <c r="AS201" i="4"/>
  <c r="AS43" i="4"/>
  <c r="AS169" i="4"/>
  <c r="AS69" i="4"/>
  <c r="AS208" i="4"/>
  <c r="AS124" i="4"/>
  <c r="AS102" i="4"/>
  <c r="AS130" i="4"/>
  <c r="AS68" i="4"/>
  <c r="AS26" i="4"/>
  <c r="AS103" i="4"/>
  <c r="AS14" i="4"/>
  <c r="AS223" i="4"/>
  <c r="AS104" i="4"/>
  <c r="AS247" i="4"/>
  <c r="AS229" i="4"/>
  <c r="AS149" i="4"/>
  <c r="AS107" i="4"/>
  <c r="AS74" i="4"/>
  <c r="AS220" i="4"/>
  <c r="AS94" i="4"/>
  <c r="AS41" i="4"/>
  <c r="AS35" i="4"/>
  <c r="AS75" i="4"/>
  <c r="AS36" i="4"/>
  <c r="AS123" i="4"/>
  <c r="AS73" i="4"/>
  <c r="AS21" i="4"/>
  <c r="AS163" i="4"/>
  <c r="AS49" i="4"/>
  <c r="AS135" i="4"/>
  <c r="AS45" i="4"/>
  <c r="AS117" i="4"/>
  <c r="AS63" i="4"/>
  <c r="AS118" i="4"/>
  <c r="AS146" i="4"/>
  <c r="AS187" i="4"/>
  <c r="AS189" i="4"/>
  <c r="AS188" i="4"/>
  <c r="AS127" i="4"/>
  <c r="AS16" i="4"/>
  <c r="AS184" i="4"/>
  <c r="AS25" i="4"/>
  <c r="AS170" i="4"/>
  <c r="AS37" i="4"/>
  <c r="AS48" i="4"/>
  <c r="AS72" i="4"/>
  <c r="AS97" i="4"/>
  <c r="AS20" i="4"/>
  <c r="AS38" i="4"/>
  <c r="AS60" i="4"/>
  <c r="AS132" i="4"/>
  <c r="AS47" i="4"/>
  <c r="AS87" i="4"/>
  <c r="AS46" i="4"/>
  <c r="AS55" i="4"/>
  <c r="AS58" i="4"/>
  <c r="AS39" i="4"/>
  <c r="AS80" i="4"/>
  <c r="AS234" i="4"/>
  <c r="AS198" i="4"/>
  <c r="AS245" i="4"/>
  <c r="AS217" i="4"/>
  <c r="AS129" i="4"/>
  <c r="AS226" i="4"/>
  <c r="AS244" i="4"/>
  <c r="AS216" i="4"/>
  <c r="AS233" i="4"/>
  <c r="AS242" i="4"/>
  <c r="AS78" i="4"/>
  <c r="AS7" i="4"/>
  <c r="AS61" i="4"/>
  <c r="AS231" i="4"/>
  <c r="AS10" i="4"/>
  <c r="AS206" i="4"/>
  <c r="AS209" i="4"/>
  <c r="AS147" i="4"/>
  <c r="AS23" i="4"/>
  <c r="AS112" i="4"/>
  <c r="AS237" i="4"/>
  <c r="AS161" i="4"/>
  <c r="AS222" i="4"/>
  <c r="AS221" i="4"/>
  <c r="AS219" i="4"/>
  <c r="AS30" i="4"/>
  <c r="AS70" i="4"/>
  <c r="AS8" i="4"/>
  <c r="AS92" i="4"/>
  <c r="AS214" i="4"/>
  <c r="AS183" i="4"/>
  <c r="AS82" i="4"/>
  <c r="AS18" i="4"/>
  <c r="AS151" i="4"/>
  <c r="AS2" i="4"/>
  <c r="AS131" i="4"/>
  <c r="AS59" i="4"/>
  <c r="AS191" i="4"/>
  <c r="AS22" i="4"/>
  <c r="AS176" i="4"/>
  <c r="AS64" i="4"/>
  <c r="AS144" i="4"/>
  <c r="AS11" i="4"/>
  <c r="AS111" i="4"/>
  <c r="AS51" i="4"/>
  <c r="AS67" i="4"/>
  <c r="AS139" i="4"/>
  <c r="AS150" i="4"/>
  <c r="AS134" i="4"/>
  <c r="AS121" i="4"/>
  <c r="AS228" i="4"/>
  <c r="AS152" i="4"/>
  <c r="AS28" i="4"/>
  <c r="AS192" i="4"/>
  <c r="AS205" i="4"/>
  <c r="AS181" i="4"/>
  <c r="AS33" i="4"/>
  <c r="AS34" i="4"/>
  <c r="AS126" i="4"/>
  <c r="AS136" i="4"/>
  <c r="AS195" i="4"/>
  <c r="AS5" i="4"/>
  <c r="AS241" i="4"/>
  <c r="AS211" i="4"/>
  <c r="AS96" i="4"/>
  <c r="AS230" i="4"/>
  <c r="AS119" i="4"/>
  <c r="AS44" i="4"/>
  <c r="AS177" i="4"/>
  <c r="AS145" i="4"/>
  <c r="AS207" i="4"/>
  <c r="AS210" i="4"/>
  <c r="AS95" i="4"/>
  <c r="AS15" i="4"/>
  <c r="AS57" i="4"/>
  <c r="AS225" i="4"/>
  <c r="AS66" i="4"/>
  <c r="AS159" i="4"/>
  <c r="AS50" i="4"/>
  <c r="AS240" i="4"/>
  <c r="AS53" i="4"/>
  <c r="AS115" i="4"/>
  <c r="AS141" i="4"/>
  <c r="AS54" i="4"/>
  <c r="AS140" i="4"/>
  <c r="AS154" i="4"/>
  <c r="AS90" i="4"/>
  <c r="AS62" i="4"/>
  <c r="AS143" i="4"/>
  <c r="AS125" i="4"/>
  <c r="AS91" i="4"/>
  <c r="AS243" i="4"/>
  <c r="AS27" i="4"/>
  <c r="AS190" i="4"/>
  <c r="AS153" i="4"/>
  <c r="AS88" i="4"/>
  <c r="AS239" i="4"/>
  <c r="AS106" i="4"/>
  <c r="AS213" i="4"/>
  <c r="AS171" i="4"/>
  <c r="AS168" i="4"/>
  <c r="AS175" i="4"/>
  <c r="AS203" i="4"/>
  <c r="AS197" i="4"/>
  <c r="AS238" i="4"/>
  <c r="AS89" i="4"/>
  <c r="AS180" i="4"/>
  <c r="AS200" i="4"/>
  <c r="AS65" i="4"/>
  <c r="AS31" i="4"/>
  <c r="AS173" i="4"/>
  <c r="AS174" i="4"/>
  <c r="AS101" i="4"/>
  <c r="AS186" i="4"/>
  <c r="AS182" i="4"/>
  <c r="AS179" i="4"/>
  <c r="AS194" i="4"/>
  <c r="AS167" i="4"/>
  <c r="AS128" i="4"/>
  <c r="AS12" i="4"/>
  <c r="AS114" i="4"/>
  <c r="AS235" i="4"/>
  <c r="AS83" i="4"/>
  <c r="AS185" i="4"/>
  <c r="AS9" i="4"/>
  <c r="AS109" i="4"/>
  <c r="AS79" i="4"/>
  <c r="AS166" i="4"/>
  <c r="AS6" i="4"/>
  <c r="AS165" i="4"/>
  <c r="AS156" i="4"/>
  <c r="AS24" i="4"/>
  <c r="AS133" i="4"/>
  <c r="AS32" i="4"/>
  <c r="AS108" i="4"/>
  <c r="AS236" i="4"/>
  <c r="AS202" i="4"/>
  <c r="AS85" i="4"/>
  <c r="AS157" i="4"/>
  <c r="AS172" i="4"/>
  <c r="AS77" i="4"/>
  <c r="AS113" i="4"/>
  <c r="AS120" i="4"/>
  <c r="AS100" i="4"/>
  <c r="AS110" i="4"/>
  <c r="AS218" i="4"/>
  <c r="AS40" i="4"/>
  <c r="AS81" i="4"/>
  <c r="AS86" i="4"/>
  <c r="AS224" i="4"/>
  <c r="AS227" i="4"/>
  <c r="AS105" i="4"/>
  <c r="AS56" i="4"/>
  <c r="AS160" i="4"/>
  <c r="AS99" i="4"/>
  <c r="AS52" i="4"/>
  <c r="AS138" i="4"/>
  <c r="AS29" i="4"/>
  <c r="AS3" i="4"/>
  <c r="AS71" i="4"/>
  <c r="AS122" i="4"/>
  <c r="AS76" i="4"/>
  <c r="AS212" i="4"/>
  <c r="AS116" i="4"/>
  <c r="AS148" i="4"/>
  <c r="AS193" i="4"/>
  <c r="AS232" i="4"/>
  <c r="AS17" i="4"/>
  <c r="AS137" i="4"/>
  <c r="AS204" i="4"/>
  <c r="AS42" i="4"/>
  <c r="AS155" i="4"/>
  <c r="AS98" i="4"/>
  <c r="AS93" i="4"/>
  <c r="AS19" i="4"/>
  <c r="AS158" i="4"/>
  <c r="AS164" i="4"/>
  <c r="AS84" i="4"/>
  <c r="AS246" i="4"/>
  <c r="AS13" i="4"/>
  <c r="AS215" i="4"/>
  <c r="AS4" i="4"/>
  <c r="AS178" i="4"/>
  <c r="AS199" i="4"/>
  <c r="AS162" i="4"/>
  <c r="CI201" i="4"/>
  <c r="CI43" i="4"/>
  <c r="CI169" i="4"/>
  <c r="CI69" i="4"/>
  <c r="CI208" i="4"/>
  <c r="CI124" i="4"/>
  <c r="CI102" i="4"/>
  <c r="CI130" i="4"/>
  <c r="CI68" i="4"/>
  <c r="CI26" i="4"/>
  <c r="CI103" i="4"/>
  <c r="CI14" i="4"/>
  <c r="CI223" i="4"/>
  <c r="CI104" i="4"/>
  <c r="CI247" i="4"/>
  <c r="CI229" i="4"/>
  <c r="CI149" i="4"/>
  <c r="CI107" i="4"/>
  <c r="CI74" i="4"/>
  <c r="CI220" i="4"/>
  <c r="CI94" i="4"/>
  <c r="CI41" i="4"/>
  <c r="CI35" i="4"/>
  <c r="CI75" i="4"/>
  <c r="CI36" i="4"/>
  <c r="CI123" i="4"/>
  <c r="CI73" i="4"/>
  <c r="CI21" i="4"/>
  <c r="CI163" i="4"/>
  <c r="CI49" i="4"/>
  <c r="CI135" i="4"/>
  <c r="CI45" i="4"/>
  <c r="CI117" i="4"/>
  <c r="CI63" i="4"/>
  <c r="CI118" i="4"/>
  <c r="CI146" i="4"/>
  <c r="CI187" i="4"/>
  <c r="CI189" i="4"/>
  <c r="CI188" i="4"/>
  <c r="CI127" i="4"/>
  <c r="CI16" i="4"/>
  <c r="CI184" i="4"/>
  <c r="CI25" i="4"/>
  <c r="CI170" i="4"/>
  <c r="CI37" i="4"/>
  <c r="CI48" i="4"/>
  <c r="CI72" i="4"/>
  <c r="CI97" i="4"/>
  <c r="CI20" i="4"/>
  <c r="CI38" i="4"/>
  <c r="CI60" i="4"/>
  <c r="CI132" i="4"/>
  <c r="CI47" i="4"/>
  <c r="CI87" i="4"/>
  <c r="CI46" i="4"/>
  <c r="CI55" i="4"/>
  <c r="CI58" i="4"/>
  <c r="CI39" i="4"/>
  <c r="CI80" i="4"/>
  <c r="CI234" i="4"/>
  <c r="CI198" i="4"/>
  <c r="CI245" i="4"/>
  <c r="CI217" i="4"/>
  <c r="CI129" i="4"/>
  <c r="CI226" i="4"/>
  <c r="CI244" i="4"/>
  <c r="CI216" i="4"/>
  <c r="CI233" i="4"/>
  <c r="CI242" i="4"/>
  <c r="CI78" i="4"/>
  <c r="CI7" i="4"/>
  <c r="CI61" i="4"/>
  <c r="CI231" i="4"/>
  <c r="CI10" i="4"/>
  <c r="CI206" i="4"/>
  <c r="CI209" i="4"/>
  <c r="CI147" i="4"/>
  <c r="CI23" i="4"/>
  <c r="CI112" i="4"/>
  <c r="CI237" i="4"/>
  <c r="CI161" i="4"/>
  <c r="CI222" i="4"/>
  <c r="CI221" i="4"/>
  <c r="CI219" i="4"/>
  <c r="CI30" i="4"/>
  <c r="CI70" i="4"/>
  <c r="CI8" i="4"/>
  <c r="CI92" i="4"/>
  <c r="CI214" i="4"/>
  <c r="CI183" i="4"/>
  <c r="CI82" i="4"/>
  <c r="CI18" i="4"/>
  <c r="CI151" i="4"/>
  <c r="CI2" i="4"/>
  <c r="CI131" i="4"/>
  <c r="CI59" i="4"/>
  <c r="CI191" i="4"/>
  <c r="CI22" i="4"/>
  <c r="CI176" i="4"/>
  <c r="CI64" i="4"/>
  <c r="CI144" i="4"/>
  <c r="CI11" i="4"/>
  <c r="CI111" i="4"/>
  <c r="CI51" i="4"/>
  <c r="CI67" i="4"/>
  <c r="CI139" i="4"/>
  <c r="CI150" i="4"/>
  <c r="CI134" i="4"/>
  <c r="CI121" i="4"/>
  <c r="CI228" i="4"/>
  <c r="CI152" i="4"/>
  <c r="CI28" i="4"/>
  <c r="CI192" i="4"/>
  <c r="CI205" i="4"/>
  <c r="CI181" i="4"/>
  <c r="CI33" i="4"/>
  <c r="CI34" i="4"/>
  <c r="CI126" i="4"/>
  <c r="CI136" i="4"/>
  <c r="CI195" i="4"/>
  <c r="CI5" i="4"/>
  <c r="CI241" i="4"/>
  <c r="CI211" i="4"/>
  <c r="CI96" i="4"/>
  <c r="CI230" i="4"/>
  <c r="CI119" i="4"/>
  <c r="CI44" i="4"/>
  <c r="CI177" i="4"/>
  <c r="CI145" i="4"/>
  <c r="CI207" i="4"/>
  <c r="CI210" i="4"/>
  <c r="CI95" i="4"/>
  <c r="CI15" i="4"/>
  <c r="CI57" i="4"/>
  <c r="CI225" i="4"/>
  <c r="CI66" i="4"/>
  <c r="CI159" i="4"/>
  <c r="CI50" i="4"/>
  <c r="CI240" i="4"/>
  <c r="CI53" i="4"/>
  <c r="CI115" i="4"/>
  <c r="CI141" i="4"/>
  <c r="CI54" i="4"/>
  <c r="CI140" i="4"/>
  <c r="CI154" i="4"/>
  <c r="CI90" i="4"/>
  <c r="CI62" i="4"/>
  <c r="CI143" i="4"/>
  <c r="CI125" i="4"/>
  <c r="CI91" i="4"/>
  <c r="CI243" i="4"/>
  <c r="CI27" i="4"/>
  <c r="CI190" i="4"/>
  <c r="CI153" i="4"/>
  <c r="CI88" i="4"/>
  <c r="CI239" i="4"/>
  <c r="CI106" i="4"/>
  <c r="CI213" i="4"/>
  <c r="CI171" i="4"/>
  <c r="CI168" i="4"/>
  <c r="CI175" i="4"/>
  <c r="CI203" i="4"/>
  <c r="CI197" i="4"/>
  <c r="CI238" i="4"/>
  <c r="CI89" i="4"/>
  <c r="CI180" i="4"/>
  <c r="CI200" i="4"/>
  <c r="CI65" i="4"/>
  <c r="CI31" i="4"/>
  <c r="CI173" i="4"/>
  <c r="CI174" i="4"/>
  <c r="CI101" i="4"/>
  <c r="CI186" i="4"/>
  <c r="CI182" i="4"/>
  <c r="CI179" i="4"/>
  <c r="CI194" i="4"/>
  <c r="CI167" i="4"/>
  <c r="CI128" i="4"/>
  <c r="CI12" i="4"/>
  <c r="CI114" i="4"/>
  <c r="CI235" i="4"/>
  <c r="CI83" i="4"/>
  <c r="CI185" i="4"/>
  <c r="CI9" i="4"/>
  <c r="CI109" i="4"/>
  <c r="CI79" i="4"/>
  <c r="CI166" i="4"/>
  <c r="CI6" i="4"/>
  <c r="CI165" i="4"/>
  <c r="CI156" i="4"/>
  <c r="CI24" i="4"/>
  <c r="CI133" i="4"/>
  <c r="CI32" i="4"/>
  <c r="CI108" i="4"/>
  <c r="CI236" i="4"/>
  <c r="CI202" i="4"/>
  <c r="CI85" i="4"/>
  <c r="CI157" i="4"/>
  <c r="CI172" i="4"/>
  <c r="CI77" i="4"/>
  <c r="CI113" i="4"/>
  <c r="CI120" i="4"/>
  <c r="CI100" i="4"/>
  <c r="CI110" i="4"/>
  <c r="CI218" i="4"/>
  <c r="CI40" i="4"/>
  <c r="CI81" i="4"/>
  <c r="CI86" i="4"/>
  <c r="CI224" i="4"/>
  <c r="CI227" i="4"/>
  <c r="CI105" i="4"/>
  <c r="CI56" i="4"/>
  <c r="CI160" i="4"/>
  <c r="CI99" i="4"/>
  <c r="CI52" i="4"/>
  <c r="CI138" i="4"/>
  <c r="CI29" i="4"/>
  <c r="CI3" i="4"/>
  <c r="CI71" i="4"/>
  <c r="CI122" i="4"/>
  <c r="CI76" i="4"/>
  <c r="CI212" i="4"/>
  <c r="CI116" i="4"/>
  <c r="CI148" i="4"/>
  <c r="CI193" i="4"/>
  <c r="CI232" i="4"/>
  <c r="CI17" i="4"/>
  <c r="CI137" i="4"/>
  <c r="CI204" i="4"/>
  <c r="CI42" i="4"/>
  <c r="CI155" i="4"/>
  <c r="CI98" i="4"/>
  <c r="CI93" i="4"/>
  <c r="CI19" i="4"/>
  <c r="CI158" i="4"/>
  <c r="CI164" i="4"/>
  <c r="CI84" i="4"/>
  <c r="CI246" i="4"/>
  <c r="CI13" i="4"/>
  <c r="CI215" i="4"/>
  <c r="CI4" i="4"/>
  <c r="CI178" i="4"/>
  <c r="CI199" i="4"/>
  <c r="CI162" i="4"/>
  <c r="CI142" i="4"/>
  <c r="Y57" i="12" l="1"/>
  <c r="V233" i="12"/>
  <c r="V232" i="12"/>
  <c r="T232" i="12"/>
  <c r="T233" i="12"/>
  <c r="K233" i="12"/>
  <c r="K232" i="12"/>
  <c r="L232" i="12"/>
  <c r="L235" i="12" s="1"/>
  <c r="M232" i="12"/>
  <c r="N232" i="12"/>
  <c r="O232" i="12"/>
  <c r="P232" i="12"/>
  <c r="Q232" i="12"/>
  <c r="R232" i="12"/>
  <c r="U232" i="12"/>
  <c r="W232" i="12"/>
  <c r="L233" i="12"/>
  <c r="M233" i="12"/>
  <c r="N233" i="12"/>
  <c r="O233" i="12"/>
  <c r="P233" i="12"/>
  <c r="Q233" i="12"/>
  <c r="Q234" i="12" s="1"/>
  <c r="R233" i="12"/>
  <c r="S233" i="12"/>
  <c r="U233" i="12"/>
  <c r="W233" i="12"/>
  <c r="N234" i="12"/>
  <c r="X3" i="12"/>
  <c r="X46" i="12"/>
  <c r="X31" i="12"/>
  <c r="X112" i="12"/>
  <c r="Y112" i="12"/>
  <c r="Z175" i="12"/>
  <c r="S208" i="12"/>
  <c r="S232" i="12" s="1"/>
  <c r="Z170" i="12"/>
  <c r="Z165" i="12"/>
  <c r="Z19" i="12"/>
  <c r="Z86" i="12"/>
  <c r="Z22" i="12"/>
  <c r="Z131" i="12"/>
  <c r="Z77" i="12"/>
  <c r="Z98" i="12"/>
  <c r="Z199" i="12"/>
  <c r="Z145" i="12"/>
  <c r="Z184" i="12"/>
  <c r="Z61" i="12"/>
  <c r="Z194" i="12"/>
  <c r="Z100" i="12"/>
  <c r="Z166" i="12"/>
  <c r="Z16" i="12"/>
  <c r="Z49" i="12"/>
  <c r="Z203" i="12"/>
  <c r="Z55" i="12"/>
  <c r="Z144" i="12"/>
  <c r="Z205" i="12"/>
  <c r="Z130" i="12"/>
  <c r="Z105" i="12"/>
  <c r="Z15" i="12"/>
  <c r="Z25" i="12"/>
  <c r="Z27" i="12"/>
  <c r="Z167" i="12"/>
  <c r="Z181" i="12"/>
  <c r="Z155" i="12"/>
  <c r="Z149" i="12"/>
  <c r="Z176" i="12"/>
  <c r="Z195" i="12"/>
  <c r="Z63" i="12"/>
  <c r="Z117" i="12"/>
  <c r="Z178" i="12"/>
  <c r="Z108" i="12"/>
  <c r="Z87" i="12"/>
  <c r="Z64" i="12"/>
  <c r="Z116" i="12"/>
  <c r="Z179" i="12"/>
  <c r="Z41" i="12"/>
  <c r="Z59" i="12"/>
  <c r="Z8" i="12"/>
  <c r="Z13" i="12"/>
  <c r="Z50" i="12"/>
  <c r="Z200" i="12"/>
  <c r="Z84" i="12"/>
  <c r="Z111" i="12"/>
  <c r="Z71" i="12"/>
  <c r="Z161" i="12"/>
  <c r="Z45" i="12"/>
  <c r="Z173" i="12"/>
  <c r="Z75" i="12"/>
  <c r="Z44" i="12"/>
  <c r="Z198" i="12"/>
  <c r="Z74" i="12"/>
  <c r="Z169" i="12"/>
  <c r="Z92" i="12"/>
  <c r="Z211" i="12"/>
  <c r="Z67" i="12"/>
  <c r="Z147" i="12"/>
  <c r="Z2" i="12"/>
  <c r="Z212" i="12"/>
  <c r="Z196" i="12"/>
  <c r="Z79" i="12"/>
  <c r="Z56" i="12"/>
  <c r="Z148" i="12"/>
  <c r="Z162" i="12"/>
  <c r="Z193" i="12"/>
  <c r="Z37" i="12"/>
  <c r="Z11" i="12"/>
  <c r="Z26" i="12"/>
  <c r="Z17" i="12"/>
  <c r="Z54" i="12"/>
  <c r="Z118" i="12"/>
  <c r="Z197" i="12"/>
  <c r="Z34" i="12"/>
  <c r="Z137" i="12"/>
  <c r="Z129" i="12"/>
  <c r="Z107" i="12"/>
  <c r="Z188" i="12"/>
  <c r="Z39" i="12"/>
  <c r="Z139" i="12"/>
  <c r="Z18" i="12"/>
  <c r="Z158" i="12"/>
  <c r="Z214" i="12"/>
  <c r="Z60" i="12"/>
  <c r="Z40" i="12"/>
  <c r="Z46" i="12"/>
  <c r="Z89" i="12"/>
  <c r="Z81" i="12"/>
  <c r="Z164" i="12"/>
  <c r="Z143" i="12"/>
  <c r="Z185" i="12"/>
  <c r="Z171" i="12"/>
  <c r="Z53" i="12"/>
  <c r="Z204" i="12"/>
  <c r="Z120" i="12"/>
  <c r="Z146" i="12"/>
  <c r="Z126" i="12"/>
  <c r="Z218" i="12"/>
  <c r="Z133" i="12"/>
  <c r="Z191" i="12"/>
  <c r="Z42" i="12"/>
  <c r="Z80" i="12"/>
  <c r="Z135" i="12"/>
  <c r="Z190" i="12"/>
  <c r="Z29" i="12"/>
  <c r="Z97" i="12"/>
  <c r="Z31" i="12"/>
  <c r="Z141" i="12"/>
  <c r="Z189" i="12"/>
  <c r="Z153" i="12"/>
  <c r="Z132" i="12"/>
  <c r="Z5" i="12"/>
  <c r="Z177" i="12"/>
  <c r="Z73" i="12"/>
  <c r="Z66" i="12"/>
  <c r="Z24" i="12"/>
  <c r="Z180" i="12"/>
  <c r="Z62" i="12"/>
  <c r="Z95" i="12"/>
  <c r="Z47" i="12"/>
  <c r="Z99" i="12"/>
  <c r="Z121" i="12"/>
  <c r="Z152" i="12"/>
  <c r="Z7" i="12"/>
  <c r="Z106" i="12"/>
  <c r="Z151" i="12"/>
  <c r="Z138" i="12"/>
  <c r="Z35" i="12"/>
  <c r="Z136" i="12"/>
  <c r="Z150" i="12"/>
  <c r="Z163" i="12"/>
  <c r="Z134" i="12"/>
  <c r="Z9" i="12"/>
  <c r="Z159" i="12"/>
  <c r="Z14" i="12"/>
  <c r="Z142" i="12"/>
  <c r="Z82" i="12"/>
  <c r="Z93" i="12"/>
  <c r="Z103" i="12"/>
  <c r="Z70" i="12"/>
  <c r="Z88" i="12"/>
  <c r="Z119" i="12"/>
  <c r="Z76" i="12"/>
  <c r="Z72" i="12"/>
  <c r="Z227" i="12"/>
  <c r="Z20" i="12"/>
  <c r="Z127" i="12"/>
  <c r="Z48" i="12"/>
  <c r="Z125" i="12"/>
  <c r="Z186" i="12"/>
  <c r="Z140" i="12"/>
  <c r="Z85" i="12"/>
  <c r="Z4" i="12"/>
  <c r="Z3" i="12"/>
  <c r="Z157" i="12"/>
  <c r="Z206" i="12"/>
  <c r="Z122" i="12"/>
  <c r="Z160" i="12"/>
  <c r="Z65" i="12"/>
  <c r="Z123" i="12"/>
  <c r="Z12" i="12"/>
  <c r="Z33" i="12"/>
  <c r="Z168" i="12"/>
  <c r="Z124" i="12"/>
  <c r="Z38" i="12"/>
  <c r="Z192" i="12"/>
  <c r="Z28" i="12"/>
  <c r="Z23" i="12"/>
  <c r="X113" i="12"/>
  <c r="Y113" i="12"/>
  <c r="X170" i="12"/>
  <c r="Y170" i="12"/>
  <c r="X165" i="12"/>
  <c r="Y165" i="12"/>
  <c r="X19" i="12"/>
  <c r="Y19" i="12"/>
  <c r="X86" i="12"/>
  <c r="Y86" i="12"/>
  <c r="X22" i="12"/>
  <c r="Y22" i="12"/>
  <c r="X131" i="12"/>
  <c r="Y131" i="12"/>
  <c r="X77" i="12"/>
  <c r="Y77" i="12"/>
  <c r="X98" i="12"/>
  <c r="Y98" i="12"/>
  <c r="X172" i="12"/>
  <c r="Y172" i="12"/>
  <c r="X199" i="12"/>
  <c r="Y199" i="12"/>
  <c r="X145" i="12"/>
  <c r="Y145" i="12"/>
  <c r="X184" i="12"/>
  <c r="Y184" i="12"/>
  <c r="X61" i="12"/>
  <c r="Y61" i="12"/>
  <c r="X156" i="12"/>
  <c r="Y156" i="12"/>
  <c r="X194" i="12"/>
  <c r="Y194" i="12"/>
  <c r="X100" i="12"/>
  <c r="Y100" i="12"/>
  <c r="X166" i="12"/>
  <c r="Y166" i="12"/>
  <c r="X16" i="12"/>
  <c r="Y16" i="12"/>
  <c r="X91" i="12"/>
  <c r="Y91" i="12"/>
  <c r="X49" i="12"/>
  <c r="Y49" i="12"/>
  <c r="X203" i="12"/>
  <c r="Y203" i="12"/>
  <c r="X55" i="12"/>
  <c r="Y55" i="12"/>
  <c r="X144" i="12"/>
  <c r="Y144" i="12"/>
  <c r="X205" i="12"/>
  <c r="Y205" i="12"/>
  <c r="X130" i="12"/>
  <c r="Y130" i="12"/>
  <c r="X105" i="12"/>
  <c r="Y105" i="12"/>
  <c r="X15" i="12"/>
  <c r="Y15" i="12"/>
  <c r="X25" i="12"/>
  <c r="Y25" i="12"/>
  <c r="X27" i="12"/>
  <c r="Y27" i="12"/>
  <c r="X167" i="12"/>
  <c r="Y167" i="12"/>
  <c r="X155" i="12"/>
  <c r="Y155" i="12"/>
  <c r="X149" i="12"/>
  <c r="Y149" i="12"/>
  <c r="X176" i="12"/>
  <c r="Y176" i="12"/>
  <c r="X195" i="12"/>
  <c r="Y195" i="12"/>
  <c r="X63" i="12"/>
  <c r="Y63" i="12"/>
  <c r="X117" i="12"/>
  <c r="Y117" i="12"/>
  <c r="X178" i="12"/>
  <c r="Y178" i="12"/>
  <c r="X108" i="12"/>
  <c r="Y108" i="12"/>
  <c r="X208" i="12"/>
  <c r="Y208" i="12"/>
  <c r="X87" i="12"/>
  <c r="Y87" i="12"/>
  <c r="X64" i="12"/>
  <c r="Y64" i="12"/>
  <c r="X116" i="12"/>
  <c r="Y116" i="12"/>
  <c r="X179" i="12"/>
  <c r="Y179" i="12"/>
  <c r="X209" i="12"/>
  <c r="Y209" i="12"/>
  <c r="X154" i="12"/>
  <c r="Y154" i="12"/>
  <c r="X41" i="12"/>
  <c r="Y41" i="12"/>
  <c r="X30" i="12"/>
  <c r="Y30" i="12"/>
  <c r="X59" i="12"/>
  <c r="Y59" i="12"/>
  <c r="X8" i="12"/>
  <c r="Y8" i="12"/>
  <c r="X13" i="12"/>
  <c r="Y13" i="12"/>
  <c r="X50" i="12"/>
  <c r="Y50" i="12"/>
  <c r="X200" i="12"/>
  <c r="Y200" i="12"/>
  <c r="X84" i="12"/>
  <c r="Y84" i="12"/>
  <c r="X111" i="12"/>
  <c r="Y111" i="12"/>
  <c r="X71" i="12"/>
  <c r="Y71" i="12"/>
  <c r="X201" i="12"/>
  <c r="Y201" i="12"/>
  <c r="X161" i="12"/>
  <c r="Y161" i="12"/>
  <c r="X45" i="12"/>
  <c r="Y45" i="12"/>
  <c r="X173" i="12"/>
  <c r="Y173" i="12"/>
  <c r="X75" i="12"/>
  <c r="Y75" i="12"/>
  <c r="X44" i="12"/>
  <c r="Y44" i="12"/>
  <c r="Y101" i="12"/>
  <c r="AA101" i="12" s="1"/>
  <c r="X198" i="12"/>
  <c r="Y198" i="12"/>
  <c r="X74" i="12"/>
  <c r="Y74" i="12"/>
  <c r="X169" i="12"/>
  <c r="Y169" i="12"/>
  <c r="X202" i="12"/>
  <c r="Y202" i="12"/>
  <c r="X211" i="12"/>
  <c r="Y211" i="12"/>
  <c r="X67" i="12"/>
  <c r="Y67" i="12"/>
  <c r="X147" i="12"/>
  <c r="Y147" i="12"/>
  <c r="X32" i="12"/>
  <c r="Y32" i="12"/>
  <c r="X2" i="12"/>
  <c r="Y2" i="12"/>
  <c r="X212" i="12"/>
  <c r="Y212" i="12"/>
  <c r="X79" i="12"/>
  <c r="Y79" i="12"/>
  <c r="X56" i="12"/>
  <c r="Y56" i="12"/>
  <c r="X148" i="12"/>
  <c r="Y148" i="12"/>
  <c r="X162" i="12"/>
  <c r="Y162" i="12"/>
  <c r="X193" i="12"/>
  <c r="Y193" i="12"/>
  <c r="X37" i="12"/>
  <c r="Y37" i="12"/>
  <c r="X11" i="12"/>
  <c r="Y11" i="12"/>
  <c r="X26" i="12"/>
  <c r="Y26" i="12"/>
  <c r="X17" i="12"/>
  <c r="Y17" i="12"/>
  <c r="X54" i="12"/>
  <c r="Y54" i="12"/>
  <c r="X118" i="12"/>
  <c r="Y118" i="12"/>
  <c r="X197" i="12"/>
  <c r="Y197" i="12"/>
  <c r="X34" i="12"/>
  <c r="Y34" i="12"/>
  <c r="X137" i="12"/>
  <c r="Y137" i="12"/>
  <c r="X213" i="12"/>
  <c r="Y213" i="12"/>
  <c r="X129" i="12"/>
  <c r="Y129" i="12"/>
  <c r="X107" i="12"/>
  <c r="Y107" i="12"/>
  <c r="X21" i="12"/>
  <c r="Y21" i="12"/>
  <c r="X188" i="12"/>
  <c r="Y188" i="12"/>
  <c r="X39" i="12"/>
  <c r="Y39" i="12"/>
  <c r="X139" i="12"/>
  <c r="Y139" i="12"/>
  <c r="X18" i="12"/>
  <c r="Y18" i="12"/>
  <c r="X109" i="12"/>
  <c r="Y109" i="12"/>
  <c r="X158" i="12"/>
  <c r="Y158" i="12"/>
  <c r="X214" i="12"/>
  <c r="Y214" i="12"/>
  <c r="X60" i="12"/>
  <c r="Y60" i="12"/>
  <c r="X40" i="12"/>
  <c r="Y40" i="12"/>
  <c r="X83" i="12"/>
  <c r="Y83" i="12"/>
  <c r="Y46" i="12"/>
  <c r="X89" i="12"/>
  <c r="Y89" i="12"/>
  <c r="X81" i="12"/>
  <c r="Y81" i="12"/>
  <c r="X164" i="12"/>
  <c r="Y164" i="12"/>
  <c r="X115" i="12"/>
  <c r="Y115" i="12"/>
  <c r="Y36" i="12"/>
  <c r="X143" i="12"/>
  <c r="Y143" i="12"/>
  <c r="X185" i="12"/>
  <c r="Y185" i="12"/>
  <c r="X215" i="12"/>
  <c r="Y215" i="12"/>
  <c r="X171" i="12"/>
  <c r="Y171" i="12"/>
  <c r="X114" i="12"/>
  <c r="Y114" i="12"/>
  <c r="X53" i="12"/>
  <c r="Y53" i="12"/>
  <c r="X204" i="12"/>
  <c r="Y204" i="12"/>
  <c r="X183" i="12"/>
  <c r="Y183" i="12"/>
  <c r="X216" i="12"/>
  <c r="Y216" i="12"/>
  <c r="X120" i="12"/>
  <c r="Y120" i="12"/>
  <c r="X217" i="12"/>
  <c r="Y217" i="12"/>
  <c r="X146" i="12"/>
  <c r="Y146" i="12"/>
  <c r="X126" i="12"/>
  <c r="Y126" i="12"/>
  <c r="X90" i="12"/>
  <c r="Y90" i="12"/>
  <c r="X218" i="12"/>
  <c r="Y218" i="12"/>
  <c r="X133" i="12"/>
  <c r="Y133" i="12"/>
  <c r="X191" i="12"/>
  <c r="Y191" i="12"/>
  <c r="X42" i="12"/>
  <c r="Y42" i="12"/>
  <c r="X80" i="12"/>
  <c r="Y80" i="12"/>
  <c r="X135" i="12"/>
  <c r="Y135" i="12"/>
  <c r="X190" i="12"/>
  <c r="Y190" i="12"/>
  <c r="X29" i="12"/>
  <c r="Y29" i="12"/>
  <c r="X97" i="12"/>
  <c r="Y97" i="12"/>
  <c r="Y31" i="12"/>
  <c r="X141" i="12"/>
  <c r="Y141" i="12"/>
  <c r="X189" i="12"/>
  <c r="Y189" i="12"/>
  <c r="X219" i="12"/>
  <c r="Y219" i="12"/>
  <c r="X220" i="12"/>
  <c r="Y220" i="12"/>
  <c r="X153" i="12"/>
  <c r="Y153" i="12"/>
  <c r="X5" i="12"/>
  <c r="Y5" i="12"/>
  <c r="X104" i="12"/>
  <c r="Y104" i="12"/>
  <c r="Y177" i="12"/>
  <c r="X73" i="12"/>
  <c r="Y73" i="12"/>
  <c r="X66" i="12"/>
  <c r="Y66" i="12"/>
  <c r="X24" i="12"/>
  <c r="Y24" i="12"/>
  <c r="X69" i="12"/>
  <c r="Y69" i="12"/>
  <c r="X180" i="12"/>
  <c r="Y180" i="12"/>
  <c r="X221" i="12"/>
  <c r="Y221" i="12"/>
  <c r="X62" i="12"/>
  <c r="Y62" i="12"/>
  <c r="X95" i="12"/>
  <c r="Y95" i="12"/>
  <c r="X47" i="12"/>
  <c r="Y47" i="12"/>
  <c r="X99" i="12"/>
  <c r="Y99" i="12"/>
  <c r="X222" i="12"/>
  <c r="Y222" i="12"/>
  <c r="X68" i="12"/>
  <c r="Y68" i="12"/>
  <c r="X121" i="12"/>
  <c r="Y121" i="12"/>
  <c r="X152" i="12"/>
  <c r="Y152" i="12"/>
  <c r="X7" i="12"/>
  <c r="Y7" i="12"/>
  <c r="X106" i="12"/>
  <c r="Y106" i="12"/>
  <c r="X151" i="12"/>
  <c r="Y151" i="12"/>
  <c r="X138" i="12"/>
  <c r="Y138" i="12"/>
  <c r="X35" i="12"/>
  <c r="Y35" i="12"/>
  <c r="X136" i="12"/>
  <c r="Y136" i="12"/>
  <c r="X150" i="12"/>
  <c r="Y150" i="12"/>
  <c r="X163" i="12"/>
  <c r="Y163" i="12"/>
  <c r="X224" i="12"/>
  <c r="Y224" i="12"/>
  <c r="X134" i="12"/>
  <c r="Y134" i="12"/>
  <c r="X9" i="12"/>
  <c r="Y9" i="12"/>
  <c r="X159" i="12"/>
  <c r="Y159" i="12"/>
  <c r="X14" i="12"/>
  <c r="Y14" i="12"/>
  <c r="X142" i="12"/>
  <c r="Y142" i="12"/>
  <c r="X225" i="12"/>
  <c r="Y225" i="12"/>
  <c r="X82" i="12"/>
  <c r="Y82" i="12"/>
  <c r="X93" i="12"/>
  <c r="Y93" i="12"/>
  <c r="X103" i="12"/>
  <c r="Y103" i="12"/>
  <c r="X70" i="12"/>
  <c r="Y70" i="12"/>
  <c r="X88" i="12"/>
  <c r="Y88" i="12"/>
  <c r="X119" i="12"/>
  <c r="Y119" i="12"/>
  <c r="X72" i="12"/>
  <c r="Y72" i="12"/>
  <c r="X227" i="12"/>
  <c r="Y227" i="12"/>
  <c r="X20" i="12"/>
  <c r="Y20" i="12"/>
  <c r="X127" i="12"/>
  <c r="Y127" i="12"/>
  <c r="X48" i="12"/>
  <c r="Y48" i="12"/>
  <c r="X125" i="12"/>
  <c r="Y125" i="12"/>
  <c r="X186" i="12"/>
  <c r="Y186" i="12"/>
  <c r="X140" i="12"/>
  <c r="Y140" i="12"/>
  <c r="X85" i="12"/>
  <c r="Y85" i="12"/>
  <c r="X4" i="12"/>
  <c r="Y4" i="12"/>
  <c r="X43" i="12"/>
  <c r="Y43" i="12"/>
  <c r="Y3" i="12"/>
  <c r="X157" i="12"/>
  <c r="Y157" i="12"/>
  <c r="X206" i="12"/>
  <c r="Y206" i="12"/>
  <c r="X122" i="12"/>
  <c r="Y122" i="12"/>
  <c r="X228" i="12"/>
  <c r="Y228" i="12"/>
  <c r="X160" i="12"/>
  <c r="Y160" i="12"/>
  <c r="X65" i="12"/>
  <c r="Y65" i="12"/>
  <c r="X175" i="12"/>
  <c r="Y175" i="12"/>
  <c r="X229" i="12"/>
  <c r="Y229" i="12"/>
  <c r="X123" i="12"/>
  <c r="Y123" i="12"/>
  <c r="X12" i="12"/>
  <c r="Y12" i="12"/>
  <c r="Y182" i="12"/>
  <c r="AA182" i="12" s="1"/>
  <c r="X33" i="12"/>
  <c r="Y33" i="12"/>
  <c r="X168" i="12"/>
  <c r="Y168" i="12"/>
  <c r="X124" i="12"/>
  <c r="Y124" i="12"/>
  <c r="X38" i="12"/>
  <c r="Y38" i="12"/>
  <c r="X230" i="12"/>
  <c r="Y230" i="12"/>
  <c r="X192" i="12"/>
  <c r="Y192" i="12"/>
  <c r="X102" i="12"/>
  <c r="Y102" i="12"/>
  <c r="X28" i="12"/>
  <c r="Y28" i="12"/>
  <c r="Y23" i="12"/>
  <c r="X23" i="12"/>
  <c r="Q235" i="12" l="1"/>
  <c r="N235" i="12"/>
  <c r="L234" i="12"/>
  <c r="O234" i="12"/>
  <c r="X232" i="12"/>
  <c r="R234" i="12"/>
  <c r="Z233" i="12"/>
  <c r="AA112" i="12"/>
  <c r="P234" i="12"/>
  <c r="M234" i="12"/>
  <c r="S234" i="12"/>
  <c r="S235" i="12"/>
  <c r="R235" i="12"/>
  <c r="M235" i="12"/>
  <c r="X233" i="12"/>
  <c r="X234" i="12" s="1"/>
  <c r="Z232" i="12"/>
  <c r="O235" i="12"/>
  <c r="W234" i="12"/>
  <c r="W235" i="12"/>
  <c r="Y232" i="12"/>
  <c r="Y233" i="12"/>
  <c r="V235" i="12"/>
  <c r="V234" i="12"/>
  <c r="U234" i="12"/>
  <c r="U235" i="12"/>
  <c r="T234" i="12"/>
  <c r="T235" i="12"/>
  <c r="K234" i="12"/>
  <c r="P235" i="12"/>
  <c r="K235" i="12"/>
  <c r="AA114" i="12"/>
  <c r="AA171" i="12"/>
  <c r="AA185" i="12"/>
  <c r="AA90" i="12"/>
  <c r="AA146" i="12"/>
  <c r="AA120" i="12"/>
  <c r="AA183" i="12"/>
  <c r="AA36" i="12"/>
  <c r="AA85" i="12"/>
  <c r="AA186" i="12"/>
  <c r="AA48" i="12"/>
  <c r="AA20" i="12"/>
  <c r="AA72" i="12"/>
  <c r="AA14" i="12"/>
  <c r="AA9" i="12"/>
  <c r="AA224" i="12"/>
  <c r="AA150" i="12"/>
  <c r="AA28" i="12"/>
  <c r="AA230" i="12"/>
  <c r="AA102" i="12"/>
  <c r="AA192" i="12"/>
  <c r="AA23" i="12"/>
  <c r="AA74" i="12"/>
  <c r="AA164" i="12"/>
  <c r="AA75" i="12"/>
  <c r="AA45" i="12"/>
  <c r="AA201" i="12"/>
  <c r="AA111" i="12"/>
  <c r="AA200" i="12"/>
  <c r="AA13" i="12"/>
  <c r="AA59" i="12"/>
  <c r="AA41" i="12"/>
  <c r="AA154" i="12"/>
  <c r="AA179" i="12"/>
  <c r="AA116" i="12"/>
  <c r="AA87" i="12"/>
  <c r="AA178" i="12"/>
  <c r="AA63" i="12"/>
  <c r="AA176" i="12"/>
  <c r="AA155" i="12"/>
  <c r="AA27" i="12"/>
  <c r="AA15" i="12"/>
  <c r="AA130" i="12"/>
  <c r="AA144" i="12"/>
  <c r="AA203" i="12"/>
  <c r="AA16" i="12"/>
  <c r="AA100" i="12"/>
  <c r="AA156" i="12"/>
  <c r="AA184" i="12"/>
  <c r="AA145" i="12"/>
  <c r="AA172" i="12"/>
  <c r="AA77" i="12"/>
  <c r="AA22" i="12"/>
  <c r="AA19" i="12"/>
  <c r="AA170" i="12"/>
  <c r="AA12" i="12"/>
  <c r="AA65" i="12"/>
  <c r="AA160" i="12"/>
  <c r="AA122" i="12"/>
  <c r="AA88" i="12"/>
  <c r="AA121" i="12"/>
  <c r="AA99" i="12"/>
  <c r="AA95" i="12"/>
  <c r="AA221" i="12"/>
  <c r="AA69" i="12"/>
  <c r="AA66" i="12"/>
  <c r="AA177" i="12"/>
  <c r="AA5" i="12"/>
  <c r="AA219" i="12"/>
  <c r="AA189" i="12"/>
  <c r="AA31" i="12"/>
  <c r="AA38" i="12"/>
  <c r="AA168" i="12"/>
  <c r="AA2" i="12"/>
  <c r="AA67" i="12"/>
  <c r="AA44" i="12"/>
  <c r="AA173" i="12"/>
  <c r="AA161" i="12"/>
  <c r="AA71" i="12"/>
  <c r="AA84" i="12"/>
  <c r="AA50" i="12"/>
  <c r="AA8" i="12"/>
  <c r="AA30" i="12"/>
  <c r="AA209" i="12"/>
  <c r="AA64" i="12"/>
  <c r="AA208" i="12"/>
  <c r="AA108" i="12"/>
  <c r="AA117" i="12"/>
  <c r="AA195" i="12"/>
  <c r="AA149" i="12"/>
  <c r="AA167" i="12"/>
  <c r="AA25" i="12"/>
  <c r="AA105" i="12"/>
  <c r="AA205" i="12"/>
  <c r="AA55" i="12"/>
  <c r="AA49" i="12"/>
  <c r="AA91" i="12"/>
  <c r="AA166" i="12"/>
  <c r="AA194" i="12"/>
  <c r="AA61" i="12"/>
  <c r="AA199" i="12"/>
  <c r="AA98" i="12"/>
  <c r="AA131" i="12"/>
  <c r="AA86" i="12"/>
  <c r="AA165" i="12"/>
  <c r="AA113" i="12"/>
  <c r="AA124" i="12"/>
  <c r="AA33" i="12"/>
  <c r="AA35" i="12"/>
  <c r="AA151" i="12"/>
  <c r="AA7" i="12"/>
  <c r="AA220" i="12"/>
  <c r="AA89" i="12"/>
  <c r="AA83" i="12"/>
  <c r="AA60" i="12"/>
  <c r="AA158" i="12"/>
  <c r="AA18" i="12"/>
  <c r="AA39" i="12"/>
  <c r="AA107" i="12"/>
  <c r="AA213" i="12"/>
  <c r="AA137" i="12"/>
  <c r="AA197" i="12"/>
  <c r="AA54" i="12"/>
  <c r="AA26" i="12"/>
  <c r="AA11" i="12"/>
  <c r="AA193" i="12"/>
  <c r="AA148" i="12"/>
  <c r="AA212" i="12"/>
  <c r="AA32" i="12"/>
  <c r="AA147" i="12"/>
  <c r="AA211" i="12"/>
  <c r="AA169" i="12"/>
  <c r="AA198" i="12"/>
  <c r="AA157" i="12"/>
  <c r="AA43" i="12"/>
  <c r="AA70" i="12"/>
  <c r="AA93" i="12"/>
  <c r="AA225" i="12"/>
  <c r="AA29" i="12"/>
  <c r="AA135" i="12"/>
  <c r="AA42" i="12"/>
  <c r="AA133" i="12"/>
  <c r="AA123" i="12"/>
  <c r="AA229" i="12"/>
  <c r="AA175" i="12"/>
  <c r="AA228" i="12"/>
  <c r="AA206" i="12"/>
  <c r="AA3" i="12"/>
  <c r="AA4" i="12"/>
  <c r="AA140" i="12"/>
  <c r="AA125" i="12"/>
  <c r="AA127" i="12"/>
  <c r="AA227" i="12"/>
  <c r="AA119" i="12"/>
  <c r="AA103" i="12"/>
  <c r="AA82" i="12"/>
  <c r="AA142" i="12"/>
  <c r="AA159" i="12"/>
  <c r="AA134" i="12"/>
  <c r="AA163" i="12"/>
  <c r="AA136" i="12"/>
  <c r="AA138" i="12"/>
  <c r="AA106" i="12"/>
  <c r="AA152" i="12"/>
  <c r="AA68" i="12"/>
  <c r="AA222" i="12"/>
  <c r="AA47" i="12"/>
  <c r="AA62" i="12"/>
  <c r="AA180" i="12"/>
  <c r="AA24" i="12"/>
  <c r="AA73" i="12"/>
  <c r="AA104" i="12"/>
  <c r="AA153" i="12"/>
  <c r="AA57" i="12"/>
  <c r="AA141" i="12"/>
  <c r="AA97" i="12"/>
  <c r="AA190" i="12"/>
  <c r="AA80" i="12"/>
  <c r="AA191" i="12"/>
  <c r="AA218" i="12"/>
  <c r="AA126" i="12"/>
  <c r="AA217" i="12"/>
  <c r="AA216" i="12"/>
  <c r="AA204" i="12"/>
  <c r="AA53" i="12"/>
  <c r="AA215" i="12"/>
  <c r="AA143" i="12"/>
  <c r="AA115" i="12"/>
  <c r="AA81" i="12"/>
  <c r="AA46" i="12"/>
  <c r="AA40" i="12"/>
  <c r="AA214" i="12"/>
  <c r="AA109" i="12"/>
  <c r="AA139" i="12"/>
  <c r="AA188" i="12"/>
  <c r="AA21" i="12"/>
  <c r="AA129" i="12"/>
  <c r="AA34" i="12"/>
  <c r="AA118" i="12"/>
  <c r="AA17" i="12"/>
  <c r="AA37" i="12"/>
  <c r="AA162" i="12"/>
  <c r="AA56" i="12"/>
  <c r="AA79" i="12"/>
  <c r="AA202" i="12"/>
  <c r="X235" i="12" l="1"/>
  <c r="Z234" i="12"/>
  <c r="Z235" i="12"/>
  <c r="Y235" i="12"/>
  <c r="Y234" i="12"/>
  <c r="AA233" i="12"/>
  <c r="AA232" i="12"/>
  <c r="AA235" i="12" l="1"/>
  <c r="AA234" i="12"/>
  <c r="N968" i="5" l="1"/>
  <c r="N969" i="5"/>
  <c r="N970" i="5"/>
  <c r="N967" i="5"/>
  <c r="S15" i="9" l="1"/>
  <c r="E36" i="9"/>
  <c r="E37" i="9" s="1"/>
  <c r="F34" i="9"/>
  <c r="F32" i="9"/>
  <c r="F30" i="9"/>
  <c r="F28" i="9"/>
  <c r="F26" i="9"/>
  <c r="F24" i="9"/>
  <c r="F22" i="9"/>
  <c r="F20" i="9"/>
  <c r="F18" i="9"/>
  <c r="F16" i="9"/>
  <c r="F14" i="9"/>
  <c r="F10" i="9"/>
  <c r="F9" i="9"/>
  <c r="F7" i="9"/>
  <c r="F6" i="9"/>
  <c r="F4" i="9"/>
  <c r="F3" i="9"/>
  <c r="EP196" i="4"/>
  <c r="EQ196" i="4"/>
  <c r="EP201" i="4"/>
  <c r="EQ201" i="4"/>
  <c r="EP43" i="4"/>
  <c r="EQ43" i="4"/>
  <c r="EP169" i="4"/>
  <c r="EQ169" i="4"/>
  <c r="EP69" i="4"/>
  <c r="EQ69" i="4"/>
  <c r="EP208" i="4"/>
  <c r="EQ208" i="4"/>
  <c r="EP124" i="4"/>
  <c r="EQ124" i="4"/>
  <c r="EP102" i="4"/>
  <c r="EQ102" i="4"/>
  <c r="EP130" i="4"/>
  <c r="EQ130" i="4"/>
  <c r="EP68" i="4"/>
  <c r="EQ68" i="4"/>
  <c r="EP26" i="4"/>
  <c r="EQ26" i="4"/>
  <c r="EP103" i="4"/>
  <c r="EQ103" i="4"/>
  <c r="EP14" i="4"/>
  <c r="EQ14" i="4"/>
  <c r="EP223" i="4"/>
  <c r="EQ223" i="4"/>
  <c r="EP104" i="4"/>
  <c r="EQ104" i="4"/>
  <c r="EP247" i="4"/>
  <c r="EQ247" i="4"/>
  <c r="EP229" i="4"/>
  <c r="EQ229" i="4"/>
  <c r="EP149" i="4"/>
  <c r="EQ149" i="4"/>
  <c r="EP107" i="4"/>
  <c r="EQ107" i="4"/>
  <c r="EP74" i="4"/>
  <c r="EQ74" i="4"/>
  <c r="EP220" i="4"/>
  <c r="EQ220" i="4"/>
  <c r="EP94" i="4"/>
  <c r="EQ94" i="4"/>
  <c r="EP41" i="4"/>
  <c r="EQ41" i="4"/>
  <c r="EP35" i="4"/>
  <c r="EQ35" i="4"/>
  <c r="EP75" i="4"/>
  <c r="EQ75" i="4"/>
  <c r="EP36" i="4"/>
  <c r="EQ36" i="4"/>
  <c r="EP123" i="4"/>
  <c r="EQ123" i="4"/>
  <c r="EP73" i="4"/>
  <c r="EQ73" i="4"/>
  <c r="EP21" i="4"/>
  <c r="EQ21" i="4"/>
  <c r="EP163" i="4"/>
  <c r="EQ163" i="4"/>
  <c r="EP49" i="4"/>
  <c r="EQ49" i="4"/>
  <c r="EP135" i="4"/>
  <c r="EQ135" i="4"/>
  <c r="EP45" i="4"/>
  <c r="EQ45" i="4"/>
  <c r="EP117" i="4"/>
  <c r="EQ117" i="4"/>
  <c r="EP63" i="4"/>
  <c r="EQ63" i="4"/>
  <c r="EP118" i="4"/>
  <c r="EQ118" i="4"/>
  <c r="EP146" i="4"/>
  <c r="EQ146" i="4"/>
  <c r="EP187" i="4"/>
  <c r="EQ187" i="4"/>
  <c r="EP189" i="4"/>
  <c r="EQ189" i="4"/>
  <c r="EP188" i="4"/>
  <c r="EQ188" i="4"/>
  <c r="EP127" i="4"/>
  <c r="EQ127" i="4"/>
  <c r="EP16" i="4"/>
  <c r="EQ16" i="4"/>
  <c r="EP184" i="4"/>
  <c r="EQ184" i="4"/>
  <c r="EP25" i="4"/>
  <c r="EQ25" i="4"/>
  <c r="EP170" i="4"/>
  <c r="EQ170" i="4"/>
  <c r="EP37" i="4"/>
  <c r="EQ37" i="4"/>
  <c r="EP48" i="4"/>
  <c r="EQ48" i="4"/>
  <c r="EP72" i="4"/>
  <c r="EQ72" i="4"/>
  <c r="EP97" i="4"/>
  <c r="EQ97" i="4"/>
  <c r="EP20" i="4"/>
  <c r="EQ20" i="4"/>
  <c r="EP38" i="4"/>
  <c r="EQ38" i="4"/>
  <c r="EP60" i="4"/>
  <c r="EQ60" i="4"/>
  <c r="EP132" i="4"/>
  <c r="EQ132" i="4"/>
  <c r="EP47" i="4"/>
  <c r="EQ47" i="4"/>
  <c r="EP87" i="4"/>
  <c r="EQ87" i="4"/>
  <c r="EP46" i="4"/>
  <c r="EQ46" i="4"/>
  <c r="EP55" i="4"/>
  <c r="EQ55" i="4"/>
  <c r="EP58" i="4"/>
  <c r="EQ58" i="4"/>
  <c r="EP39" i="4"/>
  <c r="EQ39" i="4"/>
  <c r="EP80" i="4"/>
  <c r="EQ80" i="4"/>
  <c r="EP234" i="4"/>
  <c r="EQ234" i="4"/>
  <c r="EP198" i="4"/>
  <c r="EQ198" i="4"/>
  <c r="EP245" i="4"/>
  <c r="EQ245" i="4"/>
  <c r="EP217" i="4"/>
  <c r="EQ217" i="4"/>
  <c r="EP129" i="4"/>
  <c r="EQ129" i="4"/>
  <c r="EP226" i="4"/>
  <c r="EQ226" i="4"/>
  <c r="EP244" i="4"/>
  <c r="EQ244" i="4"/>
  <c r="EP216" i="4"/>
  <c r="EQ216" i="4"/>
  <c r="EP233" i="4"/>
  <c r="EQ233" i="4"/>
  <c r="EP242" i="4"/>
  <c r="EQ242" i="4"/>
  <c r="EP78" i="4"/>
  <c r="EQ78" i="4"/>
  <c r="EP7" i="4"/>
  <c r="EQ7" i="4"/>
  <c r="EP61" i="4"/>
  <c r="EQ61" i="4"/>
  <c r="EP231" i="4"/>
  <c r="EQ231" i="4"/>
  <c r="EP10" i="4"/>
  <c r="EQ10" i="4"/>
  <c r="EP206" i="4"/>
  <c r="EQ206" i="4"/>
  <c r="EP209" i="4"/>
  <c r="EQ209" i="4"/>
  <c r="EP147" i="4"/>
  <c r="EQ147" i="4"/>
  <c r="EP23" i="4"/>
  <c r="EQ23" i="4"/>
  <c r="EP112" i="4"/>
  <c r="EQ112" i="4"/>
  <c r="EP237" i="4"/>
  <c r="EQ237" i="4"/>
  <c r="EP161" i="4"/>
  <c r="EQ161" i="4"/>
  <c r="EP222" i="4"/>
  <c r="EQ222" i="4"/>
  <c r="EP221" i="4"/>
  <c r="EQ221" i="4"/>
  <c r="EP219" i="4"/>
  <c r="EQ219" i="4"/>
  <c r="EP30" i="4"/>
  <c r="EQ30" i="4"/>
  <c r="EP70" i="4"/>
  <c r="EQ70" i="4"/>
  <c r="EP8" i="4"/>
  <c r="ER8" i="4" s="1"/>
  <c r="EP92" i="4"/>
  <c r="EQ92" i="4"/>
  <c r="EP214" i="4"/>
  <c r="EQ214" i="4"/>
  <c r="EP183" i="4"/>
  <c r="EQ183" i="4"/>
  <c r="EP82" i="4"/>
  <c r="EQ82" i="4"/>
  <c r="EP18" i="4"/>
  <c r="EQ18" i="4"/>
  <c r="EP151" i="4"/>
  <c r="EQ151" i="4"/>
  <c r="EP2" i="4"/>
  <c r="EQ2" i="4"/>
  <c r="EP131" i="4"/>
  <c r="EQ131" i="4"/>
  <c r="EP59" i="4"/>
  <c r="EQ59" i="4"/>
  <c r="EP191" i="4"/>
  <c r="EQ191" i="4"/>
  <c r="EP22" i="4"/>
  <c r="EQ22" i="4"/>
  <c r="EP176" i="4"/>
  <c r="EQ176" i="4"/>
  <c r="EP64" i="4"/>
  <c r="EQ64" i="4"/>
  <c r="EP144" i="4"/>
  <c r="EQ144" i="4"/>
  <c r="EP11" i="4"/>
  <c r="EQ11" i="4"/>
  <c r="EP51" i="4"/>
  <c r="EQ51" i="4"/>
  <c r="EP67" i="4"/>
  <c r="EQ67" i="4"/>
  <c r="EP139" i="4"/>
  <c r="EQ139" i="4"/>
  <c r="EP150" i="4"/>
  <c r="EQ150" i="4"/>
  <c r="EP134" i="4"/>
  <c r="EQ134" i="4"/>
  <c r="EP121" i="4"/>
  <c r="EQ121" i="4"/>
  <c r="EP228" i="4"/>
  <c r="EQ228" i="4"/>
  <c r="EP152" i="4"/>
  <c r="EQ152" i="4"/>
  <c r="EP28" i="4"/>
  <c r="EQ28" i="4"/>
  <c r="EP192" i="4"/>
  <c r="EQ192" i="4"/>
  <c r="EP205" i="4"/>
  <c r="EQ205" i="4"/>
  <c r="EP181" i="4"/>
  <c r="EQ181" i="4"/>
  <c r="EP33" i="4"/>
  <c r="EQ33" i="4"/>
  <c r="EP34" i="4"/>
  <c r="EQ34" i="4"/>
  <c r="EP126" i="4"/>
  <c r="EQ126" i="4"/>
  <c r="EP136" i="4"/>
  <c r="EQ136" i="4"/>
  <c r="EP195" i="4"/>
  <c r="EQ195" i="4"/>
  <c r="EP5" i="4"/>
  <c r="EQ5" i="4"/>
  <c r="EP241" i="4"/>
  <c r="EQ241" i="4"/>
  <c r="EP211" i="4"/>
  <c r="EQ211" i="4"/>
  <c r="EP96" i="4"/>
  <c r="EQ96" i="4"/>
  <c r="EP230" i="4"/>
  <c r="EQ230" i="4"/>
  <c r="EP119" i="4"/>
  <c r="EQ119" i="4"/>
  <c r="EP44" i="4"/>
  <c r="EQ44" i="4"/>
  <c r="EP177" i="4"/>
  <c r="EQ177" i="4"/>
  <c r="EP145" i="4"/>
  <c r="EQ145" i="4"/>
  <c r="EP207" i="4"/>
  <c r="EQ207" i="4"/>
  <c r="EP210" i="4"/>
  <c r="EQ210" i="4"/>
  <c r="EP95" i="4"/>
  <c r="EQ95" i="4"/>
  <c r="EP15" i="4"/>
  <c r="EQ15" i="4"/>
  <c r="EP57" i="4"/>
  <c r="EQ57" i="4"/>
  <c r="EP225" i="4"/>
  <c r="EQ225" i="4"/>
  <c r="EP159" i="4"/>
  <c r="EQ159" i="4"/>
  <c r="EP240" i="4"/>
  <c r="EQ240" i="4"/>
  <c r="EP53" i="4"/>
  <c r="EQ53" i="4"/>
  <c r="EP115" i="4"/>
  <c r="EQ115" i="4"/>
  <c r="EP141" i="4"/>
  <c r="EQ141" i="4"/>
  <c r="EP54" i="4"/>
  <c r="EQ54" i="4"/>
  <c r="EP140" i="4"/>
  <c r="EQ140" i="4"/>
  <c r="EP154" i="4"/>
  <c r="EQ154" i="4"/>
  <c r="EP90" i="4"/>
  <c r="EQ90" i="4"/>
  <c r="EP62" i="4"/>
  <c r="EQ62" i="4"/>
  <c r="EP143" i="4"/>
  <c r="EQ143" i="4"/>
  <c r="EP125" i="4"/>
  <c r="EQ125" i="4"/>
  <c r="EP243" i="4"/>
  <c r="EQ243" i="4"/>
  <c r="EP27" i="4"/>
  <c r="EQ27" i="4"/>
  <c r="EP190" i="4"/>
  <c r="EQ190" i="4"/>
  <c r="EP153" i="4"/>
  <c r="EQ153" i="4"/>
  <c r="EP88" i="4"/>
  <c r="EQ88" i="4"/>
  <c r="EP239" i="4"/>
  <c r="EQ239" i="4"/>
  <c r="EP106" i="4"/>
  <c r="EQ106" i="4"/>
  <c r="EP213" i="4"/>
  <c r="EQ213" i="4"/>
  <c r="EP171" i="4"/>
  <c r="EQ171" i="4"/>
  <c r="EP168" i="4"/>
  <c r="EQ168" i="4"/>
  <c r="EP175" i="4"/>
  <c r="EQ175" i="4"/>
  <c r="EP203" i="4"/>
  <c r="EQ203" i="4"/>
  <c r="EP197" i="4"/>
  <c r="EQ197" i="4"/>
  <c r="EP238" i="4"/>
  <c r="EQ238" i="4"/>
  <c r="EP89" i="4"/>
  <c r="EQ89" i="4"/>
  <c r="EP180" i="4"/>
  <c r="EQ180" i="4"/>
  <c r="EP200" i="4"/>
  <c r="EQ200" i="4"/>
  <c r="EP65" i="4"/>
  <c r="EQ65" i="4"/>
  <c r="EP31" i="4"/>
  <c r="EQ31" i="4"/>
  <c r="EP173" i="4"/>
  <c r="EQ173" i="4"/>
  <c r="EP174" i="4"/>
  <c r="EQ174" i="4"/>
  <c r="EP101" i="4"/>
  <c r="EQ101" i="4"/>
  <c r="EP186" i="4"/>
  <c r="EQ186" i="4"/>
  <c r="EP179" i="4"/>
  <c r="EQ179" i="4"/>
  <c r="EP194" i="4"/>
  <c r="EQ194" i="4"/>
  <c r="EP167" i="4"/>
  <c r="EQ167" i="4"/>
  <c r="EP12" i="4"/>
  <c r="EQ12" i="4"/>
  <c r="EP114" i="4"/>
  <c r="EQ114" i="4"/>
  <c r="EP83" i="4"/>
  <c r="EQ83" i="4"/>
  <c r="EP185" i="4"/>
  <c r="EQ185" i="4"/>
  <c r="EP9" i="4"/>
  <c r="EQ9" i="4"/>
  <c r="EP109" i="4"/>
  <c r="EQ109" i="4"/>
  <c r="EP166" i="4"/>
  <c r="EQ166" i="4"/>
  <c r="EP6" i="4"/>
  <c r="EQ6" i="4"/>
  <c r="EP156" i="4"/>
  <c r="EQ156" i="4"/>
  <c r="EP24" i="4"/>
  <c r="EQ24" i="4"/>
  <c r="EP133" i="4"/>
  <c r="EQ133" i="4"/>
  <c r="EP32" i="4"/>
  <c r="EQ32" i="4"/>
  <c r="EP108" i="4"/>
  <c r="EQ108" i="4"/>
  <c r="EP236" i="4"/>
  <c r="EQ236" i="4"/>
  <c r="EP202" i="4"/>
  <c r="EQ202" i="4"/>
  <c r="EP85" i="4"/>
  <c r="EQ85" i="4"/>
  <c r="EP157" i="4"/>
  <c r="EQ157" i="4"/>
  <c r="EP172" i="4"/>
  <c r="EQ172" i="4"/>
  <c r="EP77" i="4"/>
  <c r="EQ77" i="4"/>
  <c r="EP113" i="4"/>
  <c r="EQ113" i="4"/>
  <c r="EP120" i="4"/>
  <c r="EQ120" i="4"/>
  <c r="EP100" i="4"/>
  <c r="EQ100" i="4"/>
  <c r="EP110" i="4"/>
  <c r="EQ110" i="4"/>
  <c r="EP218" i="4"/>
  <c r="EQ218" i="4"/>
  <c r="EP40" i="4"/>
  <c r="EQ40" i="4"/>
  <c r="EP81" i="4"/>
  <c r="EQ81" i="4"/>
  <c r="EP86" i="4"/>
  <c r="EQ86" i="4"/>
  <c r="EP224" i="4"/>
  <c r="EQ224" i="4"/>
  <c r="EP105" i="4"/>
  <c r="EQ105" i="4"/>
  <c r="EP56" i="4"/>
  <c r="EQ56" i="4"/>
  <c r="EQ160" i="4"/>
  <c r="ER160" i="4" s="1"/>
  <c r="EP99" i="4"/>
  <c r="EQ99" i="4"/>
  <c r="EQ52" i="4"/>
  <c r="EQ142" i="4"/>
  <c r="EP142" i="4"/>
  <c r="ER224" i="4" l="1"/>
  <c r="ER218" i="4"/>
  <c r="ER113" i="4"/>
  <c r="ER85" i="4"/>
  <c r="ER32" i="4"/>
  <c r="ER6" i="4"/>
  <c r="ER185" i="4"/>
  <c r="ER167" i="4"/>
  <c r="ER65" i="4"/>
  <c r="ER238" i="4"/>
  <c r="ER168" i="4"/>
  <c r="ER239" i="4"/>
  <c r="ER27" i="4"/>
  <c r="ER62" i="4"/>
  <c r="ER54" i="4"/>
  <c r="ER240" i="4"/>
  <c r="ER15" i="4"/>
  <c r="ER145" i="4"/>
  <c r="ER230" i="4"/>
  <c r="ER5" i="4"/>
  <c r="ER34" i="4"/>
  <c r="ER192" i="4"/>
  <c r="ER121" i="4"/>
  <c r="ER67" i="4"/>
  <c r="ER64" i="4"/>
  <c r="ER59" i="4"/>
  <c r="ER18" i="4"/>
  <c r="ER92" i="4"/>
  <c r="ER101" i="4"/>
  <c r="ER219" i="4"/>
  <c r="ER237" i="4"/>
  <c r="ER209" i="4"/>
  <c r="ER61" i="4"/>
  <c r="ER233" i="4"/>
  <c r="ER129" i="4"/>
  <c r="ER234" i="4"/>
  <c r="ER55" i="4"/>
  <c r="ER132" i="4"/>
  <c r="ER97" i="4"/>
  <c r="ER170" i="4"/>
  <c r="ER127" i="4"/>
  <c r="ER146" i="4"/>
  <c r="ER45" i="4"/>
  <c r="ER21" i="4"/>
  <c r="ER75" i="4"/>
  <c r="ER220" i="4"/>
  <c r="ER229" i="4"/>
  <c r="ER14" i="4"/>
  <c r="ER86" i="4"/>
  <c r="ER110" i="4"/>
  <c r="ER77" i="4"/>
  <c r="ER202" i="4"/>
  <c r="ER133" i="4"/>
  <c r="ER166" i="4"/>
  <c r="ER83" i="4"/>
  <c r="ER194" i="4"/>
  <c r="ER174" i="4"/>
  <c r="ER200" i="4"/>
  <c r="ER197" i="4"/>
  <c r="ER171" i="4"/>
  <c r="ER88" i="4"/>
  <c r="ER243" i="4"/>
  <c r="ER90" i="4"/>
  <c r="ER141" i="4"/>
  <c r="ER159" i="4"/>
  <c r="ER95" i="4"/>
  <c r="ER177" i="4"/>
  <c r="ER96" i="4"/>
  <c r="ER195" i="4"/>
  <c r="ER33" i="4"/>
  <c r="ER28" i="4"/>
  <c r="ER134" i="4"/>
  <c r="ER51" i="4"/>
  <c r="ER176" i="4"/>
  <c r="ER131" i="4"/>
  <c r="ER82" i="4"/>
  <c r="ER221" i="4"/>
  <c r="ER112" i="4"/>
  <c r="ER206" i="4"/>
  <c r="ER7" i="4"/>
  <c r="ER216" i="4"/>
  <c r="ER217" i="4"/>
  <c r="ER80" i="4"/>
  <c r="ER46" i="4"/>
  <c r="ER60" i="4"/>
  <c r="ER72" i="4"/>
  <c r="ER25" i="4"/>
  <c r="ER188" i="4"/>
  <c r="ER118" i="4"/>
  <c r="ER135" i="4"/>
  <c r="ER73" i="4"/>
  <c r="ER35" i="4"/>
  <c r="ER74" i="4"/>
  <c r="ER247" i="4"/>
  <c r="ER103" i="4"/>
  <c r="ER102" i="4"/>
  <c r="ER169" i="4"/>
  <c r="ER105" i="4"/>
  <c r="ER40" i="4"/>
  <c r="ER120" i="4"/>
  <c r="ER157" i="4"/>
  <c r="ER108" i="4"/>
  <c r="ER156" i="4"/>
  <c r="ER9" i="4"/>
  <c r="ER12" i="4"/>
  <c r="ER186" i="4"/>
  <c r="ER31" i="4"/>
  <c r="ER89" i="4"/>
  <c r="ER175" i="4"/>
  <c r="ER106" i="4"/>
  <c r="ER190" i="4"/>
  <c r="ER143" i="4"/>
  <c r="ER140" i="4"/>
  <c r="ER53" i="4"/>
  <c r="ER57" i="4"/>
  <c r="ER207" i="4"/>
  <c r="ER119" i="4"/>
  <c r="ER241" i="4"/>
  <c r="ER126" i="4"/>
  <c r="ER205" i="4"/>
  <c r="ER228" i="4"/>
  <c r="ER139" i="4"/>
  <c r="ER144" i="4"/>
  <c r="ER191" i="4"/>
  <c r="ER151" i="4"/>
  <c r="ER214" i="4"/>
  <c r="ER30" i="4"/>
  <c r="ER161" i="4"/>
  <c r="ER147" i="4"/>
  <c r="ER231" i="4"/>
  <c r="ER130" i="4"/>
  <c r="ER56" i="4"/>
  <c r="ER242" i="4"/>
  <c r="ER226" i="4"/>
  <c r="ER198" i="4"/>
  <c r="ER58" i="4"/>
  <c r="ER47" i="4"/>
  <c r="ER20" i="4"/>
  <c r="ER37" i="4"/>
  <c r="ER16" i="4"/>
  <c r="ER187" i="4"/>
  <c r="ER117" i="4"/>
  <c r="ER163" i="4"/>
  <c r="ER36" i="4"/>
  <c r="ER94" i="4"/>
  <c r="ER149" i="4"/>
  <c r="ER223" i="4"/>
  <c r="ER68" i="4"/>
  <c r="ER208" i="4"/>
  <c r="ER201" i="4"/>
  <c r="ER69" i="4"/>
  <c r="ER81" i="4"/>
  <c r="ER100" i="4"/>
  <c r="ER172" i="4"/>
  <c r="ER236" i="4"/>
  <c r="ER24" i="4"/>
  <c r="ER109" i="4"/>
  <c r="ER114" i="4"/>
  <c r="ER179" i="4"/>
  <c r="ER173" i="4"/>
  <c r="ER180" i="4"/>
  <c r="ER203" i="4"/>
  <c r="ER213" i="4"/>
  <c r="ER153" i="4"/>
  <c r="ER125" i="4"/>
  <c r="ER154" i="4"/>
  <c r="ER115" i="4"/>
  <c r="ER225" i="4"/>
  <c r="ER210" i="4"/>
  <c r="ER44" i="4"/>
  <c r="ER211" i="4"/>
  <c r="ER136" i="4"/>
  <c r="ER181" i="4"/>
  <c r="ER152" i="4"/>
  <c r="ER150" i="4"/>
  <c r="ER11" i="4"/>
  <c r="ER22" i="4"/>
  <c r="ER2" i="4"/>
  <c r="ER183" i="4"/>
  <c r="ER70" i="4"/>
  <c r="ER222" i="4"/>
  <c r="ER23" i="4"/>
  <c r="ER10" i="4"/>
  <c r="ER78" i="4"/>
  <c r="ER244" i="4"/>
  <c r="ER245" i="4"/>
  <c r="ER39" i="4"/>
  <c r="ER87" i="4"/>
  <c r="ER38" i="4"/>
  <c r="ER48" i="4"/>
  <c r="ER184" i="4"/>
  <c r="ER189" i="4"/>
  <c r="ER63" i="4"/>
  <c r="ER49" i="4"/>
  <c r="ER123" i="4"/>
  <c r="ER41" i="4"/>
  <c r="ER107" i="4"/>
  <c r="ER104" i="4"/>
  <c r="ER26" i="4"/>
  <c r="ER124" i="4"/>
  <c r="ER142" i="4"/>
  <c r="ER196" i="4"/>
  <c r="ER99" i="4"/>
  <c r="ER43" i="4"/>
  <c r="O740" i="2"/>
  <c r="O526" i="2"/>
  <c r="O524" i="2"/>
  <c r="P546" i="2"/>
  <c r="P544" i="2"/>
  <c r="O546" i="2"/>
  <c r="O544" i="2"/>
  <c r="O510" i="2"/>
  <c r="O511" i="2"/>
  <c r="L511" i="2"/>
  <c r="M511" i="2"/>
  <c r="O582" i="2"/>
  <c r="O580" i="2"/>
  <c r="O722" i="2"/>
  <c r="Q722" i="2"/>
  <c r="P871" i="2"/>
  <c r="O871" i="2"/>
  <c r="P870" i="2"/>
  <c r="O870" i="2"/>
  <c r="P869" i="2"/>
  <c r="O869" i="2"/>
  <c r="P868" i="2"/>
  <c r="O868" i="2"/>
  <c r="P866" i="2" l="1"/>
  <c r="P867" i="2"/>
  <c r="O867" i="2"/>
  <c r="P865" i="2"/>
  <c r="O865" i="2"/>
  <c r="P864" i="2"/>
  <c r="O864" i="2"/>
  <c r="O743" i="2"/>
  <c r="P743" i="2"/>
  <c r="O744" i="2"/>
  <c r="P744" i="2"/>
  <c r="O745" i="2"/>
  <c r="P745" i="2"/>
  <c r="P742" i="2"/>
  <c r="O742" i="2"/>
  <c r="EC196" i="4"/>
  <c r="EC201" i="4"/>
  <c r="EC43" i="4"/>
  <c r="EC169" i="4"/>
  <c r="EC69" i="4"/>
  <c r="EC208" i="4"/>
  <c r="EC124" i="4"/>
  <c r="EC102" i="4"/>
  <c r="EC130" i="4"/>
  <c r="EC68" i="4"/>
  <c r="EC26" i="4"/>
  <c r="EC103" i="4"/>
  <c r="EC14" i="4"/>
  <c r="EC223" i="4"/>
  <c r="EC104" i="4"/>
  <c r="EC247" i="4"/>
  <c r="EC229" i="4"/>
  <c r="EC149" i="4"/>
  <c r="EC107" i="4"/>
  <c r="EC74" i="4"/>
  <c r="EC220" i="4"/>
  <c r="EC94" i="4"/>
  <c r="EC41" i="4"/>
  <c r="EC35" i="4"/>
  <c r="EC75" i="4"/>
  <c r="EC36" i="4"/>
  <c r="EC123" i="4"/>
  <c r="EC73" i="4"/>
  <c r="EC21" i="4"/>
  <c r="EC163" i="4"/>
  <c r="EC49" i="4"/>
  <c r="EC135" i="4"/>
  <c r="EC45" i="4"/>
  <c r="EC117" i="4"/>
  <c r="EC63" i="4"/>
  <c r="EC118" i="4"/>
  <c r="EC146" i="4"/>
  <c r="EC187" i="4"/>
  <c r="EC189" i="4"/>
  <c r="EC188" i="4"/>
  <c r="EC127" i="4"/>
  <c r="EC16" i="4"/>
  <c r="EC184" i="4"/>
  <c r="EC25" i="4"/>
  <c r="EC170" i="4"/>
  <c r="EC37" i="4"/>
  <c r="EC48" i="4"/>
  <c r="EC72" i="4"/>
  <c r="EC97" i="4"/>
  <c r="EC20" i="4"/>
  <c r="EC38" i="4"/>
  <c r="EC60" i="4"/>
  <c r="EC132" i="4"/>
  <c r="EC47" i="4"/>
  <c r="EC87" i="4"/>
  <c r="EC46" i="4"/>
  <c r="EC55" i="4"/>
  <c r="EC58" i="4"/>
  <c r="EC39" i="4"/>
  <c r="EC80" i="4"/>
  <c r="EC234" i="4"/>
  <c r="EC198" i="4"/>
  <c r="EC245" i="4"/>
  <c r="EC217" i="4"/>
  <c r="EC129" i="4"/>
  <c r="EC226" i="4"/>
  <c r="EC244" i="4"/>
  <c r="EC216" i="4"/>
  <c r="EC233" i="4"/>
  <c r="EC242" i="4"/>
  <c r="EC78" i="4"/>
  <c r="EC7" i="4"/>
  <c r="EC61" i="4"/>
  <c r="EC231" i="4"/>
  <c r="EC10" i="4"/>
  <c r="EC206" i="4"/>
  <c r="EC209" i="4"/>
  <c r="EC147" i="4"/>
  <c r="EC23" i="4"/>
  <c r="EC112" i="4"/>
  <c r="EC237" i="4"/>
  <c r="EC161" i="4"/>
  <c r="EC222" i="4"/>
  <c r="EC221" i="4"/>
  <c r="EC219" i="4"/>
  <c r="EC30" i="4"/>
  <c r="EC70" i="4"/>
  <c r="EC8" i="4"/>
  <c r="EC92" i="4"/>
  <c r="EC214" i="4"/>
  <c r="EC183" i="4"/>
  <c r="EC82" i="4"/>
  <c r="EC18" i="4"/>
  <c r="EC151" i="4"/>
  <c r="EC2" i="4"/>
  <c r="EC131" i="4"/>
  <c r="EC59" i="4"/>
  <c r="EC191" i="4"/>
  <c r="EC22" i="4"/>
  <c r="EC176" i="4"/>
  <c r="EC64" i="4"/>
  <c r="EC144" i="4"/>
  <c r="EC11" i="4"/>
  <c r="EC111" i="4"/>
  <c r="EC51" i="4"/>
  <c r="EC67" i="4"/>
  <c r="EC139" i="4"/>
  <c r="EC150" i="4"/>
  <c r="EC134" i="4"/>
  <c r="EC121" i="4"/>
  <c r="EC228" i="4"/>
  <c r="EC152" i="4"/>
  <c r="EC28" i="4"/>
  <c r="EC192" i="4"/>
  <c r="EC205" i="4"/>
  <c r="EC181" i="4"/>
  <c r="EC33" i="4"/>
  <c r="EC34" i="4"/>
  <c r="EC126" i="4"/>
  <c r="EC136" i="4"/>
  <c r="EC195" i="4"/>
  <c r="EC5" i="4"/>
  <c r="EC241" i="4"/>
  <c r="EC211" i="4"/>
  <c r="EC96" i="4"/>
  <c r="EC230" i="4"/>
  <c r="EC119" i="4"/>
  <c r="EC44" i="4"/>
  <c r="EC177" i="4"/>
  <c r="EC145" i="4"/>
  <c r="EC207" i="4"/>
  <c r="EC210" i="4"/>
  <c r="EC95" i="4"/>
  <c r="EC15" i="4"/>
  <c r="EC57" i="4"/>
  <c r="EC225" i="4"/>
  <c r="EC66" i="4"/>
  <c r="EC159" i="4"/>
  <c r="EC50" i="4"/>
  <c r="EC240" i="4"/>
  <c r="EC53" i="4"/>
  <c r="EC115" i="4"/>
  <c r="EC141" i="4"/>
  <c r="EC54" i="4"/>
  <c r="EC140" i="4"/>
  <c r="EC154" i="4"/>
  <c r="EC90" i="4"/>
  <c r="EC62" i="4"/>
  <c r="EC143" i="4"/>
  <c r="EC125" i="4"/>
  <c r="EC91" i="4"/>
  <c r="EC243" i="4"/>
  <c r="EC27" i="4"/>
  <c r="EC190" i="4"/>
  <c r="EC153" i="4"/>
  <c r="EC88" i="4"/>
  <c r="EC239" i="4"/>
  <c r="EC106" i="4"/>
  <c r="EC213" i="4"/>
  <c r="EC171" i="4"/>
  <c r="EC168" i="4"/>
  <c r="EC175" i="4"/>
  <c r="EC203" i="4"/>
  <c r="EC197" i="4"/>
  <c r="EC238" i="4"/>
  <c r="EC89" i="4"/>
  <c r="EC180" i="4"/>
  <c r="EC200" i="4"/>
  <c r="EC65" i="4"/>
  <c r="EC31" i="4"/>
  <c r="EC173" i="4"/>
  <c r="EC174" i="4"/>
  <c r="EC101" i="4"/>
  <c r="EC186" i="4"/>
  <c r="EC182" i="4"/>
  <c r="EC179" i="4"/>
  <c r="EC194" i="4"/>
  <c r="EC167" i="4"/>
  <c r="EC128" i="4"/>
  <c r="EC12" i="4"/>
  <c r="EC114" i="4"/>
  <c r="EC235" i="4"/>
  <c r="EC83" i="4"/>
  <c r="EC185" i="4"/>
  <c r="EC9" i="4"/>
  <c r="EC109" i="4"/>
  <c r="EC79" i="4"/>
  <c r="EC166" i="4"/>
  <c r="EC6" i="4"/>
  <c r="EC165" i="4"/>
  <c r="EC156" i="4"/>
  <c r="EC24" i="4"/>
  <c r="EC133" i="4"/>
  <c r="EC32" i="4"/>
  <c r="EC108" i="4"/>
  <c r="EC236" i="4"/>
  <c r="EC202" i="4"/>
  <c r="EC85" i="4"/>
  <c r="EC157" i="4"/>
  <c r="EC172" i="4"/>
  <c r="EC77" i="4"/>
  <c r="EC113" i="4"/>
  <c r="EC120" i="4"/>
  <c r="EC100" i="4"/>
  <c r="EC110" i="4"/>
  <c r="EC218" i="4"/>
  <c r="EC40" i="4"/>
  <c r="EC81" i="4"/>
  <c r="EC86" i="4"/>
  <c r="EC224" i="4"/>
  <c r="EC227" i="4"/>
  <c r="EC105" i="4"/>
  <c r="EC56" i="4"/>
  <c r="EC160" i="4"/>
  <c r="EC99" i="4"/>
  <c r="EC52" i="4"/>
  <c r="EC138" i="4"/>
  <c r="EC29" i="4"/>
  <c r="EC3" i="4"/>
  <c r="EC71" i="4"/>
  <c r="EC122" i="4"/>
  <c r="EC76" i="4"/>
  <c r="EC212" i="4"/>
  <c r="EC116" i="4"/>
  <c r="EC148" i="4"/>
  <c r="EC193" i="4"/>
  <c r="EC232" i="4"/>
  <c r="EC17" i="4"/>
  <c r="EC137" i="4"/>
  <c r="EC204" i="4"/>
  <c r="EC42" i="4"/>
  <c r="EC155" i="4"/>
  <c r="EC98" i="4"/>
  <c r="EC93" i="4"/>
  <c r="EC19" i="4"/>
  <c r="EC158" i="4"/>
  <c r="EC164" i="4"/>
  <c r="EC84" i="4"/>
  <c r="EC246" i="4"/>
  <c r="EC13" i="4"/>
  <c r="EC215" i="4"/>
  <c r="EC4" i="4"/>
  <c r="EC178" i="4"/>
  <c r="EC199" i="4"/>
  <c r="EC162" i="4"/>
  <c r="EC142" i="4"/>
  <c r="O528" i="2" l="1"/>
  <c r="P389" i="2"/>
  <c r="O389" i="2"/>
  <c r="P388" i="2"/>
  <c r="O388" i="2"/>
  <c r="P387" i="2"/>
  <c r="O387" i="2"/>
  <c r="P386" i="2"/>
  <c r="O386" i="2"/>
  <c r="P385" i="2"/>
  <c r="O385" i="2"/>
  <c r="P384" i="2"/>
  <c r="O384" i="2"/>
  <c r="P383" i="2"/>
  <c r="O383" i="2"/>
  <c r="P382" i="2"/>
  <c r="O382" i="2"/>
  <c r="P336" i="2"/>
  <c r="O336" i="2"/>
  <c r="P335" i="2"/>
  <c r="O335" i="2"/>
  <c r="O196" i="2"/>
  <c r="P167" i="2"/>
  <c r="O167" i="2"/>
  <c r="P166" i="2"/>
  <c r="O166" i="2"/>
  <c r="P145" i="2"/>
  <c r="O145" i="2"/>
  <c r="P143" i="2"/>
  <c r="O143" i="2"/>
  <c r="P142" i="2"/>
  <c r="O142" i="2"/>
  <c r="P126" i="2"/>
  <c r="P127" i="2"/>
  <c r="O126" i="2"/>
  <c r="O127" i="2"/>
  <c r="P111" i="2"/>
  <c r="P110" i="2"/>
  <c r="O110" i="2"/>
  <c r="O111" i="2"/>
  <c r="P75" i="2"/>
  <c r="P74" i="2"/>
  <c r="O74" i="2"/>
  <c r="O75" i="2"/>
  <c r="P7" i="2"/>
  <c r="O7" i="2"/>
  <c r="P948" i="2"/>
  <c r="P947" i="2"/>
  <c r="P946" i="2"/>
  <c r="O946" i="2"/>
  <c r="P945" i="2"/>
  <c r="O945" i="2"/>
  <c r="P932" i="2"/>
  <c r="O932" i="2"/>
  <c r="P931" i="2"/>
  <c r="O931" i="2"/>
  <c r="P930" i="2"/>
  <c r="O930" i="2"/>
  <c r="P929" i="2"/>
  <c r="O929" i="2"/>
  <c r="P928" i="2"/>
  <c r="O928" i="2"/>
  <c r="P927" i="2"/>
  <c r="O927" i="2"/>
  <c r="P926" i="2"/>
  <c r="O926" i="2"/>
  <c r="P925" i="2"/>
  <c r="O925" i="2"/>
  <c r="P924" i="2"/>
  <c r="O924" i="2"/>
  <c r="P923" i="2"/>
  <c r="O923" i="2"/>
  <c r="P922" i="2"/>
  <c r="O922" i="2"/>
  <c r="P921" i="2"/>
  <c r="O921" i="2"/>
  <c r="P920" i="2"/>
  <c r="O920" i="2"/>
  <c r="P915" i="2"/>
  <c r="O915" i="2"/>
  <c r="P914" i="2"/>
  <c r="O914" i="2"/>
  <c r="P913" i="2"/>
  <c r="O913" i="2"/>
  <c r="P912" i="2"/>
  <c r="O912" i="2"/>
  <c r="P911" i="2"/>
  <c r="O911" i="2"/>
  <c r="P910" i="2"/>
  <c r="O910" i="2"/>
  <c r="P909" i="2"/>
  <c r="O909" i="2"/>
  <c r="P908" i="2"/>
  <c r="O908" i="2"/>
  <c r="P895" i="2"/>
  <c r="O895" i="2"/>
  <c r="P894" i="2"/>
  <c r="O894" i="2"/>
  <c r="P893" i="2"/>
  <c r="O893" i="2"/>
  <c r="P892" i="2"/>
  <c r="O892" i="2"/>
  <c r="P608" i="2"/>
  <c r="O608" i="2"/>
  <c r="P607" i="2"/>
  <c r="O607" i="2"/>
  <c r="P606" i="2"/>
  <c r="O606" i="2"/>
  <c r="P605" i="2"/>
  <c r="O605" i="2"/>
  <c r="P604" i="2"/>
  <c r="O604" i="2"/>
  <c r="P603" i="2"/>
  <c r="O603" i="2"/>
  <c r="P602" i="2"/>
  <c r="O602" i="2"/>
  <c r="P601" i="2"/>
  <c r="O601" i="2"/>
  <c r="P600" i="2"/>
  <c r="O600" i="2"/>
  <c r="P599" i="2"/>
  <c r="O599" i="2"/>
  <c r="P497" i="2"/>
  <c r="O497" i="2"/>
  <c r="P496" i="2"/>
  <c r="O496" i="2"/>
  <c r="P495" i="2"/>
  <c r="O495" i="2"/>
  <c r="P494" i="2"/>
  <c r="O494" i="2"/>
  <c r="P489" i="2"/>
  <c r="O489" i="2"/>
  <c r="P488" i="2"/>
  <c r="O488" i="2"/>
  <c r="P487" i="2"/>
  <c r="O487" i="2"/>
  <c r="P486" i="2"/>
  <c r="O486" i="2"/>
  <c r="P473" i="2"/>
  <c r="P472" i="2"/>
  <c r="P471" i="2"/>
  <c r="P341" i="2"/>
  <c r="P340" i="2"/>
  <c r="P339" i="2"/>
  <c r="O339" i="2"/>
  <c r="P338" i="2"/>
  <c r="O338" i="2"/>
  <c r="P333" i="2"/>
  <c r="O333" i="2"/>
  <c r="P332" i="2"/>
  <c r="O332" i="2"/>
  <c r="P331" i="2"/>
  <c r="O331" i="2"/>
  <c r="P330" i="2"/>
  <c r="O330" i="2"/>
  <c r="P205" i="2"/>
  <c r="O205" i="2"/>
  <c r="P204" i="2"/>
  <c r="O204" i="2"/>
  <c r="P203" i="2"/>
  <c r="O203" i="2"/>
  <c r="P202" i="2"/>
  <c r="O202" i="2"/>
  <c r="P153" i="2"/>
  <c r="O153" i="2"/>
  <c r="P152" i="2"/>
  <c r="O152" i="2"/>
  <c r="P151" i="2"/>
  <c r="O151" i="2"/>
  <c r="P150" i="2"/>
  <c r="O150" i="2"/>
  <c r="P149" i="2"/>
  <c r="O149" i="2"/>
  <c r="P148" i="2"/>
  <c r="O148" i="2"/>
  <c r="P147" i="2"/>
  <c r="O147" i="2"/>
  <c r="P146" i="2"/>
  <c r="O146" i="2"/>
  <c r="P109" i="2"/>
  <c r="O109" i="2"/>
  <c r="P108" i="2"/>
  <c r="O108" i="2"/>
  <c r="P107" i="2"/>
  <c r="O107" i="2"/>
  <c r="P106" i="2"/>
  <c r="O106" i="2"/>
  <c r="P73" i="2"/>
  <c r="O73" i="2"/>
  <c r="P72" i="2"/>
  <c r="O72" i="2"/>
  <c r="P71" i="2"/>
  <c r="O71" i="2"/>
  <c r="P70" i="2"/>
  <c r="O70" i="2"/>
  <c r="P57" i="2"/>
  <c r="P56" i="2"/>
  <c r="O57" i="2"/>
  <c r="O56" i="2"/>
  <c r="P53" i="2"/>
  <c r="P52" i="2"/>
  <c r="O53" i="2"/>
  <c r="O52" i="2"/>
  <c r="O4" i="2"/>
  <c r="O16" i="2"/>
  <c r="P21" i="2"/>
  <c r="P20" i="2"/>
  <c r="P19" i="2"/>
  <c r="P18" i="2"/>
  <c r="P17" i="2"/>
  <c r="P16" i="2"/>
  <c r="P15" i="2"/>
  <c r="P14" i="2"/>
  <c r="O21" i="2"/>
  <c r="O20" i="2"/>
  <c r="O19" i="2"/>
  <c r="O18" i="2"/>
  <c r="O17" i="2"/>
  <c r="O15" i="2"/>
  <c r="O14" i="2"/>
  <c r="O112" i="2"/>
  <c r="P112" i="2"/>
  <c r="E162" i="4"/>
  <c r="E199" i="4"/>
  <c r="E178" i="4"/>
  <c r="E4" i="4"/>
  <c r="E215" i="4"/>
  <c r="E13" i="4"/>
  <c r="E246" i="4"/>
  <c r="E84" i="4"/>
  <c r="E164" i="4"/>
  <c r="E158" i="4"/>
  <c r="E19" i="4"/>
  <c r="E93" i="4"/>
  <c r="E98" i="4"/>
  <c r="E155" i="4"/>
  <c r="E42" i="4"/>
  <c r="E204" i="4"/>
  <c r="E137" i="4"/>
  <c r="E17" i="4"/>
  <c r="E232" i="4"/>
  <c r="E193" i="4"/>
  <c r="E148" i="4"/>
  <c r="E116" i="4"/>
  <c r="E76" i="4"/>
  <c r="E122" i="4"/>
  <c r="E71" i="4"/>
  <c r="E3" i="4"/>
  <c r="E29" i="4"/>
  <c r="E138" i="4"/>
  <c r="E52" i="4"/>
  <c r="E99" i="4"/>
  <c r="E160" i="4"/>
  <c r="E56" i="4"/>
  <c r="E105" i="4"/>
  <c r="E227" i="4"/>
  <c r="E224" i="4"/>
  <c r="E86" i="4"/>
  <c r="E81" i="4"/>
  <c r="E40" i="4"/>
  <c r="E218" i="4"/>
  <c r="E110" i="4"/>
  <c r="E100" i="4"/>
  <c r="E120" i="4"/>
  <c r="E113" i="4"/>
  <c r="E77" i="4"/>
  <c r="E157" i="4"/>
  <c r="E85" i="4"/>
  <c r="E202" i="4"/>
  <c r="E236" i="4"/>
  <c r="E108" i="4"/>
  <c r="E32" i="4"/>
  <c r="E133" i="4"/>
  <c r="E24" i="4"/>
  <c r="E156" i="4"/>
  <c r="E165" i="4"/>
  <c r="E6" i="4"/>
  <c r="E166" i="4"/>
  <c r="E79" i="4"/>
  <c r="E109" i="4"/>
  <c r="E9" i="4"/>
  <c r="E185" i="4"/>
  <c r="E83" i="4"/>
  <c r="E235" i="4"/>
  <c r="E114" i="4"/>
  <c r="E12" i="4"/>
  <c r="E128" i="4"/>
  <c r="E167" i="4"/>
  <c r="E194" i="4"/>
  <c r="E179" i="4"/>
  <c r="E182" i="4"/>
  <c r="E186" i="4"/>
  <c r="E101" i="4"/>
  <c r="E174" i="4"/>
  <c r="E173" i="4"/>
  <c r="E31" i="4"/>
  <c r="E65" i="4"/>
  <c r="E200" i="4"/>
  <c r="E180" i="4"/>
  <c r="E89" i="4"/>
  <c r="E238" i="4"/>
  <c r="E197" i="4"/>
  <c r="E203" i="4"/>
  <c r="E175" i="4"/>
  <c r="E168" i="4"/>
  <c r="E171" i="4"/>
  <c r="E213" i="4"/>
  <c r="E106" i="4"/>
  <c r="E239" i="4"/>
  <c r="E88" i="4"/>
  <c r="E153" i="4"/>
  <c r="E190" i="4"/>
  <c r="E27" i="4"/>
  <c r="E243" i="4"/>
  <c r="E91" i="4"/>
  <c r="E125" i="4"/>
  <c r="E143" i="4"/>
  <c r="E62" i="4"/>
  <c r="E90" i="4"/>
  <c r="E154" i="4"/>
  <c r="E140" i="4"/>
  <c r="E54" i="4"/>
  <c r="E141" i="4"/>
  <c r="E115" i="4"/>
  <c r="E53" i="4"/>
  <c r="E240" i="4"/>
  <c r="E50" i="4"/>
  <c r="E159" i="4"/>
  <c r="E66" i="4"/>
  <c r="E225" i="4"/>
  <c r="E57" i="4"/>
  <c r="E15" i="4"/>
  <c r="E95" i="4"/>
  <c r="E210" i="4"/>
  <c r="E207" i="4"/>
  <c r="E145" i="4"/>
  <c r="E177" i="4"/>
  <c r="E44" i="4"/>
  <c r="E119" i="4"/>
  <c r="E230" i="4"/>
  <c r="E96" i="4"/>
  <c r="E211" i="4"/>
  <c r="E241" i="4"/>
  <c r="E5" i="4"/>
  <c r="E195" i="4"/>
  <c r="E136" i="4"/>
  <c r="E126" i="4"/>
  <c r="E34" i="4"/>
  <c r="E33" i="4"/>
  <c r="E181" i="4"/>
  <c r="E205" i="4"/>
  <c r="E192" i="4"/>
  <c r="E28" i="4"/>
  <c r="E152" i="4"/>
  <c r="E228" i="4"/>
  <c r="E121" i="4"/>
  <c r="E134" i="4"/>
  <c r="E150" i="4"/>
  <c r="E139" i="4"/>
  <c r="E67" i="4"/>
  <c r="E51" i="4"/>
  <c r="E111" i="4"/>
  <c r="E11" i="4"/>
  <c r="E144" i="4"/>
  <c r="E64" i="4"/>
  <c r="E176" i="4"/>
  <c r="E22" i="4"/>
  <c r="E191" i="4"/>
  <c r="E59" i="4"/>
  <c r="E131" i="4"/>
  <c r="E2" i="4"/>
  <c r="E151" i="4"/>
  <c r="E18" i="4"/>
  <c r="E82" i="4"/>
  <c r="E183" i="4"/>
  <c r="E214" i="4"/>
  <c r="E92" i="4"/>
  <c r="E8" i="4"/>
  <c r="E70" i="4"/>
  <c r="E30" i="4"/>
  <c r="E219" i="4"/>
  <c r="E221" i="4"/>
  <c r="E222" i="4"/>
  <c r="E161" i="4"/>
  <c r="E237" i="4"/>
  <c r="E112" i="4"/>
  <c r="E23" i="4"/>
  <c r="E147" i="4"/>
  <c r="E209" i="4"/>
  <c r="E206" i="4"/>
  <c r="E10" i="4"/>
  <c r="E231" i="4"/>
  <c r="E61" i="4"/>
  <c r="E7" i="4"/>
  <c r="E78" i="4"/>
  <c r="E242" i="4"/>
  <c r="E233" i="4"/>
  <c r="E216" i="4"/>
  <c r="E244" i="4"/>
  <c r="E226" i="4"/>
  <c r="E129" i="4"/>
  <c r="E217" i="4"/>
  <c r="E245" i="4"/>
  <c r="E198" i="4"/>
  <c r="E234" i="4"/>
  <c r="E80" i="4"/>
  <c r="E39" i="4"/>
  <c r="E58" i="4"/>
  <c r="E55" i="4"/>
  <c r="E46" i="4"/>
  <c r="E87" i="4"/>
  <c r="E47" i="4"/>
  <c r="E132" i="4"/>
  <c r="E60" i="4"/>
  <c r="E38" i="4"/>
  <c r="E20" i="4"/>
  <c r="E97" i="4"/>
  <c r="E72" i="4"/>
  <c r="E48" i="4"/>
  <c r="E37" i="4"/>
  <c r="E170" i="4"/>
  <c r="E25" i="4"/>
  <c r="E184" i="4"/>
  <c r="E16" i="4"/>
  <c r="E127" i="4"/>
  <c r="E188" i="4"/>
  <c r="E189" i="4"/>
  <c r="E187" i="4"/>
  <c r="E146" i="4"/>
  <c r="E118" i="4"/>
  <c r="E63" i="4"/>
  <c r="E117" i="4"/>
  <c r="E45" i="4"/>
  <c r="E135" i="4"/>
  <c r="E49" i="4"/>
  <c r="E163" i="4"/>
  <c r="E21" i="4"/>
  <c r="E73" i="4"/>
  <c r="E123" i="4"/>
  <c r="E36" i="4"/>
  <c r="E75" i="4"/>
  <c r="E35" i="4"/>
  <c r="E41" i="4"/>
  <c r="E94" i="4"/>
  <c r="E220" i="4"/>
  <c r="E74" i="4"/>
  <c r="E107" i="4"/>
  <c r="E149" i="4"/>
  <c r="E229" i="4"/>
  <c r="E247" i="4"/>
  <c r="E104" i="4"/>
  <c r="E223" i="4"/>
  <c r="E14" i="4"/>
  <c r="E103" i="4"/>
  <c r="E26" i="4"/>
  <c r="E68" i="4"/>
  <c r="E130" i="4"/>
  <c r="E102" i="4"/>
  <c r="E124" i="4"/>
  <c r="E208" i="4"/>
  <c r="E69" i="4"/>
  <c r="E169" i="4"/>
  <c r="E43" i="4"/>
  <c r="E201" i="4"/>
  <c r="E196" i="4"/>
  <c r="E142" i="4"/>
  <c r="R3" i="2" l="1"/>
  <c r="Q4" i="2"/>
  <c r="Q5" i="2"/>
  <c r="R6" i="2"/>
  <c r="R7" i="2"/>
  <c r="Q8" i="2"/>
  <c r="Q9" i="2"/>
  <c r="R10" i="2"/>
  <c r="R11" i="2"/>
  <c r="Q12" i="2"/>
  <c r="Q13" i="2"/>
  <c r="R14" i="2"/>
  <c r="R15" i="2"/>
  <c r="Q16" i="2"/>
  <c r="Q17" i="2"/>
  <c r="R18" i="2"/>
  <c r="R19" i="2"/>
  <c r="Q20" i="2"/>
  <c r="Q21" i="2"/>
  <c r="R22" i="2"/>
  <c r="R23" i="2"/>
  <c r="Q24" i="2"/>
  <c r="Q25" i="2"/>
  <c r="R26" i="2"/>
  <c r="R27" i="2"/>
  <c r="Q28" i="2"/>
  <c r="Q29" i="2"/>
  <c r="R30" i="2"/>
  <c r="R31" i="2"/>
  <c r="Q32" i="2"/>
  <c r="Q33" i="2"/>
  <c r="R34" i="2"/>
  <c r="R35" i="2"/>
  <c r="Q36" i="2"/>
  <c r="Q37" i="2"/>
  <c r="R38" i="2"/>
  <c r="R39" i="2"/>
  <c r="Q40" i="2"/>
  <c r="Q41" i="2"/>
  <c r="R42" i="2"/>
  <c r="R43" i="2"/>
  <c r="Q44" i="2"/>
  <c r="Q45" i="2"/>
  <c r="R46" i="2"/>
  <c r="R47" i="2"/>
  <c r="Q48" i="2"/>
  <c r="Q49" i="2"/>
  <c r="Q50" i="2"/>
  <c r="Q51" i="2"/>
  <c r="R52" i="2"/>
  <c r="R53" i="2"/>
  <c r="R54" i="2"/>
  <c r="R55" i="2"/>
  <c r="Q56" i="2"/>
  <c r="Q57" i="2"/>
  <c r="R58" i="2"/>
  <c r="R59" i="2"/>
  <c r="Q60" i="2"/>
  <c r="Q61" i="2"/>
  <c r="R62" i="2"/>
  <c r="R63" i="2"/>
  <c r="Q64" i="2"/>
  <c r="Q65" i="2"/>
  <c r="R66" i="2"/>
  <c r="R67" i="2"/>
  <c r="Q68" i="2"/>
  <c r="Q69" i="2"/>
  <c r="Q70" i="2"/>
  <c r="R70" i="2"/>
  <c r="Q71" i="2"/>
  <c r="R71" i="2"/>
  <c r="Q72" i="2"/>
  <c r="R72" i="2"/>
  <c r="Q73" i="2"/>
  <c r="R73" i="2"/>
  <c r="R74" i="2"/>
  <c r="R75" i="2"/>
  <c r="Q76" i="2"/>
  <c r="Q77" i="2"/>
  <c r="R78" i="2"/>
  <c r="R79" i="2"/>
  <c r="Q80" i="2"/>
  <c r="Q81" i="2"/>
  <c r="R82" i="2"/>
  <c r="R83" i="2"/>
  <c r="Q84" i="2"/>
  <c r="Q85" i="2"/>
  <c r="R86" i="2"/>
  <c r="R87" i="2"/>
  <c r="Q88" i="2"/>
  <c r="Q89" i="2"/>
  <c r="R90" i="2"/>
  <c r="R91" i="2"/>
  <c r="Q92" i="2"/>
  <c r="Q93" i="2"/>
  <c r="R94" i="2"/>
  <c r="R95" i="2"/>
  <c r="Q96" i="2"/>
  <c r="Q97" i="2"/>
  <c r="R98" i="2"/>
  <c r="R99" i="2"/>
  <c r="Q100" i="2"/>
  <c r="Q101" i="2"/>
  <c r="R102" i="2"/>
  <c r="R103" i="2"/>
  <c r="Q104" i="2"/>
  <c r="Q105" i="2"/>
  <c r="R106" i="2"/>
  <c r="R107" i="2"/>
  <c r="Q108" i="2"/>
  <c r="Q109" i="2"/>
  <c r="R110" i="2"/>
  <c r="R111" i="2"/>
  <c r="Q112" i="2"/>
  <c r="Q113" i="2"/>
  <c r="R114" i="2"/>
  <c r="R115" i="2"/>
  <c r="Q116" i="2"/>
  <c r="Q117" i="2"/>
  <c r="R118" i="2"/>
  <c r="R119" i="2"/>
  <c r="Q120" i="2"/>
  <c r="Q121" i="2"/>
  <c r="R122" i="2"/>
  <c r="R123" i="2"/>
  <c r="Q124" i="2"/>
  <c r="Q125" i="2"/>
  <c r="R126" i="2"/>
  <c r="R127" i="2"/>
  <c r="Q128" i="2"/>
  <c r="Q129" i="2"/>
  <c r="R130" i="2"/>
  <c r="R131" i="2"/>
  <c r="Q132" i="2"/>
  <c r="Q133" i="2"/>
  <c r="R134" i="2"/>
  <c r="R135" i="2"/>
  <c r="Q136" i="2"/>
  <c r="Q137" i="2"/>
  <c r="R138" i="2"/>
  <c r="R139" i="2"/>
  <c r="Q140" i="2"/>
  <c r="Q141" i="2"/>
  <c r="R142" i="2"/>
  <c r="R143" i="2"/>
  <c r="Q144" i="2"/>
  <c r="Q145" i="2"/>
  <c r="R146" i="2"/>
  <c r="R147" i="2"/>
  <c r="Q148" i="2"/>
  <c r="Q149" i="2"/>
  <c r="R150" i="2"/>
  <c r="R151" i="2"/>
  <c r="Q152" i="2"/>
  <c r="Q153" i="2"/>
  <c r="R154" i="2"/>
  <c r="R155" i="2"/>
  <c r="Q156" i="2"/>
  <c r="Q157" i="2"/>
  <c r="R158" i="2"/>
  <c r="R159" i="2"/>
  <c r="Q160" i="2"/>
  <c r="Q161" i="2"/>
  <c r="R162" i="2"/>
  <c r="R163" i="2"/>
  <c r="Q164" i="2"/>
  <c r="Q165" i="2"/>
  <c r="R166" i="2"/>
  <c r="R167" i="2"/>
  <c r="Q168" i="2"/>
  <c r="Q169" i="2"/>
  <c r="R170" i="2"/>
  <c r="R171" i="2"/>
  <c r="Q172" i="2"/>
  <c r="Q173" i="2"/>
  <c r="R174" i="2"/>
  <c r="R175" i="2"/>
  <c r="Q176" i="2"/>
  <c r="Q177" i="2"/>
  <c r="R178" i="2"/>
  <c r="R179" i="2"/>
  <c r="Q180" i="2"/>
  <c r="Q181" i="2"/>
  <c r="R182" i="2"/>
  <c r="R183" i="2"/>
  <c r="Q184" i="2"/>
  <c r="Q185" i="2"/>
  <c r="R186" i="2"/>
  <c r="R187" i="2"/>
  <c r="Q188" i="2"/>
  <c r="Q189" i="2"/>
  <c r="R190" i="2"/>
  <c r="R191" i="2"/>
  <c r="Q192" i="2"/>
  <c r="Q193" i="2"/>
  <c r="R194" i="2"/>
  <c r="R195" i="2"/>
  <c r="Q196" i="2"/>
  <c r="Q197" i="2"/>
  <c r="R198" i="2"/>
  <c r="R199" i="2"/>
  <c r="Q200" i="2"/>
  <c r="Q201" i="2"/>
  <c r="R202" i="2"/>
  <c r="R203" i="2"/>
  <c r="Q204" i="2"/>
  <c r="Q205" i="2"/>
  <c r="R206" i="2"/>
  <c r="R207" i="2"/>
  <c r="Q208" i="2"/>
  <c r="Q209" i="2"/>
  <c r="R210" i="2"/>
  <c r="R211" i="2"/>
  <c r="Q212" i="2"/>
  <c r="Q213" i="2"/>
  <c r="R214" i="2"/>
  <c r="R215" i="2"/>
  <c r="Q216" i="2"/>
  <c r="Q217" i="2"/>
  <c r="R218" i="2"/>
  <c r="R219" i="2"/>
  <c r="Q220" i="2"/>
  <c r="Q221" i="2"/>
  <c r="R222" i="2"/>
  <c r="R223" i="2"/>
  <c r="Q224" i="2"/>
  <c r="Q225" i="2"/>
  <c r="R226" i="2"/>
  <c r="R227" i="2"/>
  <c r="Q228" i="2"/>
  <c r="Q229" i="2"/>
  <c r="R230" i="2"/>
  <c r="R231" i="2"/>
  <c r="Q232" i="2"/>
  <c r="Q233" i="2"/>
  <c r="R234" i="2"/>
  <c r="R235" i="2"/>
  <c r="Q236" i="2"/>
  <c r="Q237" i="2"/>
  <c r="Q238" i="2"/>
  <c r="Q239" i="2"/>
  <c r="R240" i="2"/>
  <c r="R241" i="2"/>
  <c r="R242" i="2"/>
  <c r="R243" i="2"/>
  <c r="Q244" i="2"/>
  <c r="Q245" i="2"/>
  <c r="R246" i="2"/>
  <c r="R247" i="2"/>
  <c r="Q248" i="2"/>
  <c r="Q249" i="2"/>
  <c r="R250" i="2"/>
  <c r="R251" i="2"/>
  <c r="Q252" i="2"/>
  <c r="Q253" i="2"/>
  <c r="R254" i="2"/>
  <c r="R255" i="2"/>
  <c r="Q256" i="2"/>
  <c r="Q257" i="2"/>
  <c r="R258" i="2"/>
  <c r="R259" i="2"/>
  <c r="Q260" i="2"/>
  <c r="Q261" i="2"/>
  <c r="R262" i="2"/>
  <c r="R263" i="2"/>
  <c r="Q264" i="2"/>
  <c r="Q265" i="2"/>
  <c r="R266" i="2"/>
  <c r="R267" i="2"/>
  <c r="Q268" i="2"/>
  <c r="Q269" i="2"/>
  <c r="R270" i="2"/>
  <c r="R271" i="2"/>
  <c r="Q272" i="2"/>
  <c r="Q273" i="2"/>
  <c r="R274" i="2"/>
  <c r="R275" i="2"/>
  <c r="Q276" i="2"/>
  <c r="Q277" i="2"/>
  <c r="R278" i="2"/>
  <c r="R279" i="2"/>
  <c r="Q280" i="2"/>
  <c r="Q281" i="2"/>
  <c r="R282" i="2"/>
  <c r="R283" i="2"/>
  <c r="Q284" i="2"/>
  <c r="Q285" i="2"/>
  <c r="R286" i="2"/>
  <c r="R287" i="2"/>
  <c r="Q288" i="2"/>
  <c r="Q289" i="2"/>
  <c r="R290" i="2"/>
  <c r="R291" i="2"/>
  <c r="Q292" i="2"/>
  <c r="Q293" i="2"/>
  <c r="R294" i="2"/>
  <c r="R295" i="2"/>
  <c r="Q296" i="2"/>
  <c r="Q297" i="2"/>
  <c r="R298" i="2"/>
  <c r="R299" i="2"/>
  <c r="Q300" i="2"/>
  <c r="Q301" i="2"/>
  <c r="R302" i="2"/>
  <c r="R303" i="2"/>
  <c r="R304" i="2"/>
  <c r="Q305" i="2"/>
  <c r="R306" i="2"/>
  <c r="R307" i="2"/>
  <c r="Q308" i="2"/>
  <c r="Q309" i="2"/>
  <c r="R310" i="2"/>
  <c r="R311" i="2"/>
  <c r="Q312" i="2"/>
  <c r="Q313" i="2"/>
  <c r="R314" i="2"/>
  <c r="R315" i="2"/>
  <c r="Q316" i="2"/>
  <c r="Q317" i="2"/>
  <c r="R318" i="2"/>
  <c r="R319" i="2"/>
  <c r="Q320" i="2"/>
  <c r="Q321" i="2"/>
  <c r="R322" i="2"/>
  <c r="R323" i="2"/>
  <c r="Q324" i="2"/>
  <c r="Q325" i="2"/>
  <c r="R326" i="2"/>
  <c r="R327" i="2"/>
  <c r="Q328" i="2"/>
  <c r="Q329" i="2"/>
  <c r="R330" i="2"/>
  <c r="R331" i="2"/>
  <c r="Q332" i="2"/>
  <c r="Q333" i="2"/>
  <c r="R334" i="2"/>
  <c r="R335" i="2"/>
  <c r="Q336" i="2"/>
  <c r="Q337" i="2"/>
  <c r="R338" i="2"/>
  <c r="R339" i="2"/>
  <c r="Q340" i="2"/>
  <c r="Q341" i="2"/>
  <c r="R342" i="2"/>
  <c r="R343" i="2"/>
  <c r="Q344" i="2"/>
  <c r="Q345" i="2"/>
  <c r="R346" i="2"/>
  <c r="R347" i="2"/>
  <c r="Q348" i="2"/>
  <c r="Q349" i="2"/>
  <c r="R350" i="2"/>
  <c r="R351" i="2"/>
  <c r="Q352" i="2"/>
  <c r="Q353" i="2"/>
  <c r="R354" i="2"/>
  <c r="R355" i="2"/>
  <c r="Q356" i="2"/>
  <c r="Q357" i="2"/>
  <c r="R358" i="2"/>
  <c r="R359" i="2"/>
  <c r="Q360" i="2"/>
  <c r="Q361" i="2"/>
  <c r="R362" i="2"/>
  <c r="R363" i="2"/>
  <c r="Q364" i="2"/>
  <c r="Q365" i="2"/>
  <c r="R366" i="2"/>
  <c r="R367" i="2"/>
  <c r="Q368" i="2"/>
  <c r="Q369" i="2"/>
  <c r="R370" i="2"/>
  <c r="R371" i="2"/>
  <c r="Q372" i="2"/>
  <c r="Q373" i="2"/>
  <c r="R374" i="2"/>
  <c r="R375" i="2"/>
  <c r="Q376" i="2"/>
  <c r="Q377" i="2"/>
  <c r="R378" i="2"/>
  <c r="R379" i="2"/>
  <c r="Q380" i="2"/>
  <c r="Q381" i="2"/>
  <c r="R382" i="2"/>
  <c r="R383" i="2"/>
  <c r="Q384" i="2"/>
  <c r="Q385" i="2"/>
  <c r="R386" i="2"/>
  <c r="R387" i="2"/>
  <c r="Q388" i="2"/>
  <c r="Q389" i="2"/>
  <c r="R390" i="2"/>
  <c r="R391" i="2"/>
  <c r="Q392" i="2"/>
  <c r="Q393" i="2"/>
  <c r="R394" i="2"/>
  <c r="R395" i="2"/>
  <c r="Q396" i="2"/>
  <c r="Q397" i="2"/>
  <c r="R398" i="2"/>
  <c r="R399" i="2"/>
  <c r="Q400" i="2"/>
  <c r="Q401" i="2"/>
  <c r="R402" i="2"/>
  <c r="R403" i="2"/>
  <c r="Q404" i="2"/>
  <c r="Q405" i="2"/>
  <c r="R406" i="2"/>
  <c r="R407" i="2"/>
  <c r="Q408" i="2"/>
  <c r="Q409" i="2"/>
  <c r="R410" i="2"/>
  <c r="R411" i="2"/>
  <c r="Q412" i="2"/>
  <c r="Q413" i="2"/>
  <c r="R414" i="2"/>
  <c r="R415" i="2"/>
  <c r="R416" i="2"/>
  <c r="Q417" i="2"/>
  <c r="Q418" i="2"/>
  <c r="R419" i="2"/>
  <c r="R420" i="2"/>
  <c r="Q421" i="2"/>
  <c r="Q422" i="2"/>
  <c r="R423" i="2"/>
  <c r="R424" i="2"/>
  <c r="Q425" i="2"/>
  <c r="Q426" i="2"/>
  <c r="R427" i="2"/>
  <c r="R428" i="2"/>
  <c r="Q429" i="2"/>
  <c r="Q430" i="2"/>
  <c r="R431" i="2"/>
  <c r="R432" i="2"/>
  <c r="Q433" i="2"/>
  <c r="Q434" i="2"/>
  <c r="R435" i="2"/>
  <c r="R436" i="2"/>
  <c r="Q437" i="2"/>
  <c r="Q438" i="2"/>
  <c r="R439" i="2"/>
  <c r="R440" i="2"/>
  <c r="Q441" i="2"/>
  <c r="Q442" i="2"/>
  <c r="R443" i="2"/>
  <c r="R444" i="2"/>
  <c r="Q445" i="2"/>
  <c r="Q446" i="2"/>
  <c r="R447" i="2"/>
  <c r="R448" i="2"/>
  <c r="Q449" i="2"/>
  <c r="Q450" i="2"/>
  <c r="R451" i="2"/>
  <c r="R452" i="2"/>
  <c r="Q453" i="2"/>
  <c r="Q454" i="2"/>
  <c r="R455" i="2"/>
  <c r="R456" i="2"/>
  <c r="Q457" i="2"/>
  <c r="Q458" i="2"/>
  <c r="R459" i="2"/>
  <c r="R460" i="2"/>
  <c r="Q461" i="2"/>
  <c r="Q462" i="2"/>
  <c r="R463" i="2"/>
  <c r="R464" i="2"/>
  <c r="Q465" i="2"/>
  <c r="Q466" i="2"/>
  <c r="R467" i="2"/>
  <c r="R468" i="2"/>
  <c r="Q469" i="2"/>
  <c r="Q470" i="2"/>
  <c r="R471" i="2"/>
  <c r="R472" i="2"/>
  <c r="Q473" i="2"/>
  <c r="R474" i="2"/>
  <c r="R475" i="2"/>
  <c r="Q476" i="2"/>
  <c r="Q477" i="2"/>
  <c r="R478" i="2"/>
  <c r="R479" i="2"/>
  <c r="Q480" i="2"/>
  <c r="Q481" i="2"/>
  <c r="R482" i="2"/>
  <c r="R483" i="2"/>
  <c r="Q484" i="2"/>
  <c r="Q485" i="2"/>
  <c r="R486" i="2"/>
  <c r="R487" i="2"/>
  <c r="Q488" i="2"/>
  <c r="Q489" i="2"/>
  <c r="R490" i="2"/>
  <c r="R491" i="2"/>
  <c r="Q492" i="2"/>
  <c r="Q493" i="2"/>
  <c r="R494" i="2"/>
  <c r="R495" i="2"/>
  <c r="Q496" i="2"/>
  <c r="Q497" i="2"/>
  <c r="R498" i="2"/>
  <c r="R499" i="2"/>
  <c r="Q500" i="2"/>
  <c r="Q501" i="2"/>
  <c r="R502" i="2"/>
  <c r="R503" i="2"/>
  <c r="Q504" i="2"/>
  <c r="Q505" i="2"/>
  <c r="R506" i="2"/>
  <c r="R507" i="2"/>
  <c r="Q508" i="2"/>
  <c r="Q509" i="2"/>
  <c r="R510" i="2"/>
  <c r="R511" i="2"/>
  <c r="Q512" i="2"/>
  <c r="Q513" i="2"/>
  <c r="R514" i="2"/>
  <c r="R515" i="2"/>
  <c r="R516" i="2"/>
  <c r="R517" i="2"/>
  <c r="Q518" i="2"/>
  <c r="Q519" i="2"/>
  <c r="R520" i="2"/>
  <c r="R521" i="2"/>
  <c r="Q522" i="2"/>
  <c r="Q523" i="2"/>
  <c r="R524" i="2"/>
  <c r="R525" i="2"/>
  <c r="Q526" i="2"/>
  <c r="Q527" i="2"/>
  <c r="R528" i="2"/>
  <c r="R529" i="2"/>
  <c r="Q530" i="2"/>
  <c r="Q531" i="2"/>
  <c r="R532" i="2"/>
  <c r="R533" i="2"/>
  <c r="Q534" i="2"/>
  <c r="Q535" i="2"/>
  <c r="R536" i="2"/>
  <c r="R537" i="2"/>
  <c r="Q538" i="2"/>
  <c r="Q539" i="2"/>
  <c r="R540" i="2"/>
  <c r="R541" i="2"/>
  <c r="Q542" i="2"/>
  <c r="Q543" i="2"/>
  <c r="R544" i="2"/>
  <c r="R545" i="2"/>
  <c r="Q546" i="2"/>
  <c r="Q547" i="2"/>
  <c r="R548" i="2"/>
  <c r="R549" i="2"/>
  <c r="Q550" i="2"/>
  <c r="Q551" i="2"/>
  <c r="R552" i="2"/>
  <c r="R553" i="2"/>
  <c r="Q554" i="2"/>
  <c r="Q555" i="2"/>
  <c r="R556" i="2"/>
  <c r="R557" i="2"/>
  <c r="Q558" i="2"/>
  <c r="Q559" i="2"/>
  <c r="R560" i="2"/>
  <c r="R561" i="2"/>
  <c r="Q562" i="2"/>
  <c r="Q563" i="2"/>
  <c r="R564" i="2"/>
  <c r="R565" i="2"/>
  <c r="Q566" i="2"/>
  <c r="Q567" i="2"/>
  <c r="R568" i="2"/>
  <c r="R569" i="2"/>
  <c r="Q570" i="2"/>
  <c r="Q571" i="2"/>
  <c r="R572" i="2"/>
  <c r="R573" i="2"/>
  <c r="Q574" i="2"/>
  <c r="Q575" i="2"/>
  <c r="R576" i="2"/>
  <c r="R577" i="2"/>
  <c r="Q578" i="2"/>
  <c r="Q579" i="2"/>
  <c r="R580" i="2"/>
  <c r="R581" i="2"/>
  <c r="Q582" i="2"/>
  <c r="Q583" i="2"/>
  <c r="R584" i="2"/>
  <c r="R585" i="2"/>
  <c r="Q586" i="2"/>
  <c r="R587" i="2"/>
  <c r="R588" i="2"/>
  <c r="Q589" i="2"/>
  <c r="Q590" i="2"/>
  <c r="R591" i="2"/>
  <c r="R592" i="2"/>
  <c r="Q593" i="2"/>
  <c r="Q594" i="2"/>
  <c r="R595" i="2"/>
  <c r="R596" i="2"/>
  <c r="Q597" i="2"/>
  <c r="Q598" i="2"/>
  <c r="Q599" i="2"/>
  <c r="R599" i="2"/>
  <c r="Q600" i="2"/>
  <c r="R600" i="2"/>
  <c r="Q601" i="2"/>
  <c r="R601" i="2"/>
  <c r="Q602" i="2"/>
  <c r="R602" i="2"/>
  <c r="Q603" i="2"/>
  <c r="R603" i="2"/>
  <c r="Q604" i="2"/>
  <c r="R604" i="2"/>
  <c r="Q605" i="2"/>
  <c r="R605" i="2"/>
  <c r="Q606" i="2"/>
  <c r="R606" i="2"/>
  <c r="Q607" i="2"/>
  <c r="R607" i="2"/>
  <c r="Q608" i="2"/>
  <c r="R608" i="2"/>
  <c r="R609" i="2"/>
  <c r="R610" i="2"/>
  <c r="Q611" i="2"/>
  <c r="Q612" i="2"/>
  <c r="R613" i="2"/>
  <c r="R614" i="2"/>
  <c r="Q615" i="2"/>
  <c r="Q616" i="2"/>
  <c r="R617" i="2"/>
  <c r="R618" i="2"/>
  <c r="Q619" i="2"/>
  <c r="Q620" i="2"/>
  <c r="R621" i="2"/>
  <c r="R622" i="2"/>
  <c r="Q623" i="2"/>
  <c r="Q624" i="2"/>
  <c r="R625" i="2"/>
  <c r="R626" i="2"/>
  <c r="Q627" i="2"/>
  <c r="Q628" i="2"/>
  <c r="R629" i="2"/>
  <c r="R630" i="2"/>
  <c r="Q631" i="2"/>
  <c r="Q632" i="2"/>
  <c r="R633" i="2"/>
  <c r="R634" i="2"/>
  <c r="Q635" i="2"/>
  <c r="Q636" i="2"/>
  <c r="R637" i="2"/>
  <c r="R638" i="2"/>
  <c r="Q639" i="2"/>
  <c r="Q640" i="2"/>
  <c r="R641" i="2"/>
  <c r="R642" i="2"/>
  <c r="Q643" i="2"/>
  <c r="Q644" i="2"/>
  <c r="R645" i="2"/>
  <c r="R646" i="2"/>
  <c r="Q647" i="2"/>
  <c r="Q648" i="2"/>
  <c r="R649" i="2"/>
  <c r="R650" i="2"/>
  <c r="Q651" i="2"/>
  <c r="Q652" i="2"/>
  <c r="R653" i="2"/>
  <c r="R654" i="2"/>
  <c r="Q655" i="2"/>
  <c r="Q656" i="2"/>
  <c r="R657" i="2"/>
  <c r="R658" i="2"/>
  <c r="Q659" i="2"/>
  <c r="Q660" i="2"/>
  <c r="R661" i="2"/>
  <c r="R662" i="2"/>
  <c r="Q663" i="2"/>
  <c r="Q664" i="2"/>
  <c r="R665" i="2"/>
  <c r="R666" i="2"/>
  <c r="Q667" i="2"/>
  <c r="Q668" i="2"/>
  <c r="R669" i="2"/>
  <c r="R670" i="2"/>
  <c r="Q671" i="2"/>
  <c r="Q672" i="2"/>
  <c r="R673" i="2"/>
  <c r="R674" i="2"/>
  <c r="Q675" i="2"/>
  <c r="Q676" i="2"/>
  <c r="Q677" i="2"/>
  <c r="R677" i="2"/>
  <c r="Q678" i="2"/>
  <c r="R678" i="2"/>
  <c r="Q679" i="2"/>
  <c r="R679" i="2"/>
  <c r="Q680" i="2"/>
  <c r="R680" i="2"/>
  <c r="Q681" i="2"/>
  <c r="R681" i="2"/>
  <c r="Q682" i="2"/>
  <c r="R682" i="2"/>
  <c r="Q683" i="2"/>
  <c r="R683" i="2"/>
  <c r="Q684" i="2"/>
  <c r="R684" i="2"/>
  <c r="Q685" i="2"/>
  <c r="R685" i="2"/>
  <c r="R686" i="2"/>
  <c r="R687" i="2"/>
  <c r="Q688" i="2"/>
  <c r="Q689" i="2"/>
  <c r="R690" i="2"/>
  <c r="R691" i="2"/>
  <c r="Q692" i="2"/>
  <c r="Q693" i="2"/>
  <c r="R694" i="2"/>
  <c r="R695" i="2"/>
  <c r="Q696" i="2"/>
  <c r="Q697" i="2"/>
  <c r="R698" i="2"/>
  <c r="R699" i="2"/>
  <c r="Q700" i="2"/>
  <c r="Q701" i="2"/>
  <c r="R702" i="2"/>
  <c r="R703" i="2"/>
  <c r="Q704" i="2"/>
  <c r="Q705" i="2"/>
  <c r="R706" i="2"/>
  <c r="R707" i="2"/>
  <c r="Q708" i="2"/>
  <c r="Q709" i="2"/>
  <c r="R710" i="2"/>
  <c r="R711" i="2"/>
  <c r="Q712" i="2"/>
  <c r="Q713" i="2"/>
  <c r="R714" i="2"/>
  <c r="R715" i="2"/>
  <c r="Q716" i="2"/>
  <c r="Q717" i="2"/>
  <c r="R718" i="2"/>
  <c r="R719" i="2"/>
  <c r="Q720" i="2"/>
  <c r="Q721" i="2"/>
  <c r="R722" i="2"/>
  <c r="R723" i="2"/>
  <c r="Q724" i="2"/>
  <c r="Q725" i="2"/>
  <c r="R726" i="2"/>
  <c r="R727" i="2"/>
  <c r="Q728" i="2"/>
  <c r="Q729" i="2"/>
  <c r="R730" i="2"/>
  <c r="R731" i="2"/>
  <c r="Q732" i="2"/>
  <c r="Q733" i="2"/>
  <c r="R734" i="2"/>
  <c r="R735" i="2"/>
  <c r="Q736" i="2"/>
  <c r="Q737" i="2"/>
  <c r="R738" i="2"/>
  <c r="R739" i="2"/>
  <c r="Q740" i="2"/>
  <c r="Q741" i="2"/>
  <c r="R742" i="2"/>
  <c r="R743" i="2"/>
  <c r="Q744" i="2"/>
  <c r="Q745" i="2"/>
  <c r="R746" i="2"/>
  <c r="R747" i="2"/>
  <c r="Q748" i="2"/>
  <c r="Q749" i="2"/>
  <c r="R750" i="2"/>
  <c r="R751" i="2"/>
  <c r="Q752" i="2"/>
  <c r="Q753" i="2"/>
  <c r="R754" i="2"/>
  <c r="R755" i="2"/>
  <c r="Q756" i="2"/>
  <c r="Q757" i="2"/>
  <c r="R758" i="2"/>
  <c r="R759" i="2"/>
  <c r="Q760" i="2"/>
  <c r="Q761" i="2"/>
  <c r="R762" i="2"/>
  <c r="R763" i="2"/>
  <c r="Q764" i="2"/>
  <c r="Q765" i="2"/>
  <c r="R766" i="2"/>
  <c r="R767" i="2"/>
  <c r="Q768" i="2"/>
  <c r="Q769" i="2"/>
  <c r="R770" i="2"/>
  <c r="R771" i="2"/>
  <c r="Q772" i="2"/>
  <c r="Q773" i="2"/>
  <c r="R774" i="2"/>
  <c r="R775" i="2"/>
  <c r="Q776" i="2"/>
  <c r="Q777" i="2"/>
  <c r="Q778" i="2"/>
  <c r="R778" i="2"/>
  <c r="Q779" i="2"/>
  <c r="R779" i="2"/>
  <c r="R780" i="2"/>
  <c r="R781" i="2"/>
  <c r="Q782" i="2"/>
  <c r="Q783" i="2"/>
  <c r="R784" i="2"/>
  <c r="R785" i="2"/>
  <c r="Q786" i="2"/>
  <c r="Q787" i="2"/>
  <c r="R788" i="2"/>
  <c r="R789" i="2"/>
  <c r="Q790" i="2"/>
  <c r="Q791" i="2"/>
  <c r="Q792" i="2"/>
  <c r="R792" i="2"/>
  <c r="Q793" i="2"/>
  <c r="R793" i="2"/>
  <c r="R794" i="2"/>
  <c r="R795" i="2"/>
  <c r="Q796" i="2"/>
  <c r="Q797" i="2"/>
  <c r="R798" i="2"/>
  <c r="R799" i="2"/>
  <c r="Q800" i="2"/>
  <c r="Q801" i="2"/>
  <c r="Q802" i="2"/>
  <c r="R802" i="2"/>
  <c r="Q803" i="2"/>
  <c r="R803" i="2"/>
  <c r="R804" i="2"/>
  <c r="R805" i="2"/>
  <c r="Q806" i="2"/>
  <c r="Q807" i="2"/>
  <c r="R808" i="2"/>
  <c r="R809" i="2"/>
  <c r="Q810" i="2"/>
  <c r="Q811" i="2"/>
  <c r="R812" i="2"/>
  <c r="R813" i="2"/>
  <c r="Q814" i="2"/>
  <c r="Q815" i="2"/>
  <c r="R816" i="2"/>
  <c r="R817" i="2"/>
  <c r="Q818" i="2"/>
  <c r="Q819" i="2"/>
  <c r="Q820" i="2"/>
  <c r="R820" i="2"/>
  <c r="Q821" i="2"/>
  <c r="R821" i="2"/>
  <c r="R822" i="2"/>
  <c r="R823" i="2"/>
  <c r="Q824" i="2"/>
  <c r="Q825" i="2"/>
  <c r="R826" i="2"/>
  <c r="R827" i="2"/>
  <c r="Q828" i="2"/>
  <c r="Q829" i="2"/>
  <c r="Q830" i="2"/>
  <c r="R830" i="2"/>
  <c r="Q831" i="2"/>
  <c r="R831" i="2"/>
  <c r="R832" i="2"/>
  <c r="R833" i="2"/>
  <c r="Q834" i="2"/>
  <c r="Q835" i="2"/>
  <c r="R836" i="2"/>
  <c r="R837" i="2"/>
  <c r="Q838" i="2"/>
  <c r="Q839" i="2"/>
  <c r="R840" i="2"/>
  <c r="R841" i="2"/>
  <c r="Q842" i="2"/>
  <c r="Q843" i="2"/>
  <c r="R844" i="2"/>
  <c r="R845" i="2"/>
  <c r="Q846" i="2"/>
  <c r="Q847" i="2"/>
  <c r="R848" i="2"/>
  <c r="R849" i="2"/>
  <c r="Q850" i="2"/>
  <c r="Q851" i="2"/>
  <c r="R852" i="2"/>
  <c r="R853" i="2"/>
  <c r="Q854" i="2"/>
  <c r="Q855" i="2"/>
  <c r="R856" i="2"/>
  <c r="R857" i="2"/>
  <c r="Q858" i="2"/>
  <c r="Q859" i="2"/>
  <c r="R860" i="2"/>
  <c r="R861" i="2"/>
  <c r="Q862" i="2"/>
  <c r="Q863" i="2"/>
  <c r="R864" i="2"/>
  <c r="R865" i="2"/>
  <c r="Q866" i="2"/>
  <c r="Q867" i="2"/>
  <c r="R868" i="2"/>
  <c r="R869" i="2"/>
  <c r="Q870" i="2"/>
  <c r="Q871" i="2"/>
  <c r="R872" i="2"/>
  <c r="R873" i="2"/>
  <c r="Q874" i="2"/>
  <c r="Q875" i="2"/>
  <c r="R876" i="2"/>
  <c r="R877" i="2"/>
  <c r="Q878" i="2"/>
  <c r="Q879" i="2"/>
  <c r="R880" i="2"/>
  <c r="R881" i="2"/>
  <c r="Q882" i="2"/>
  <c r="Q883" i="2"/>
  <c r="R884" i="2"/>
  <c r="R885" i="2"/>
  <c r="Q886" i="2"/>
  <c r="Q887" i="2"/>
  <c r="R888" i="2"/>
  <c r="R889" i="2"/>
  <c r="Q890" i="2"/>
  <c r="Q891" i="2"/>
  <c r="R892" i="2"/>
  <c r="R893" i="2"/>
  <c r="Q894" i="2"/>
  <c r="Q895" i="2"/>
  <c r="R896" i="2"/>
  <c r="R897" i="2"/>
  <c r="Q898" i="2"/>
  <c r="Q899" i="2"/>
  <c r="R900" i="2"/>
  <c r="R901" i="2"/>
  <c r="Q902" i="2"/>
  <c r="Q903" i="2"/>
  <c r="R904" i="2"/>
  <c r="R905" i="2"/>
  <c r="Q906" i="2"/>
  <c r="Q907" i="2"/>
  <c r="R908" i="2"/>
  <c r="R909" i="2"/>
  <c r="Q910" i="2"/>
  <c r="Q911" i="2"/>
  <c r="R912" i="2"/>
  <c r="R913" i="2"/>
  <c r="Q914" i="2"/>
  <c r="Q915" i="2"/>
  <c r="R916" i="2"/>
  <c r="R917" i="2"/>
  <c r="Q918" i="2"/>
  <c r="Q919" i="2"/>
  <c r="Q920" i="2"/>
  <c r="R920" i="2"/>
  <c r="Q921" i="2"/>
  <c r="R921" i="2"/>
  <c r="Q922" i="2"/>
  <c r="R922" i="2"/>
  <c r="Q923" i="2"/>
  <c r="R923" i="2"/>
  <c r="Q924" i="2"/>
  <c r="R924" i="2"/>
  <c r="Q925" i="2"/>
  <c r="R925" i="2"/>
  <c r="Q926" i="2"/>
  <c r="R926" i="2"/>
  <c r="Q927" i="2"/>
  <c r="R927" i="2"/>
  <c r="Q928" i="2"/>
  <c r="R928" i="2"/>
  <c r="R929" i="2"/>
  <c r="R930" i="2"/>
  <c r="Q931" i="2"/>
  <c r="Q932" i="2"/>
  <c r="R933" i="2"/>
  <c r="R934" i="2"/>
  <c r="Q935" i="2"/>
  <c r="Q936" i="2"/>
  <c r="R937" i="2"/>
  <c r="R938" i="2"/>
  <c r="Q939" i="2"/>
  <c r="Q940" i="2"/>
  <c r="R941" i="2"/>
  <c r="R942" i="2"/>
  <c r="Q943" i="2"/>
  <c r="Q944" i="2"/>
  <c r="R945" i="2"/>
  <c r="R946" i="2"/>
  <c r="Q947" i="2"/>
  <c r="Q948" i="2"/>
  <c r="R2" i="2"/>
  <c r="Q7" i="2"/>
  <c r="O8" i="2"/>
  <c r="P8" i="2"/>
  <c r="O10" i="2"/>
  <c r="Q10" i="2" s="1"/>
  <c r="P10" i="2"/>
  <c r="O12" i="2"/>
  <c r="P12" i="2"/>
  <c r="T18" i="2"/>
  <c r="T20" i="2"/>
  <c r="O22" i="2"/>
  <c r="P22" i="2"/>
  <c r="O24" i="2"/>
  <c r="P24" i="2"/>
  <c r="O26" i="2"/>
  <c r="P26" i="2"/>
  <c r="O28" i="2"/>
  <c r="P28" i="2"/>
  <c r="O30" i="2"/>
  <c r="P30" i="2"/>
  <c r="O32" i="2"/>
  <c r="P32" i="2"/>
  <c r="O34" i="2"/>
  <c r="P34" i="2"/>
  <c r="O36" i="2"/>
  <c r="P36" i="2"/>
  <c r="O38" i="2"/>
  <c r="Q38" i="2" s="1"/>
  <c r="P38" i="2"/>
  <c r="O40" i="2"/>
  <c r="P40" i="2"/>
  <c r="O42" i="2"/>
  <c r="Q42" i="2" s="1"/>
  <c r="P42" i="2"/>
  <c r="O44" i="2"/>
  <c r="P44" i="2"/>
  <c r="O46" i="2"/>
  <c r="P46" i="2"/>
  <c r="O48" i="2"/>
  <c r="P48" i="2"/>
  <c r="O50" i="2"/>
  <c r="P50" i="2"/>
  <c r="O54" i="2"/>
  <c r="P54" i="2"/>
  <c r="O58" i="2"/>
  <c r="P58" i="2"/>
  <c r="O60" i="2"/>
  <c r="P60" i="2"/>
  <c r="O62" i="2"/>
  <c r="P62" i="2"/>
  <c r="O64" i="2"/>
  <c r="P64" i="2"/>
  <c r="O66" i="2"/>
  <c r="P66" i="2"/>
  <c r="O68" i="2"/>
  <c r="P68" i="2"/>
  <c r="T72" i="2"/>
  <c r="Q74" i="2"/>
  <c r="Q75" i="2"/>
  <c r="O76" i="2"/>
  <c r="P76" i="2"/>
  <c r="O78" i="2"/>
  <c r="P78" i="2"/>
  <c r="O80" i="2"/>
  <c r="P80" i="2"/>
  <c r="O82" i="2"/>
  <c r="P82" i="2"/>
  <c r="O84" i="2"/>
  <c r="P84" i="2"/>
  <c r="O86" i="2"/>
  <c r="P86" i="2"/>
  <c r="O88" i="2"/>
  <c r="P88" i="2"/>
  <c r="O90" i="2"/>
  <c r="P90" i="2"/>
  <c r="O92" i="2"/>
  <c r="P92" i="2"/>
  <c r="O94" i="2"/>
  <c r="P94" i="2"/>
  <c r="O96" i="2"/>
  <c r="P96" i="2"/>
  <c r="O98" i="2"/>
  <c r="P98" i="2"/>
  <c r="O100" i="2"/>
  <c r="P100" i="2"/>
  <c r="O102" i="2"/>
  <c r="Q102" i="2" s="1"/>
  <c r="P102" i="2"/>
  <c r="O104" i="2"/>
  <c r="P104" i="2"/>
  <c r="Q106" i="2"/>
  <c r="O114" i="2"/>
  <c r="P114" i="2"/>
  <c r="O116" i="2"/>
  <c r="P116" i="2"/>
  <c r="O118" i="2"/>
  <c r="P118" i="2"/>
  <c r="O120" i="2"/>
  <c r="P120" i="2"/>
  <c r="O122" i="2"/>
  <c r="P122" i="2"/>
  <c r="O124" i="2"/>
  <c r="P124" i="2"/>
  <c r="O128" i="2"/>
  <c r="P128" i="2"/>
  <c r="O130" i="2"/>
  <c r="P130" i="2"/>
  <c r="O132" i="2"/>
  <c r="P132" i="2"/>
  <c r="O134" i="2"/>
  <c r="Q134" i="2" s="1"/>
  <c r="P134" i="2"/>
  <c r="O136" i="2"/>
  <c r="P136" i="2"/>
  <c r="O138" i="2"/>
  <c r="Q138" i="2" s="1"/>
  <c r="P138" i="2"/>
  <c r="O144" i="2"/>
  <c r="P144" i="2"/>
  <c r="O154" i="2"/>
  <c r="P154" i="2"/>
  <c r="O156" i="2"/>
  <c r="P156" i="2"/>
  <c r="O158" i="2"/>
  <c r="P158" i="2"/>
  <c r="O160" i="2"/>
  <c r="P160" i="2"/>
  <c r="O162" i="2"/>
  <c r="P162" i="2"/>
  <c r="O164" i="2"/>
  <c r="P164" i="2"/>
  <c r="Q166" i="2"/>
  <c r="O168" i="2"/>
  <c r="P168" i="2"/>
  <c r="O170" i="2"/>
  <c r="Q170" i="2" s="1"/>
  <c r="P170" i="2"/>
  <c r="O172" i="2"/>
  <c r="P172" i="2"/>
  <c r="O174" i="2"/>
  <c r="P174" i="2"/>
  <c r="O176" i="2"/>
  <c r="P176" i="2"/>
  <c r="O178" i="2"/>
  <c r="P178" i="2"/>
  <c r="O180" i="2"/>
  <c r="P180" i="2"/>
  <c r="O182" i="2"/>
  <c r="P182" i="2"/>
  <c r="O184" i="2"/>
  <c r="P184" i="2"/>
  <c r="O186" i="2"/>
  <c r="P186" i="2"/>
  <c r="O188" i="2"/>
  <c r="P188" i="2"/>
  <c r="O190" i="2"/>
  <c r="P190" i="2"/>
  <c r="O192" i="2"/>
  <c r="P192" i="2"/>
  <c r="O194" i="2"/>
  <c r="P194" i="2"/>
  <c r="P196" i="2"/>
  <c r="O198" i="2"/>
  <c r="Q198" i="2" s="1"/>
  <c r="P198" i="2"/>
  <c r="O200" i="2"/>
  <c r="P200" i="2"/>
  <c r="Q202" i="2"/>
  <c r="O206" i="2"/>
  <c r="P206" i="2"/>
  <c r="O208" i="2"/>
  <c r="P208" i="2"/>
  <c r="O210" i="2"/>
  <c r="P210" i="2"/>
  <c r="O212" i="2"/>
  <c r="P212" i="2"/>
  <c r="O214" i="2"/>
  <c r="P214" i="2"/>
  <c r="O216" i="2"/>
  <c r="P216" i="2"/>
  <c r="O218" i="2"/>
  <c r="P218" i="2"/>
  <c r="O220" i="2"/>
  <c r="P220" i="2"/>
  <c r="O222" i="2"/>
  <c r="P222" i="2"/>
  <c r="O224" i="2"/>
  <c r="P224" i="2"/>
  <c r="O226" i="2"/>
  <c r="P226" i="2"/>
  <c r="O228" i="2"/>
  <c r="P228" i="2"/>
  <c r="O230" i="2"/>
  <c r="Q230" i="2" s="1"/>
  <c r="P230" i="2"/>
  <c r="O232" i="2"/>
  <c r="P232" i="2"/>
  <c r="O234" i="2"/>
  <c r="Q234" i="2" s="1"/>
  <c r="P234" i="2"/>
  <c r="O236" i="2"/>
  <c r="P236" i="2"/>
  <c r="O238" i="2"/>
  <c r="P238" i="2"/>
  <c r="O240" i="2"/>
  <c r="P240" i="2"/>
  <c r="O242" i="2"/>
  <c r="P242" i="2"/>
  <c r="O244" i="2"/>
  <c r="P244" i="2"/>
  <c r="O246" i="2"/>
  <c r="P246" i="2"/>
  <c r="O248" i="2"/>
  <c r="P248" i="2"/>
  <c r="O250" i="2"/>
  <c r="P250" i="2"/>
  <c r="O252" i="2"/>
  <c r="P252" i="2"/>
  <c r="O254" i="2"/>
  <c r="P254" i="2"/>
  <c r="O256" i="2"/>
  <c r="P256" i="2"/>
  <c r="O258" i="2"/>
  <c r="P258" i="2"/>
  <c r="O260" i="2"/>
  <c r="P260" i="2"/>
  <c r="O262" i="2"/>
  <c r="Q262" i="2" s="1"/>
  <c r="P262" i="2"/>
  <c r="O264" i="2"/>
  <c r="P264" i="2"/>
  <c r="O266" i="2"/>
  <c r="Q266" i="2" s="1"/>
  <c r="P266" i="2"/>
  <c r="O268" i="2"/>
  <c r="P268" i="2"/>
  <c r="O270" i="2"/>
  <c r="P270" i="2"/>
  <c r="O272" i="2"/>
  <c r="P272" i="2"/>
  <c r="O274" i="2"/>
  <c r="P274" i="2"/>
  <c r="O276" i="2"/>
  <c r="P276" i="2"/>
  <c r="O278" i="2"/>
  <c r="P278" i="2"/>
  <c r="O280" i="2"/>
  <c r="P280" i="2"/>
  <c r="O282" i="2"/>
  <c r="P282" i="2"/>
  <c r="O284" i="2"/>
  <c r="P284" i="2"/>
  <c r="O286" i="2"/>
  <c r="P286" i="2"/>
  <c r="O288" i="2"/>
  <c r="P288" i="2"/>
  <c r="O290" i="2"/>
  <c r="P290" i="2"/>
  <c r="O292" i="2"/>
  <c r="P292" i="2"/>
  <c r="O294" i="2"/>
  <c r="Q294" i="2" s="1"/>
  <c r="P294" i="2"/>
  <c r="O296" i="2"/>
  <c r="P296" i="2"/>
  <c r="O298" i="2"/>
  <c r="Q298" i="2" s="1"/>
  <c r="P298" i="2"/>
  <c r="O300" i="2"/>
  <c r="P300" i="2"/>
  <c r="O302" i="2"/>
  <c r="P302" i="2"/>
  <c r="O303" i="2"/>
  <c r="Q303" i="2" s="1"/>
  <c r="P303" i="2"/>
  <c r="O305" i="2"/>
  <c r="R305" i="2" s="1"/>
  <c r="P305" i="2"/>
  <c r="O306" i="2"/>
  <c r="P306" i="2"/>
  <c r="O308" i="2"/>
  <c r="P308" i="2"/>
  <c r="O310" i="2"/>
  <c r="P310" i="2"/>
  <c r="O312" i="2"/>
  <c r="P312" i="2"/>
  <c r="O314" i="2"/>
  <c r="P314" i="2"/>
  <c r="O316" i="2"/>
  <c r="P316" i="2"/>
  <c r="O318" i="2"/>
  <c r="P318" i="2"/>
  <c r="O320" i="2"/>
  <c r="P320" i="2"/>
  <c r="O322" i="2"/>
  <c r="P322" i="2"/>
  <c r="O324" i="2"/>
  <c r="P324" i="2"/>
  <c r="O326" i="2"/>
  <c r="Q326" i="2" s="1"/>
  <c r="P326" i="2"/>
  <c r="O328" i="2"/>
  <c r="P328" i="2"/>
  <c r="Q330" i="2"/>
  <c r="O334" i="2"/>
  <c r="P334" i="2"/>
  <c r="O342" i="2"/>
  <c r="P342" i="2"/>
  <c r="O344" i="2"/>
  <c r="P344" i="2"/>
  <c r="O346" i="2"/>
  <c r="P346" i="2"/>
  <c r="O348" i="2"/>
  <c r="P348" i="2"/>
  <c r="O350" i="2"/>
  <c r="Q350" i="2" s="1"/>
  <c r="P350" i="2"/>
  <c r="O352" i="2"/>
  <c r="P352" i="2"/>
  <c r="O354" i="2"/>
  <c r="P354" i="2"/>
  <c r="O356" i="2"/>
  <c r="P356" i="2"/>
  <c r="O358" i="2"/>
  <c r="P358" i="2"/>
  <c r="O360" i="2"/>
  <c r="P360" i="2"/>
  <c r="O362" i="2"/>
  <c r="P362" i="2"/>
  <c r="O364" i="2"/>
  <c r="P364" i="2"/>
  <c r="O366" i="2"/>
  <c r="Q366" i="2" s="1"/>
  <c r="P366" i="2"/>
  <c r="O368" i="2"/>
  <c r="P368" i="2"/>
  <c r="O370" i="2"/>
  <c r="Q370" i="2" s="1"/>
  <c r="P370" i="2"/>
  <c r="O372" i="2"/>
  <c r="P372" i="2"/>
  <c r="O374" i="2"/>
  <c r="P374" i="2"/>
  <c r="O376" i="2"/>
  <c r="P376" i="2"/>
  <c r="O378" i="2"/>
  <c r="P378" i="2"/>
  <c r="O380" i="2"/>
  <c r="P380" i="2"/>
  <c r="Q382" i="2"/>
  <c r="O390" i="2"/>
  <c r="P390" i="2"/>
  <c r="O392" i="2"/>
  <c r="P392" i="2"/>
  <c r="O394" i="2"/>
  <c r="P394" i="2"/>
  <c r="O396" i="2"/>
  <c r="P396" i="2"/>
  <c r="O398" i="2"/>
  <c r="Q398" i="2" s="1"/>
  <c r="P398" i="2"/>
  <c r="O400" i="2"/>
  <c r="P400" i="2"/>
  <c r="O402" i="2"/>
  <c r="Q402" i="2" s="1"/>
  <c r="P402" i="2"/>
  <c r="O404" i="2"/>
  <c r="P404" i="2"/>
  <c r="O406" i="2"/>
  <c r="P406" i="2"/>
  <c r="O408" i="2"/>
  <c r="P408" i="2"/>
  <c r="O410" i="2"/>
  <c r="P410" i="2"/>
  <c r="O412" i="2"/>
  <c r="P412" i="2"/>
  <c r="O414" i="2"/>
  <c r="Q414" i="2" s="1"/>
  <c r="P414" i="2"/>
  <c r="O415" i="2"/>
  <c r="Q415" i="2" s="1"/>
  <c r="P415" i="2"/>
  <c r="O417" i="2"/>
  <c r="R417" i="2" s="1"/>
  <c r="P417" i="2"/>
  <c r="O419" i="2"/>
  <c r="Q419" i="2" s="1"/>
  <c r="P419" i="2"/>
  <c r="O421" i="2"/>
  <c r="R421" i="2" s="1"/>
  <c r="P421" i="2"/>
  <c r="O423" i="2"/>
  <c r="Q423" i="2" s="1"/>
  <c r="P423" i="2"/>
  <c r="O425" i="2"/>
  <c r="R425" i="2" s="1"/>
  <c r="P425" i="2"/>
  <c r="O427" i="2"/>
  <c r="Q427" i="2" s="1"/>
  <c r="P427" i="2"/>
  <c r="O429" i="2"/>
  <c r="R429" i="2" s="1"/>
  <c r="P429" i="2"/>
  <c r="O431" i="2"/>
  <c r="Q431" i="2" s="1"/>
  <c r="P431" i="2"/>
  <c r="O433" i="2"/>
  <c r="R433" i="2" s="1"/>
  <c r="P433" i="2"/>
  <c r="O435" i="2"/>
  <c r="Q435" i="2" s="1"/>
  <c r="P435" i="2"/>
  <c r="O437" i="2"/>
  <c r="R437" i="2" s="1"/>
  <c r="P437" i="2"/>
  <c r="O439" i="2"/>
  <c r="Q439" i="2" s="1"/>
  <c r="P439" i="2"/>
  <c r="O441" i="2"/>
  <c r="R441" i="2" s="1"/>
  <c r="P441" i="2"/>
  <c r="O443" i="2"/>
  <c r="Q443" i="2" s="1"/>
  <c r="P443" i="2"/>
  <c r="O445" i="2"/>
  <c r="R445" i="2" s="1"/>
  <c r="P445" i="2"/>
  <c r="O447" i="2"/>
  <c r="Q447" i="2" s="1"/>
  <c r="P447" i="2"/>
  <c r="O449" i="2"/>
  <c r="R449" i="2" s="1"/>
  <c r="P449" i="2"/>
  <c r="O451" i="2"/>
  <c r="Q451" i="2" s="1"/>
  <c r="P451" i="2"/>
  <c r="O453" i="2"/>
  <c r="R453" i="2" s="1"/>
  <c r="P453" i="2"/>
  <c r="O455" i="2"/>
  <c r="Q455" i="2" s="1"/>
  <c r="P455" i="2"/>
  <c r="O457" i="2"/>
  <c r="R457" i="2" s="1"/>
  <c r="P457" i="2"/>
  <c r="O459" i="2"/>
  <c r="Q459" i="2" s="1"/>
  <c r="P459" i="2"/>
  <c r="O461" i="2"/>
  <c r="R461" i="2" s="1"/>
  <c r="P461" i="2"/>
  <c r="O463" i="2"/>
  <c r="Q463" i="2" s="1"/>
  <c r="P463" i="2"/>
  <c r="O465" i="2"/>
  <c r="R465" i="2" s="1"/>
  <c r="P465" i="2"/>
  <c r="O467" i="2"/>
  <c r="Q467" i="2" s="1"/>
  <c r="P467" i="2"/>
  <c r="O469" i="2"/>
  <c r="R469" i="2" s="1"/>
  <c r="P469" i="2"/>
  <c r="Q471" i="2"/>
  <c r="R473" i="2"/>
  <c r="O474" i="2"/>
  <c r="Q474" i="2" s="1"/>
  <c r="P474" i="2"/>
  <c r="O476" i="2"/>
  <c r="P476" i="2"/>
  <c r="O478" i="2"/>
  <c r="Q478" i="2" s="1"/>
  <c r="P478" i="2"/>
  <c r="O480" i="2"/>
  <c r="P480" i="2"/>
  <c r="O482" i="2"/>
  <c r="P482" i="2"/>
  <c r="O484" i="2"/>
  <c r="P484" i="2"/>
  <c r="O490" i="2"/>
  <c r="Q490" i="2" s="1"/>
  <c r="P490" i="2"/>
  <c r="O492" i="2"/>
  <c r="P492" i="2"/>
  <c r="Q494" i="2"/>
  <c r="O498" i="2"/>
  <c r="P498" i="2"/>
  <c r="O500" i="2"/>
  <c r="P500" i="2"/>
  <c r="O502" i="2"/>
  <c r="P502" i="2"/>
  <c r="O504" i="2"/>
  <c r="P504" i="2"/>
  <c r="O506" i="2"/>
  <c r="Q506" i="2" s="1"/>
  <c r="P506" i="2"/>
  <c r="O508" i="2"/>
  <c r="P508" i="2"/>
  <c r="Q510" i="2"/>
  <c r="P510" i="2"/>
  <c r="O512" i="2"/>
  <c r="P512" i="2"/>
  <c r="O514" i="2"/>
  <c r="P514" i="2"/>
  <c r="O515" i="2"/>
  <c r="Q515" i="2" s="1"/>
  <c r="P515" i="2"/>
  <c r="O516" i="2"/>
  <c r="P516" i="2"/>
  <c r="O518" i="2"/>
  <c r="P518" i="2"/>
  <c r="O520" i="2"/>
  <c r="P520" i="2"/>
  <c r="O522" i="2"/>
  <c r="P522" i="2"/>
  <c r="P524" i="2"/>
  <c r="R526" i="2"/>
  <c r="P526" i="2"/>
  <c r="P528" i="2"/>
  <c r="O530" i="2"/>
  <c r="P530" i="2"/>
  <c r="O532" i="2"/>
  <c r="P532" i="2"/>
  <c r="O534" i="2"/>
  <c r="P534" i="2"/>
  <c r="O536" i="2"/>
  <c r="P536" i="2"/>
  <c r="O540" i="2"/>
  <c r="P540" i="2"/>
  <c r="O542" i="2"/>
  <c r="R542" i="2" s="1"/>
  <c r="P542" i="2"/>
  <c r="O548" i="2"/>
  <c r="P548" i="2"/>
  <c r="O550" i="2"/>
  <c r="P550" i="2"/>
  <c r="O552" i="2"/>
  <c r="P552" i="2"/>
  <c r="O554" i="2"/>
  <c r="P554" i="2"/>
  <c r="O556" i="2"/>
  <c r="P556" i="2"/>
  <c r="O558" i="2"/>
  <c r="R558" i="2" s="1"/>
  <c r="P558" i="2"/>
  <c r="O560" i="2"/>
  <c r="P560" i="2"/>
  <c r="O562" i="2"/>
  <c r="P562" i="2"/>
  <c r="O564" i="2"/>
  <c r="P564" i="2"/>
  <c r="O566" i="2"/>
  <c r="P566" i="2"/>
  <c r="O568" i="2"/>
  <c r="P568" i="2"/>
  <c r="O570" i="2"/>
  <c r="R570" i="2" s="1"/>
  <c r="P570" i="2"/>
  <c r="O572" i="2"/>
  <c r="P572" i="2"/>
  <c r="O574" i="2"/>
  <c r="R574" i="2" s="1"/>
  <c r="P574" i="2"/>
  <c r="O576" i="2"/>
  <c r="P576" i="2"/>
  <c r="O578" i="2"/>
  <c r="P578" i="2"/>
  <c r="P580" i="2"/>
  <c r="P582" i="2"/>
  <c r="O584" i="2"/>
  <c r="P584" i="2"/>
  <c r="O586" i="2"/>
  <c r="P586" i="2"/>
  <c r="O587" i="2"/>
  <c r="Q587" i="2" s="1"/>
  <c r="P587" i="2"/>
  <c r="O589" i="2"/>
  <c r="R589" i="2" s="1"/>
  <c r="P589" i="2"/>
  <c r="O591" i="2"/>
  <c r="Q591" i="2" s="1"/>
  <c r="P591" i="2"/>
  <c r="O593" i="2"/>
  <c r="R593" i="2" s="1"/>
  <c r="P593" i="2"/>
  <c r="O595" i="2"/>
  <c r="Q595" i="2" s="1"/>
  <c r="P595" i="2"/>
  <c r="O597" i="2"/>
  <c r="R597" i="2" s="1"/>
  <c r="P597" i="2"/>
  <c r="T599" i="2"/>
  <c r="T601" i="2"/>
  <c r="T602" i="2"/>
  <c r="T604" i="2"/>
  <c r="T605" i="2"/>
  <c r="T606" i="2"/>
  <c r="T607" i="2"/>
  <c r="T608" i="2"/>
  <c r="O609" i="2"/>
  <c r="Q609" i="2" s="1"/>
  <c r="P609" i="2"/>
  <c r="O611" i="2"/>
  <c r="R611" i="2" s="1"/>
  <c r="P611" i="2"/>
  <c r="O613" i="2"/>
  <c r="Q613" i="2" s="1"/>
  <c r="P613" i="2"/>
  <c r="O615" i="2"/>
  <c r="R615" i="2" s="1"/>
  <c r="P615" i="2"/>
  <c r="O617" i="2"/>
  <c r="Q617" i="2" s="1"/>
  <c r="P617" i="2"/>
  <c r="O619" i="2"/>
  <c r="R619" i="2" s="1"/>
  <c r="P619" i="2"/>
  <c r="O621" i="2"/>
  <c r="Q621" i="2" s="1"/>
  <c r="P621" i="2"/>
  <c r="O623" i="2"/>
  <c r="R623" i="2" s="1"/>
  <c r="P623" i="2"/>
  <c r="O625" i="2"/>
  <c r="Q625" i="2" s="1"/>
  <c r="P625" i="2"/>
  <c r="O627" i="2"/>
  <c r="R627" i="2" s="1"/>
  <c r="P627" i="2"/>
  <c r="O629" i="2"/>
  <c r="Q629" i="2" s="1"/>
  <c r="P629" i="2"/>
  <c r="O631" i="2"/>
  <c r="R631" i="2" s="1"/>
  <c r="P631" i="2"/>
  <c r="O633" i="2"/>
  <c r="Q633" i="2" s="1"/>
  <c r="P633" i="2"/>
  <c r="O635" i="2"/>
  <c r="R635" i="2" s="1"/>
  <c r="P635" i="2"/>
  <c r="O637" i="2"/>
  <c r="Q637" i="2" s="1"/>
  <c r="P637" i="2"/>
  <c r="O639" i="2"/>
  <c r="R639" i="2" s="1"/>
  <c r="P639" i="2"/>
  <c r="O641" i="2"/>
  <c r="Q641" i="2" s="1"/>
  <c r="P641" i="2"/>
  <c r="O643" i="2"/>
  <c r="R643" i="2" s="1"/>
  <c r="P643" i="2"/>
  <c r="O645" i="2"/>
  <c r="Q645" i="2" s="1"/>
  <c r="P645" i="2"/>
  <c r="O647" i="2"/>
  <c r="R647" i="2" s="1"/>
  <c r="P647" i="2"/>
  <c r="O649" i="2"/>
  <c r="Q649" i="2" s="1"/>
  <c r="P649" i="2"/>
  <c r="O651" i="2"/>
  <c r="R651" i="2" s="1"/>
  <c r="P651" i="2"/>
  <c r="O653" i="2"/>
  <c r="Q653" i="2" s="1"/>
  <c r="P653" i="2"/>
  <c r="O655" i="2"/>
  <c r="R655" i="2" s="1"/>
  <c r="P655" i="2"/>
  <c r="O657" i="2"/>
  <c r="Q657" i="2" s="1"/>
  <c r="P657" i="2"/>
  <c r="O659" i="2"/>
  <c r="R659" i="2" s="1"/>
  <c r="P659" i="2"/>
  <c r="O661" i="2"/>
  <c r="Q661" i="2" s="1"/>
  <c r="P661" i="2"/>
  <c r="O663" i="2"/>
  <c r="R663" i="2" s="1"/>
  <c r="P663" i="2"/>
  <c r="O665" i="2"/>
  <c r="Q665" i="2" s="1"/>
  <c r="P665" i="2"/>
  <c r="O667" i="2"/>
  <c r="R667" i="2" s="1"/>
  <c r="P667" i="2"/>
  <c r="O669" i="2"/>
  <c r="Q669" i="2" s="1"/>
  <c r="P669" i="2"/>
  <c r="O671" i="2"/>
  <c r="R671" i="2" s="1"/>
  <c r="P671" i="2"/>
  <c r="O673" i="2"/>
  <c r="Q673" i="2" s="1"/>
  <c r="P673" i="2"/>
  <c r="O675" i="2"/>
  <c r="R675" i="2" s="1"/>
  <c r="P675" i="2"/>
  <c r="O677" i="2"/>
  <c r="P677" i="2"/>
  <c r="O678" i="2"/>
  <c r="T678" i="2" s="1"/>
  <c r="P678" i="2"/>
  <c r="O679" i="2"/>
  <c r="T679" i="2" s="1"/>
  <c r="P679" i="2"/>
  <c r="O680" i="2"/>
  <c r="T680" i="2" s="1"/>
  <c r="P680" i="2"/>
  <c r="O681" i="2"/>
  <c r="T681" i="2" s="1"/>
  <c r="P681" i="2"/>
  <c r="O682" i="2"/>
  <c r="T682" i="2" s="1"/>
  <c r="P682" i="2"/>
  <c r="O683" i="2"/>
  <c r="T683" i="2" s="1"/>
  <c r="P683" i="2"/>
  <c r="O684" i="2"/>
  <c r="T684" i="2" s="1"/>
  <c r="P684" i="2"/>
  <c r="O685" i="2"/>
  <c r="T685" i="2" s="1"/>
  <c r="P685" i="2"/>
  <c r="O686" i="2"/>
  <c r="P686" i="2"/>
  <c r="O687" i="2"/>
  <c r="Q687" i="2" s="1"/>
  <c r="P687" i="2"/>
  <c r="O688" i="2"/>
  <c r="R688" i="2" s="1"/>
  <c r="P688" i="2"/>
  <c r="O690" i="2"/>
  <c r="P690" i="2"/>
  <c r="O692" i="2"/>
  <c r="R692" i="2" s="1"/>
  <c r="P692" i="2"/>
  <c r="O694" i="2"/>
  <c r="P694" i="2"/>
  <c r="O696" i="2"/>
  <c r="R696" i="2" s="1"/>
  <c r="P696" i="2"/>
  <c r="O698" i="2"/>
  <c r="P698" i="2"/>
  <c r="O700" i="2"/>
  <c r="R700" i="2" s="1"/>
  <c r="P700" i="2"/>
  <c r="O702" i="2"/>
  <c r="P702" i="2"/>
  <c r="O704" i="2"/>
  <c r="R704" i="2" s="1"/>
  <c r="P704" i="2"/>
  <c r="O706" i="2"/>
  <c r="P706" i="2"/>
  <c r="O708" i="2"/>
  <c r="R708" i="2" s="1"/>
  <c r="P708" i="2"/>
  <c r="O710" i="2"/>
  <c r="P710" i="2"/>
  <c r="O712" i="2"/>
  <c r="R712" i="2" s="1"/>
  <c r="P712" i="2"/>
  <c r="O714" i="2"/>
  <c r="P714" i="2"/>
  <c r="O716" i="2"/>
  <c r="R716" i="2" s="1"/>
  <c r="P716" i="2"/>
  <c r="O718" i="2"/>
  <c r="P718" i="2"/>
  <c r="O720" i="2"/>
  <c r="R720" i="2" s="1"/>
  <c r="P720" i="2"/>
  <c r="P722" i="2"/>
  <c r="O724" i="2"/>
  <c r="R724" i="2" s="1"/>
  <c r="P724" i="2"/>
  <c r="O726" i="2"/>
  <c r="P726" i="2"/>
  <c r="O728" i="2"/>
  <c r="R728" i="2" s="1"/>
  <c r="P728" i="2"/>
  <c r="O730" i="2"/>
  <c r="P730" i="2"/>
  <c r="O732" i="2"/>
  <c r="R732" i="2" s="1"/>
  <c r="P732" i="2"/>
  <c r="O734" i="2"/>
  <c r="P734" i="2"/>
  <c r="O736" i="2"/>
  <c r="R736" i="2" s="1"/>
  <c r="P736" i="2"/>
  <c r="P738" i="2"/>
  <c r="R740" i="2"/>
  <c r="P740" i="2"/>
  <c r="R744" i="2"/>
  <c r="O746" i="2"/>
  <c r="P746" i="2"/>
  <c r="O748" i="2"/>
  <c r="R748" i="2" s="1"/>
  <c r="P748" i="2"/>
  <c r="O750" i="2"/>
  <c r="P750" i="2"/>
  <c r="O752" i="2"/>
  <c r="R752" i="2" s="1"/>
  <c r="P752" i="2"/>
  <c r="O754" i="2"/>
  <c r="P754" i="2"/>
  <c r="O756" i="2"/>
  <c r="R756" i="2" s="1"/>
  <c r="P756" i="2"/>
  <c r="O758" i="2"/>
  <c r="P758" i="2"/>
  <c r="O760" i="2"/>
  <c r="R760" i="2" s="1"/>
  <c r="P760" i="2"/>
  <c r="O762" i="2"/>
  <c r="P762" i="2"/>
  <c r="O764" i="2"/>
  <c r="R764" i="2" s="1"/>
  <c r="P764" i="2"/>
  <c r="O766" i="2"/>
  <c r="P766" i="2"/>
  <c r="O768" i="2"/>
  <c r="R768" i="2" s="1"/>
  <c r="P768" i="2"/>
  <c r="O770" i="2"/>
  <c r="P770" i="2"/>
  <c r="O772" i="2"/>
  <c r="R772" i="2" s="1"/>
  <c r="P772" i="2"/>
  <c r="O774" i="2"/>
  <c r="P774" i="2"/>
  <c r="O776" i="2"/>
  <c r="R776" i="2" s="1"/>
  <c r="P776" i="2"/>
  <c r="O778" i="2"/>
  <c r="T778" i="2" s="1"/>
  <c r="P778" i="2"/>
  <c r="O780" i="2"/>
  <c r="Q780" i="2" s="1"/>
  <c r="P780" i="2"/>
  <c r="O782" i="2"/>
  <c r="P782" i="2"/>
  <c r="O784" i="2"/>
  <c r="Q784" i="2" s="1"/>
  <c r="P784" i="2"/>
  <c r="O786" i="2"/>
  <c r="P786" i="2"/>
  <c r="O788" i="2"/>
  <c r="Q788" i="2" s="1"/>
  <c r="P788" i="2"/>
  <c r="O790" i="2"/>
  <c r="P790" i="2"/>
  <c r="O792" i="2"/>
  <c r="T792" i="2" s="1"/>
  <c r="P792" i="2"/>
  <c r="O794" i="2"/>
  <c r="T794" i="2" s="1"/>
  <c r="P794" i="2"/>
  <c r="O796" i="2"/>
  <c r="R796" i="2" s="1"/>
  <c r="P796" i="2"/>
  <c r="O798" i="2"/>
  <c r="P798" i="2"/>
  <c r="O800" i="2"/>
  <c r="R800" i="2" s="1"/>
  <c r="P800" i="2"/>
  <c r="O802" i="2"/>
  <c r="T802" i="2" s="1"/>
  <c r="P802" i="2"/>
  <c r="O804" i="2"/>
  <c r="Q804" i="2" s="1"/>
  <c r="P804" i="2"/>
  <c r="O806" i="2"/>
  <c r="P806" i="2"/>
  <c r="O808" i="2"/>
  <c r="Q808" i="2" s="1"/>
  <c r="P808" i="2"/>
  <c r="O810" i="2"/>
  <c r="P810" i="2"/>
  <c r="O812" i="2"/>
  <c r="Q812" i="2" s="1"/>
  <c r="P812" i="2"/>
  <c r="O814" i="2"/>
  <c r="P814" i="2"/>
  <c r="O816" i="2"/>
  <c r="Q816" i="2" s="1"/>
  <c r="P816" i="2"/>
  <c r="O818" i="2"/>
  <c r="P818" i="2"/>
  <c r="O820" i="2"/>
  <c r="T820" i="2" s="1"/>
  <c r="P820" i="2"/>
  <c r="O821" i="2"/>
  <c r="T821" i="2" s="1"/>
  <c r="P821" i="2"/>
  <c r="O822" i="2"/>
  <c r="P822" i="2"/>
  <c r="O823" i="2"/>
  <c r="Q823" i="2" s="1"/>
  <c r="P823" i="2"/>
  <c r="O824" i="2"/>
  <c r="R824" i="2" s="1"/>
  <c r="P824" i="2"/>
  <c r="O825" i="2"/>
  <c r="R825" i="2" s="1"/>
  <c r="P825" i="2"/>
  <c r="O826" i="2"/>
  <c r="P826" i="2"/>
  <c r="O827" i="2"/>
  <c r="Q827" i="2" s="1"/>
  <c r="P827" i="2"/>
  <c r="O828" i="2"/>
  <c r="R828" i="2" s="1"/>
  <c r="P828" i="2"/>
  <c r="O829" i="2"/>
  <c r="R829" i="2" s="1"/>
  <c r="P829" i="2"/>
  <c r="O830" i="2"/>
  <c r="T830" i="2" s="1"/>
  <c r="P830" i="2"/>
  <c r="O832" i="2"/>
  <c r="Q832" i="2" s="1"/>
  <c r="P832" i="2"/>
  <c r="O834" i="2"/>
  <c r="P834" i="2"/>
  <c r="O836" i="2"/>
  <c r="Q836" i="2" s="1"/>
  <c r="P836" i="2"/>
  <c r="O838" i="2"/>
  <c r="P838" i="2"/>
  <c r="O840" i="2"/>
  <c r="Q840" i="2" s="1"/>
  <c r="P840" i="2"/>
  <c r="O842" i="2"/>
  <c r="P842" i="2"/>
  <c r="O844" i="2"/>
  <c r="Q844" i="2" s="1"/>
  <c r="P844" i="2"/>
  <c r="O846" i="2"/>
  <c r="P846" i="2"/>
  <c r="O848" i="2"/>
  <c r="Q848" i="2" s="1"/>
  <c r="P848" i="2"/>
  <c r="O850" i="2"/>
  <c r="P850" i="2"/>
  <c r="O852" i="2"/>
  <c r="Q852" i="2" s="1"/>
  <c r="P852" i="2"/>
  <c r="O854" i="2"/>
  <c r="P854" i="2"/>
  <c r="O856" i="2"/>
  <c r="Q856" i="2" s="1"/>
  <c r="P856" i="2"/>
  <c r="O858" i="2"/>
  <c r="P858" i="2"/>
  <c r="O860" i="2"/>
  <c r="Q860" i="2" s="1"/>
  <c r="P860" i="2"/>
  <c r="O862" i="2"/>
  <c r="P862" i="2"/>
  <c r="Q864" i="2"/>
  <c r="Q868" i="2"/>
  <c r="O872" i="2"/>
  <c r="Q872" i="2" s="1"/>
  <c r="P872" i="2"/>
  <c r="O874" i="2"/>
  <c r="P874" i="2"/>
  <c r="O876" i="2"/>
  <c r="Q876" i="2" s="1"/>
  <c r="P876" i="2"/>
  <c r="O878" i="2"/>
  <c r="P878" i="2"/>
  <c r="O880" i="2"/>
  <c r="Q880" i="2" s="1"/>
  <c r="P880" i="2"/>
  <c r="O881" i="2"/>
  <c r="Q881" i="2" s="1"/>
  <c r="P881" i="2"/>
  <c r="O882" i="2"/>
  <c r="T882" i="2" s="1"/>
  <c r="P882" i="2"/>
  <c r="O884" i="2"/>
  <c r="P884" i="2"/>
  <c r="O886" i="2"/>
  <c r="P886" i="2"/>
  <c r="O888" i="2"/>
  <c r="Q888" i="2" s="1"/>
  <c r="P888" i="2"/>
  <c r="O890" i="2"/>
  <c r="T890" i="2" s="1"/>
  <c r="P890" i="2"/>
  <c r="Q892" i="2"/>
  <c r="O896" i="2"/>
  <c r="Q896" i="2" s="1"/>
  <c r="P896" i="2"/>
  <c r="O898" i="2"/>
  <c r="T898" i="2" s="1"/>
  <c r="P898" i="2"/>
  <c r="O900" i="2"/>
  <c r="P900" i="2"/>
  <c r="O902" i="2"/>
  <c r="P902" i="2"/>
  <c r="O904" i="2"/>
  <c r="Q904" i="2" s="1"/>
  <c r="P904" i="2"/>
  <c r="O906" i="2"/>
  <c r="T906" i="2" s="1"/>
  <c r="P906" i="2"/>
  <c r="Q908" i="2"/>
  <c r="Q912" i="2"/>
  <c r="T914" i="2"/>
  <c r="O916" i="2"/>
  <c r="P916" i="2"/>
  <c r="O918" i="2"/>
  <c r="P918" i="2"/>
  <c r="T920" i="2"/>
  <c r="T926" i="2"/>
  <c r="Q929" i="2"/>
  <c r="R931" i="2"/>
  <c r="O933" i="2"/>
  <c r="Q933" i="2" s="1"/>
  <c r="P933" i="2"/>
  <c r="O935" i="2"/>
  <c r="R935" i="2" s="1"/>
  <c r="P935" i="2"/>
  <c r="O937" i="2"/>
  <c r="Q937" i="2" s="1"/>
  <c r="P937" i="2"/>
  <c r="O939" i="2"/>
  <c r="R939" i="2" s="1"/>
  <c r="P939" i="2"/>
  <c r="O941" i="2"/>
  <c r="Q941" i="2" s="1"/>
  <c r="P941" i="2"/>
  <c r="O943" i="2"/>
  <c r="R943" i="2" s="1"/>
  <c r="P943" i="2"/>
  <c r="Q945" i="2"/>
  <c r="R947" i="2"/>
  <c r="T948" i="2"/>
  <c r="T7" i="2"/>
  <c r="T38" i="2"/>
  <c r="T42" i="2"/>
  <c r="T70" i="2"/>
  <c r="T138" i="2"/>
  <c r="T166" i="2"/>
  <c r="T170" i="2"/>
  <c r="T198" i="2"/>
  <c r="T202" i="2"/>
  <c r="T230" i="2"/>
  <c r="T234" i="2"/>
  <c r="T262" i="2"/>
  <c r="T266" i="2"/>
  <c r="T298" i="2"/>
  <c r="T305" i="2"/>
  <c r="T415" i="2"/>
  <c r="T419" i="2"/>
  <c r="T427" i="2"/>
  <c r="T435" i="2"/>
  <c r="T441" i="2"/>
  <c r="T443" i="2"/>
  <c r="T447" i="2"/>
  <c r="T451" i="2"/>
  <c r="T455" i="2"/>
  <c r="T459" i="2"/>
  <c r="T463" i="2"/>
  <c r="T467" i="2"/>
  <c r="T471" i="2"/>
  <c r="T473" i="2"/>
  <c r="T494" i="2"/>
  <c r="T506" i="2"/>
  <c r="T510" i="2"/>
  <c r="T574" i="2"/>
  <c r="T600" i="2"/>
  <c r="T603" i="2"/>
  <c r="T611" i="2"/>
  <c r="T621" i="2"/>
  <c r="T623" i="2"/>
  <c r="T641" i="2"/>
  <c r="T657" i="2"/>
  <c r="T677" i="2"/>
  <c r="T688" i="2"/>
  <c r="T716" i="2"/>
  <c r="T844" i="2"/>
  <c r="T929" i="2"/>
  <c r="T941" i="2"/>
  <c r="T949" i="2"/>
  <c r="T950" i="2"/>
  <c r="T951" i="2"/>
  <c r="T952" i="2"/>
  <c r="T953" i="2"/>
  <c r="T954" i="2"/>
  <c r="T955" i="2"/>
  <c r="T956" i="2"/>
  <c r="T957" i="2"/>
  <c r="T958" i="2"/>
  <c r="T959" i="2"/>
  <c r="T960" i="2"/>
  <c r="T961" i="2"/>
  <c r="T962" i="2"/>
  <c r="T963" i="2"/>
  <c r="T964" i="2"/>
  <c r="T965" i="2"/>
  <c r="T966" i="2"/>
  <c r="T967" i="2"/>
  <c r="T968" i="2"/>
  <c r="P4" i="2"/>
  <c r="P949" i="2"/>
  <c r="P950" i="2"/>
  <c r="P951" i="2"/>
  <c r="P952" i="2"/>
  <c r="P953" i="2"/>
  <c r="P954" i="2"/>
  <c r="P955" i="2"/>
  <c r="P956" i="2"/>
  <c r="P957" i="2"/>
  <c r="P958" i="2"/>
  <c r="P959" i="2"/>
  <c r="P960" i="2"/>
  <c r="P961" i="2"/>
  <c r="P962" i="2"/>
  <c r="P963" i="2"/>
  <c r="P964" i="2"/>
  <c r="P965" i="2"/>
  <c r="P966" i="2"/>
  <c r="P967" i="2"/>
  <c r="P968" i="2"/>
  <c r="P2" i="2"/>
  <c r="L331" i="2"/>
  <c r="L333" i="2"/>
  <c r="L335" i="2"/>
  <c r="Q335" i="2" s="1"/>
  <c r="L337" i="2"/>
  <c r="R337" i="2" s="1"/>
  <c r="L339" i="2"/>
  <c r="L341" i="2"/>
  <c r="L413" i="2"/>
  <c r="L15" i="2"/>
  <c r="Q15" i="2" s="1"/>
  <c r="L17" i="2"/>
  <c r="R17" i="2" s="1"/>
  <c r="L19" i="2"/>
  <c r="L21" i="2"/>
  <c r="L53" i="2"/>
  <c r="L71" i="2"/>
  <c r="L73" i="2"/>
  <c r="L107" i="2"/>
  <c r="L109" i="2"/>
  <c r="L111" i="2"/>
  <c r="L127" i="2"/>
  <c r="L143" i="2"/>
  <c r="L145" i="2"/>
  <c r="L147" i="2"/>
  <c r="L149" i="2"/>
  <c r="L151" i="2"/>
  <c r="L153" i="2"/>
  <c r="O2" i="2"/>
  <c r="Q2" i="2" s="1"/>
  <c r="L883" i="2"/>
  <c r="M883" i="2"/>
  <c r="N883" i="2"/>
  <c r="L885" i="2"/>
  <c r="M885" i="2"/>
  <c r="N885" i="2"/>
  <c r="L887" i="2"/>
  <c r="M887" i="2"/>
  <c r="N887" i="2"/>
  <c r="L889" i="2"/>
  <c r="M889" i="2"/>
  <c r="N889" i="2"/>
  <c r="L891" i="2"/>
  <c r="M891" i="2"/>
  <c r="N891" i="2"/>
  <c r="L893" i="2"/>
  <c r="L895" i="2"/>
  <c r="R895" i="2" s="1"/>
  <c r="L897" i="2"/>
  <c r="M897" i="2"/>
  <c r="N897" i="2"/>
  <c r="L899" i="2"/>
  <c r="M899" i="2"/>
  <c r="N899" i="2"/>
  <c r="L901" i="2"/>
  <c r="M901" i="2"/>
  <c r="N901" i="2"/>
  <c r="L903" i="2"/>
  <c r="M903" i="2"/>
  <c r="N903" i="2"/>
  <c r="L905" i="2"/>
  <c r="M905" i="2"/>
  <c r="N905" i="2"/>
  <c r="L907" i="2"/>
  <c r="M907" i="2"/>
  <c r="N907" i="2"/>
  <c r="L909" i="2"/>
  <c r="L911" i="2"/>
  <c r="R911" i="2" s="1"/>
  <c r="L913" i="2"/>
  <c r="Q913" i="2" s="1"/>
  <c r="L915" i="2"/>
  <c r="L917" i="2"/>
  <c r="L919" i="2"/>
  <c r="M919" i="2"/>
  <c r="N919" i="2"/>
  <c r="L921" i="2"/>
  <c r="L927" i="2"/>
  <c r="T927" i="2" s="1"/>
  <c r="L930" i="2"/>
  <c r="L932" i="2"/>
  <c r="L934" i="2"/>
  <c r="M934" i="2"/>
  <c r="N934" i="2"/>
  <c r="L936" i="2"/>
  <c r="M936" i="2"/>
  <c r="N936" i="2"/>
  <c r="L938" i="2"/>
  <c r="M938" i="2"/>
  <c r="N938" i="2"/>
  <c r="L940" i="2"/>
  <c r="M940" i="2"/>
  <c r="N940" i="2"/>
  <c r="L942" i="2"/>
  <c r="M942" i="2"/>
  <c r="N942" i="2"/>
  <c r="L944" i="2"/>
  <c r="M944" i="2"/>
  <c r="N944" i="2"/>
  <c r="L946" i="2"/>
  <c r="L831" i="2"/>
  <c r="M831" i="2"/>
  <c r="N831" i="2"/>
  <c r="L833" i="2"/>
  <c r="M833" i="2"/>
  <c r="N833" i="2"/>
  <c r="L835" i="2"/>
  <c r="M835" i="2"/>
  <c r="N835" i="2"/>
  <c r="L837" i="2"/>
  <c r="M837" i="2"/>
  <c r="N837" i="2"/>
  <c r="L839" i="2"/>
  <c r="M839" i="2"/>
  <c r="N839" i="2"/>
  <c r="L841" i="2"/>
  <c r="M841" i="2"/>
  <c r="N841" i="2"/>
  <c r="L843" i="2"/>
  <c r="M843" i="2"/>
  <c r="N843" i="2"/>
  <c r="L845" i="2"/>
  <c r="M845" i="2"/>
  <c r="N845" i="2"/>
  <c r="L847" i="2"/>
  <c r="M847" i="2"/>
  <c r="N847" i="2"/>
  <c r="L849" i="2"/>
  <c r="M849" i="2"/>
  <c r="N849" i="2"/>
  <c r="L851" i="2"/>
  <c r="M851" i="2"/>
  <c r="N851" i="2"/>
  <c r="L853" i="2"/>
  <c r="M853" i="2"/>
  <c r="N853" i="2"/>
  <c r="L855" i="2"/>
  <c r="M855" i="2"/>
  <c r="N855" i="2"/>
  <c r="L857" i="2"/>
  <c r="M857" i="2"/>
  <c r="N857" i="2"/>
  <c r="L859" i="2"/>
  <c r="M859" i="2"/>
  <c r="N859" i="2"/>
  <c r="L861" i="2"/>
  <c r="M861" i="2"/>
  <c r="N861" i="2"/>
  <c r="L863" i="2"/>
  <c r="M863" i="2"/>
  <c r="N863" i="2"/>
  <c r="L865" i="2"/>
  <c r="N865" i="2"/>
  <c r="L867" i="2"/>
  <c r="M867" i="2"/>
  <c r="N867" i="2"/>
  <c r="L869" i="2"/>
  <c r="M869" i="2"/>
  <c r="N869" i="2"/>
  <c r="L871" i="2"/>
  <c r="M871" i="2"/>
  <c r="N871" i="2"/>
  <c r="L873" i="2"/>
  <c r="M873" i="2"/>
  <c r="N873" i="2"/>
  <c r="L875" i="2"/>
  <c r="M875" i="2"/>
  <c r="N875" i="2"/>
  <c r="L877" i="2"/>
  <c r="M877" i="2"/>
  <c r="N877" i="2"/>
  <c r="L879" i="2"/>
  <c r="M879" i="2"/>
  <c r="N879" i="2"/>
  <c r="L689" i="2"/>
  <c r="M689" i="2"/>
  <c r="N689" i="2"/>
  <c r="L691" i="2"/>
  <c r="M691" i="2"/>
  <c r="N691" i="2"/>
  <c r="L693" i="2"/>
  <c r="M693" i="2"/>
  <c r="N693" i="2"/>
  <c r="L695" i="2"/>
  <c r="M695" i="2"/>
  <c r="N695" i="2"/>
  <c r="L697" i="2"/>
  <c r="M697" i="2"/>
  <c r="N697" i="2"/>
  <c r="L699" i="2"/>
  <c r="M699" i="2"/>
  <c r="N699" i="2"/>
  <c r="L701" i="2"/>
  <c r="M701" i="2"/>
  <c r="N701" i="2"/>
  <c r="L703" i="2"/>
  <c r="M703" i="2"/>
  <c r="N703" i="2"/>
  <c r="L705" i="2"/>
  <c r="M705" i="2"/>
  <c r="N705" i="2"/>
  <c r="L707" i="2"/>
  <c r="M707" i="2"/>
  <c r="N707" i="2"/>
  <c r="L709" i="2"/>
  <c r="M709" i="2"/>
  <c r="N709" i="2"/>
  <c r="L711" i="2"/>
  <c r="M711" i="2"/>
  <c r="N711" i="2"/>
  <c r="L713" i="2"/>
  <c r="M713" i="2"/>
  <c r="N713" i="2"/>
  <c r="L715" i="2"/>
  <c r="M715" i="2"/>
  <c r="N715" i="2"/>
  <c r="L717" i="2"/>
  <c r="M717" i="2"/>
  <c r="N717" i="2"/>
  <c r="L719" i="2"/>
  <c r="M719" i="2"/>
  <c r="N719" i="2"/>
  <c r="L721" i="2"/>
  <c r="M721" i="2"/>
  <c r="N721" i="2"/>
  <c r="N723" i="2"/>
  <c r="L725" i="2"/>
  <c r="M725" i="2"/>
  <c r="N725" i="2"/>
  <c r="L727" i="2"/>
  <c r="M727" i="2"/>
  <c r="N727" i="2"/>
  <c r="L729" i="2"/>
  <c r="M729" i="2"/>
  <c r="N729" i="2"/>
  <c r="L731" i="2"/>
  <c r="M731" i="2"/>
  <c r="N731" i="2"/>
  <c r="L733" i="2"/>
  <c r="M733" i="2"/>
  <c r="N733" i="2"/>
  <c r="L735" i="2"/>
  <c r="M735" i="2"/>
  <c r="N735" i="2"/>
  <c r="L737" i="2"/>
  <c r="M737" i="2"/>
  <c r="N737" i="2"/>
  <c r="L739" i="2"/>
  <c r="M739" i="2"/>
  <c r="O739" i="2" s="1"/>
  <c r="N739" i="2"/>
  <c r="L741" i="2"/>
  <c r="M741" i="2"/>
  <c r="O741" i="2" s="1"/>
  <c r="N741" i="2"/>
  <c r="L743" i="2"/>
  <c r="M743" i="2"/>
  <c r="N743" i="2"/>
  <c r="L745" i="2"/>
  <c r="M745" i="2"/>
  <c r="N745" i="2"/>
  <c r="L747" i="2"/>
  <c r="M747" i="2"/>
  <c r="N747" i="2"/>
  <c r="L749" i="2"/>
  <c r="M749" i="2"/>
  <c r="N749" i="2"/>
  <c r="L751" i="2"/>
  <c r="M751" i="2"/>
  <c r="N751" i="2"/>
  <c r="L753" i="2"/>
  <c r="M753" i="2"/>
  <c r="N753" i="2"/>
  <c r="L755" i="2"/>
  <c r="M755" i="2"/>
  <c r="N755" i="2"/>
  <c r="L757" i="2"/>
  <c r="M757" i="2"/>
  <c r="N757" i="2"/>
  <c r="L759" i="2"/>
  <c r="M759" i="2"/>
  <c r="N759" i="2"/>
  <c r="L761" i="2"/>
  <c r="M761" i="2"/>
  <c r="N761" i="2"/>
  <c r="L763" i="2"/>
  <c r="M763" i="2"/>
  <c r="N763" i="2"/>
  <c r="L765" i="2"/>
  <c r="M765" i="2"/>
  <c r="N765" i="2"/>
  <c r="L767" i="2"/>
  <c r="M767" i="2"/>
  <c r="N767" i="2"/>
  <c r="L769" i="2"/>
  <c r="M769" i="2"/>
  <c r="N769" i="2"/>
  <c r="L771" i="2"/>
  <c r="M771" i="2"/>
  <c r="N771" i="2"/>
  <c r="L773" i="2"/>
  <c r="M773" i="2"/>
  <c r="N773" i="2"/>
  <c r="L775" i="2"/>
  <c r="M775" i="2"/>
  <c r="N775" i="2"/>
  <c r="L777" i="2"/>
  <c r="M777" i="2"/>
  <c r="N777" i="2"/>
  <c r="L779" i="2"/>
  <c r="M779" i="2"/>
  <c r="N779" i="2"/>
  <c r="L781" i="2"/>
  <c r="M781" i="2"/>
  <c r="N781" i="2"/>
  <c r="L783" i="2"/>
  <c r="M783" i="2"/>
  <c r="N783" i="2"/>
  <c r="L785" i="2"/>
  <c r="M785" i="2"/>
  <c r="N785" i="2"/>
  <c r="L787" i="2"/>
  <c r="M787" i="2"/>
  <c r="N787" i="2"/>
  <c r="L789" i="2"/>
  <c r="M789" i="2"/>
  <c r="N789" i="2"/>
  <c r="L791" i="2"/>
  <c r="M791" i="2"/>
  <c r="N791" i="2"/>
  <c r="L793" i="2"/>
  <c r="M793" i="2"/>
  <c r="N793" i="2"/>
  <c r="L795" i="2"/>
  <c r="M795" i="2"/>
  <c r="N795" i="2"/>
  <c r="L797" i="2"/>
  <c r="M797" i="2"/>
  <c r="N797" i="2"/>
  <c r="L799" i="2"/>
  <c r="M799" i="2"/>
  <c r="N799" i="2"/>
  <c r="L801" i="2"/>
  <c r="M801" i="2"/>
  <c r="N801" i="2"/>
  <c r="L803" i="2"/>
  <c r="M803" i="2"/>
  <c r="N803" i="2"/>
  <c r="L805" i="2"/>
  <c r="M805" i="2"/>
  <c r="N805" i="2"/>
  <c r="L807" i="2"/>
  <c r="M807" i="2"/>
  <c r="N807" i="2"/>
  <c r="L809" i="2"/>
  <c r="M809" i="2"/>
  <c r="N809" i="2"/>
  <c r="L811" i="2"/>
  <c r="M811" i="2"/>
  <c r="N811" i="2"/>
  <c r="L813" i="2"/>
  <c r="M813" i="2"/>
  <c r="N813" i="2"/>
  <c r="L815" i="2"/>
  <c r="M815" i="2"/>
  <c r="N815" i="2"/>
  <c r="L817" i="2"/>
  <c r="M817" i="2"/>
  <c r="N817" i="2"/>
  <c r="L819" i="2"/>
  <c r="M819" i="2"/>
  <c r="N819" i="2"/>
  <c r="L610" i="2"/>
  <c r="M610" i="2"/>
  <c r="N610" i="2"/>
  <c r="L612" i="2"/>
  <c r="M612" i="2"/>
  <c r="N612" i="2"/>
  <c r="L614" i="2"/>
  <c r="M614" i="2"/>
  <c r="N614" i="2"/>
  <c r="L616" i="2"/>
  <c r="M616" i="2"/>
  <c r="N616" i="2"/>
  <c r="L618" i="2"/>
  <c r="M618" i="2"/>
  <c r="N618" i="2"/>
  <c r="L620" i="2"/>
  <c r="M620" i="2"/>
  <c r="N620" i="2"/>
  <c r="L622" i="2"/>
  <c r="M622" i="2"/>
  <c r="N622" i="2"/>
  <c r="L624" i="2"/>
  <c r="M624" i="2"/>
  <c r="N624" i="2"/>
  <c r="L626" i="2"/>
  <c r="M626" i="2"/>
  <c r="N626" i="2"/>
  <c r="L628" i="2"/>
  <c r="M628" i="2"/>
  <c r="N628" i="2"/>
  <c r="L630" i="2"/>
  <c r="P630" i="2" s="1"/>
  <c r="L632" i="2"/>
  <c r="M632" i="2"/>
  <c r="N632" i="2"/>
  <c r="L634" i="2"/>
  <c r="M634" i="2"/>
  <c r="N634" i="2"/>
  <c r="L636" i="2"/>
  <c r="M636" i="2"/>
  <c r="N636" i="2"/>
  <c r="L638" i="2"/>
  <c r="M638" i="2"/>
  <c r="N638" i="2"/>
  <c r="L640" i="2"/>
  <c r="M640" i="2"/>
  <c r="N640" i="2"/>
  <c r="L642" i="2"/>
  <c r="M642" i="2"/>
  <c r="N642" i="2"/>
  <c r="L644" i="2"/>
  <c r="M644" i="2"/>
  <c r="N644" i="2"/>
  <c r="L646" i="2"/>
  <c r="M646" i="2"/>
  <c r="N646" i="2"/>
  <c r="L648" i="2"/>
  <c r="M648" i="2"/>
  <c r="N648" i="2"/>
  <c r="L650" i="2"/>
  <c r="M650" i="2"/>
  <c r="N650" i="2"/>
  <c r="L652" i="2"/>
  <c r="M652" i="2"/>
  <c r="N652" i="2"/>
  <c r="L654" i="2"/>
  <c r="M654" i="2"/>
  <c r="N654" i="2"/>
  <c r="L656" i="2"/>
  <c r="M656" i="2"/>
  <c r="N656" i="2"/>
  <c r="L658" i="2"/>
  <c r="M658" i="2"/>
  <c r="N658" i="2"/>
  <c r="L660" i="2"/>
  <c r="M660" i="2"/>
  <c r="N660" i="2"/>
  <c r="L662" i="2"/>
  <c r="M662" i="2"/>
  <c r="N662" i="2"/>
  <c r="L664" i="2"/>
  <c r="M664" i="2"/>
  <c r="N664" i="2"/>
  <c r="L666" i="2"/>
  <c r="L668" i="2"/>
  <c r="M668" i="2"/>
  <c r="N668" i="2"/>
  <c r="L670" i="2"/>
  <c r="M670" i="2"/>
  <c r="N670" i="2"/>
  <c r="L672" i="2"/>
  <c r="M672" i="2"/>
  <c r="N672" i="2"/>
  <c r="L674" i="2"/>
  <c r="M674" i="2"/>
  <c r="N674" i="2"/>
  <c r="L676" i="2"/>
  <c r="M676" i="2"/>
  <c r="N676" i="2"/>
  <c r="L517" i="2"/>
  <c r="M517" i="2"/>
  <c r="N517" i="2"/>
  <c r="L519" i="2"/>
  <c r="M519" i="2"/>
  <c r="N519" i="2"/>
  <c r="L521" i="2"/>
  <c r="M521" i="2"/>
  <c r="N521" i="2"/>
  <c r="L523" i="2"/>
  <c r="M523" i="2"/>
  <c r="N523" i="2"/>
  <c r="L525" i="2"/>
  <c r="M525" i="2"/>
  <c r="N525" i="2"/>
  <c r="L527" i="2"/>
  <c r="M527" i="2"/>
  <c r="N527" i="2"/>
  <c r="M529" i="2"/>
  <c r="N529" i="2"/>
  <c r="L531" i="2"/>
  <c r="M531" i="2"/>
  <c r="N531" i="2"/>
  <c r="L533" i="2"/>
  <c r="M533" i="2"/>
  <c r="N533" i="2"/>
  <c r="L535" i="2"/>
  <c r="M535" i="2"/>
  <c r="N535" i="2"/>
  <c r="L537" i="2"/>
  <c r="M537" i="2"/>
  <c r="M538" i="2" s="1"/>
  <c r="M539" i="2" s="1"/>
  <c r="N537" i="2"/>
  <c r="L539" i="2"/>
  <c r="L541" i="2"/>
  <c r="M541" i="2"/>
  <c r="N541" i="2"/>
  <c r="L543" i="2"/>
  <c r="M543" i="2"/>
  <c r="N543" i="2"/>
  <c r="L545" i="2"/>
  <c r="M545" i="2"/>
  <c r="N545" i="2"/>
  <c r="L547" i="2"/>
  <c r="M547" i="2"/>
  <c r="N547" i="2"/>
  <c r="L549" i="2"/>
  <c r="M549" i="2"/>
  <c r="N549" i="2"/>
  <c r="L551" i="2"/>
  <c r="M551" i="2"/>
  <c r="N551" i="2"/>
  <c r="L553" i="2"/>
  <c r="M553" i="2"/>
  <c r="N553" i="2"/>
  <c r="L555" i="2"/>
  <c r="M555" i="2"/>
  <c r="N555" i="2"/>
  <c r="L557" i="2"/>
  <c r="M557" i="2"/>
  <c r="N557" i="2"/>
  <c r="L559" i="2"/>
  <c r="M559" i="2"/>
  <c r="N559" i="2"/>
  <c r="L561" i="2"/>
  <c r="M561" i="2"/>
  <c r="N561" i="2"/>
  <c r="L563" i="2"/>
  <c r="M563" i="2"/>
  <c r="N563" i="2"/>
  <c r="L565" i="2"/>
  <c r="M565" i="2"/>
  <c r="N565" i="2"/>
  <c r="L567" i="2"/>
  <c r="M567" i="2"/>
  <c r="N567" i="2"/>
  <c r="L569" i="2"/>
  <c r="M569" i="2"/>
  <c r="N569" i="2"/>
  <c r="L571" i="2"/>
  <c r="L573" i="2"/>
  <c r="M573" i="2"/>
  <c r="N573" i="2"/>
  <c r="L575" i="2"/>
  <c r="M575" i="2"/>
  <c r="P575" i="2" s="1"/>
  <c r="N575" i="2"/>
  <c r="L577" i="2"/>
  <c r="M577" i="2"/>
  <c r="N577" i="2"/>
  <c r="L579" i="2"/>
  <c r="M579" i="2"/>
  <c r="N579" i="2"/>
  <c r="L581" i="2"/>
  <c r="M581" i="2"/>
  <c r="N581" i="2"/>
  <c r="L583" i="2"/>
  <c r="M583" i="2"/>
  <c r="O583" i="2" s="1"/>
  <c r="N583" i="2"/>
  <c r="L585" i="2"/>
  <c r="M585" i="2"/>
  <c r="N585" i="2"/>
  <c r="L588" i="2"/>
  <c r="P588" i="2" s="1"/>
  <c r="L590" i="2"/>
  <c r="M590" i="2"/>
  <c r="N590" i="2"/>
  <c r="L592" i="2"/>
  <c r="M592" i="2"/>
  <c r="N592" i="2"/>
  <c r="L594" i="2"/>
  <c r="M594" i="2"/>
  <c r="N594" i="2"/>
  <c r="L596" i="2"/>
  <c r="M596" i="2"/>
  <c r="N596" i="2"/>
  <c r="L598" i="2"/>
  <c r="M598" i="2"/>
  <c r="N598" i="2"/>
  <c r="L416" i="2"/>
  <c r="M416" i="2"/>
  <c r="N416" i="2"/>
  <c r="L418" i="2"/>
  <c r="M418" i="2"/>
  <c r="N418" i="2"/>
  <c r="L420" i="2"/>
  <c r="M420" i="2"/>
  <c r="N420" i="2"/>
  <c r="L422" i="2"/>
  <c r="P422" i="2" s="1"/>
  <c r="L424" i="2"/>
  <c r="M424" i="2"/>
  <c r="N424" i="2"/>
  <c r="L426" i="2"/>
  <c r="M426" i="2"/>
  <c r="N426" i="2"/>
  <c r="L428" i="2"/>
  <c r="M428" i="2"/>
  <c r="N428" i="2"/>
  <c r="L430" i="2"/>
  <c r="M430" i="2"/>
  <c r="N430" i="2"/>
  <c r="L432" i="2"/>
  <c r="M432" i="2"/>
  <c r="N432" i="2"/>
  <c r="L434" i="2"/>
  <c r="M434" i="2"/>
  <c r="L436" i="2"/>
  <c r="M436" i="2"/>
  <c r="N436" i="2"/>
  <c r="L438" i="2"/>
  <c r="M438" i="2"/>
  <c r="N438" i="2"/>
  <c r="L440" i="2"/>
  <c r="M440" i="2"/>
  <c r="N440" i="2"/>
  <c r="L442" i="2"/>
  <c r="M442" i="2"/>
  <c r="N442" i="2"/>
  <c r="L444" i="2"/>
  <c r="M444" i="2"/>
  <c r="N444" i="2"/>
  <c r="L446" i="2"/>
  <c r="L448" i="2"/>
  <c r="M448" i="2"/>
  <c r="N448" i="2"/>
  <c r="L450" i="2"/>
  <c r="L452" i="2"/>
  <c r="M452" i="2"/>
  <c r="N452" i="2"/>
  <c r="L454" i="2"/>
  <c r="M454" i="2"/>
  <c r="N454" i="2"/>
  <c r="L456" i="2"/>
  <c r="M456" i="2"/>
  <c r="N456" i="2"/>
  <c r="L458" i="2"/>
  <c r="M458" i="2"/>
  <c r="N458" i="2"/>
  <c r="L460" i="2"/>
  <c r="M460" i="2"/>
  <c r="N460" i="2"/>
  <c r="L462" i="2"/>
  <c r="L464" i="2"/>
  <c r="M464" i="2"/>
  <c r="N464" i="2"/>
  <c r="L466" i="2"/>
  <c r="M466" i="2"/>
  <c r="N466" i="2"/>
  <c r="L468" i="2"/>
  <c r="M468" i="2"/>
  <c r="N468" i="2"/>
  <c r="L470" i="2"/>
  <c r="M470" i="2"/>
  <c r="N470" i="2"/>
  <c r="L472" i="2"/>
  <c r="L475" i="2"/>
  <c r="M475" i="2"/>
  <c r="N475" i="2"/>
  <c r="L477" i="2"/>
  <c r="M477" i="2"/>
  <c r="N477" i="2"/>
  <c r="L479" i="2"/>
  <c r="M479" i="2"/>
  <c r="N479" i="2"/>
  <c r="L481" i="2"/>
  <c r="M481" i="2"/>
  <c r="N481" i="2"/>
  <c r="L483" i="2"/>
  <c r="M483" i="2"/>
  <c r="N483" i="2"/>
  <c r="L485" i="2"/>
  <c r="M485" i="2"/>
  <c r="N485" i="2"/>
  <c r="L487" i="2"/>
  <c r="L489" i="2"/>
  <c r="R489" i="2" s="1"/>
  <c r="L491" i="2"/>
  <c r="M491" i="2"/>
  <c r="N491" i="2"/>
  <c r="L493" i="2"/>
  <c r="O493" i="2" s="1"/>
  <c r="R493" i="2" s="1"/>
  <c r="L495" i="2"/>
  <c r="L497" i="2"/>
  <c r="L499" i="2"/>
  <c r="M499" i="2"/>
  <c r="N499" i="2"/>
  <c r="L501" i="2"/>
  <c r="M501" i="2"/>
  <c r="N501" i="2"/>
  <c r="L503" i="2"/>
  <c r="M503" i="2"/>
  <c r="N503" i="2"/>
  <c r="L505" i="2"/>
  <c r="M505" i="2"/>
  <c r="N505" i="2"/>
  <c r="L507" i="2"/>
  <c r="M507" i="2"/>
  <c r="N507" i="2"/>
  <c r="L509" i="2"/>
  <c r="M509" i="2"/>
  <c r="N509" i="2"/>
  <c r="N511" i="2"/>
  <c r="L513" i="2"/>
  <c r="M513" i="2"/>
  <c r="N513" i="2"/>
  <c r="L343" i="2"/>
  <c r="M343" i="2"/>
  <c r="N343" i="2"/>
  <c r="L345" i="2"/>
  <c r="M345" i="2"/>
  <c r="N345" i="2"/>
  <c r="L347" i="2"/>
  <c r="M347" i="2"/>
  <c r="N347" i="2"/>
  <c r="L349" i="2"/>
  <c r="M349" i="2"/>
  <c r="N349" i="2"/>
  <c r="L351" i="2"/>
  <c r="M351" i="2"/>
  <c r="N351" i="2"/>
  <c r="L353" i="2"/>
  <c r="M353" i="2"/>
  <c r="N353" i="2"/>
  <c r="L355" i="2"/>
  <c r="M355" i="2"/>
  <c r="N355" i="2"/>
  <c r="L357" i="2"/>
  <c r="M357" i="2"/>
  <c r="N357" i="2"/>
  <c r="L359" i="2"/>
  <c r="O359" i="2" s="1"/>
  <c r="L361" i="2"/>
  <c r="M361" i="2"/>
  <c r="N361" i="2"/>
  <c r="L363" i="2"/>
  <c r="M363" i="2"/>
  <c r="N363" i="2"/>
  <c r="L365" i="2"/>
  <c r="M365" i="2"/>
  <c r="N365" i="2"/>
  <c r="L367" i="2"/>
  <c r="M367" i="2"/>
  <c r="N367" i="2"/>
  <c r="L369" i="2"/>
  <c r="M369" i="2"/>
  <c r="N369" i="2"/>
  <c r="L371" i="2"/>
  <c r="M371" i="2"/>
  <c r="N371" i="2"/>
  <c r="L373" i="2"/>
  <c r="M373" i="2"/>
  <c r="N373" i="2"/>
  <c r="L375" i="2"/>
  <c r="M375" i="2"/>
  <c r="N375" i="2"/>
  <c r="L377" i="2"/>
  <c r="M377" i="2"/>
  <c r="N377" i="2"/>
  <c r="L379" i="2"/>
  <c r="L381" i="2"/>
  <c r="M381" i="2"/>
  <c r="N381" i="2"/>
  <c r="L383" i="2"/>
  <c r="Q383" i="2" s="1"/>
  <c r="L385" i="2"/>
  <c r="M385" i="2"/>
  <c r="N385" i="2"/>
  <c r="L387" i="2"/>
  <c r="L389" i="2"/>
  <c r="M389" i="2"/>
  <c r="N389" i="2"/>
  <c r="L391" i="2"/>
  <c r="M391" i="2"/>
  <c r="N391" i="2"/>
  <c r="L393" i="2"/>
  <c r="M393" i="2"/>
  <c r="N393" i="2"/>
  <c r="L395" i="2"/>
  <c r="M395" i="2"/>
  <c r="N395" i="2"/>
  <c r="L397" i="2"/>
  <c r="M397" i="2"/>
  <c r="N397" i="2"/>
  <c r="L399" i="2"/>
  <c r="M399" i="2"/>
  <c r="N399" i="2"/>
  <c r="L401" i="2"/>
  <c r="M401" i="2"/>
  <c r="N401" i="2"/>
  <c r="L403" i="2"/>
  <c r="M403" i="2"/>
  <c r="N403" i="2"/>
  <c r="L405" i="2"/>
  <c r="M405" i="2"/>
  <c r="N405" i="2"/>
  <c r="L407" i="2"/>
  <c r="M407" i="2"/>
  <c r="N407" i="2"/>
  <c r="L409" i="2"/>
  <c r="M409" i="2"/>
  <c r="N409" i="2"/>
  <c r="L411" i="2"/>
  <c r="M411" i="2"/>
  <c r="N411" i="2"/>
  <c r="L155" i="2"/>
  <c r="M155" i="2"/>
  <c r="N155" i="2"/>
  <c r="L157" i="2"/>
  <c r="M157" i="2"/>
  <c r="N157" i="2"/>
  <c r="L159" i="2"/>
  <c r="M159" i="2"/>
  <c r="N159" i="2"/>
  <c r="L161" i="2"/>
  <c r="M161" i="2"/>
  <c r="N161" i="2"/>
  <c r="L163" i="2"/>
  <c r="M163" i="2"/>
  <c r="N163" i="2"/>
  <c r="L165" i="2"/>
  <c r="M165" i="2"/>
  <c r="N165" i="2"/>
  <c r="L167" i="2"/>
  <c r="L169" i="2"/>
  <c r="M169" i="2"/>
  <c r="N169" i="2"/>
  <c r="L171" i="2"/>
  <c r="M171" i="2"/>
  <c r="N171" i="2"/>
  <c r="L173" i="2"/>
  <c r="M173" i="2"/>
  <c r="N173" i="2"/>
  <c r="L175" i="2"/>
  <c r="M175" i="2"/>
  <c r="N175" i="2"/>
  <c r="L177" i="2"/>
  <c r="M177" i="2"/>
  <c r="N177" i="2"/>
  <c r="L179" i="2"/>
  <c r="M179" i="2"/>
  <c r="N179" i="2"/>
  <c r="L181" i="2"/>
  <c r="M181" i="2"/>
  <c r="P181" i="2" s="1"/>
  <c r="N181" i="2"/>
  <c r="L183" i="2"/>
  <c r="M183" i="2"/>
  <c r="N183" i="2"/>
  <c r="L185" i="2"/>
  <c r="M185" i="2"/>
  <c r="N185" i="2"/>
  <c r="L187" i="2"/>
  <c r="L189" i="2"/>
  <c r="M189" i="2"/>
  <c r="N189" i="2"/>
  <c r="L191" i="2"/>
  <c r="M191" i="2"/>
  <c r="N191" i="2"/>
  <c r="L193" i="2"/>
  <c r="M193" i="2"/>
  <c r="N193" i="2"/>
  <c r="L195" i="2"/>
  <c r="M195" i="2"/>
  <c r="N195" i="2"/>
  <c r="L197" i="2"/>
  <c r="O197" i="2" s="1"/>
  <c r="R197" i="2" s="1"/>
  <c r="L199" i="2"/>
  <c r="M199" i="2"/>
  <c r="N199" i="2"/>
  <c r="L201" i="2"/>
  <c r="M201" i="2"/>
  <c r="N201" i="2"/>
  <c r="L203" i="2"/>
  <c r="L205" i="2"/>
  <c r="L207" i="2"/>
  <c r="M207" i="2"/>
  <c r="N207" i="2"/>
  <c r="L209" i="2"/>
  <c r="M209" i="2"/>
  <c r="N209" i="2"/>
  <c r="L211" i="2"/>
  <c r="M211" i="2"/>
  <c r="N211" i="2"/>
  <c r="L213" i="2"/>
  <c r="M213" i="2"/>
  <c r="N213" i="2"/>
  <c r="L215" i="2"/>
  <c r="M215" i="2"/>
  <c r="N215" i="2"/>
  <c r="L217" i="2"/>
  <c r="M217" i="2"/>
  <c r="N217" i="2"/>
  <c r="L219" i="2"/>
  <c r="M219" i="2"/>
  <c r="N219" i="2"/>
  <c r="L221" i="2"/>
  <c r="M221" i="2"/>
  <c r="N221" i="2"/>
  <c r="L223" i="2"/>
  <c r="M223" i="2"/>
  <c r="N223" i="2"/>
  <c r="L225" i="2"/>
  <c r="M225" i="2"/>
  <c r="N225" i="2"/>
  <c r="L227" i="2"/>
  <c r="M227" i="2"/>
  <c r="N227" i="2"/>
  <c r="L229" i="2"/>
  <c r="M229" i="2"/>
  <c r="N229" i="2"/>
  <c r="L231" i="2"/>
  <c r="M231" i="2"/>
  <c r="N231" i="2"/>
  <c r="L233" i="2"/>
  <c r="M233" i="2"/>
  <c r="N233" i="2"/>
  <c r="L235" i="2"/>
  <c r="M235" i="2"/>
  <c r="N235" i="2"/>
  <c r="L237" i="2"/>
  <c r="M237" i="2"/>
  <c r="N237" i="2"/>
  <c r="L239" i="2"/>
  <c r="M239" i="2"/>
  <c r="N239" i="2"/>
  <c r="L241" i="2"/>
  <c r="M241" i="2"/>
  <c r="N241" i="2"/>
  <c r="L243" i="2"/>
  <c r="M243" i="2"/>
  <c r="N243" i="2"/>
  <c r="L245" i="2"/>
  <c r="M245" i="2"/>
  <c r="P245" i="2" s="1"/>
  <c r="N245" i="2"/>
  <c r="L247" i="2"/>
  <c r="M247" i="2"/>
  <c r="N247" i="2"/>
  <c r="L249" i="2"/>
  <c r="M249" i="2"/>
  <c r="N249" i="2"/>
  <c r="L251" i="2"/>
  <c r="M251" i="2"/>
  <c r="N251" i="2"/>
  <c r="L253" i="2"/>
  <c r="M253" i="2"/>
  <c r="N253" i="2"/>
  <c r="L255" i="2"/>
  <c r="M255" i="2"/>
  <c r="N255" i="2"/>
  <c r="L257" i="2"/>
  <c r="M257" i="2"/>
  <c r="N257" i="2"/>
  <c r="L259" i="2"/>
  <c r="M259" i="2"/>
  <c r="N259" i="2"/>
  <c r="L261" i="2"/>
  <c r="M261" i="2"/>
  <c r="P261" i="2" s="1"/>
  <c r="N261" i="2"/>
  <c r="L263" i="2"/>
  <c r="M263" i="2"/>
  <c r="N263" i="2"/>
  <c r="L265" i="2"/>
  <c r="M265" i="2"/>
  <c r="N265" i="2"/>
  <c r="L267" i="2"/>
  <c r="M267" i="2"/>
  <c r="N267" i="2"/>
  <c r="L269" i="2"/>
  <c r="M269" i="2"/>
  <c r="N269" i="2"/>
  <c r="L271" i="2"/>
  <c r="M271" i="2"/>
  <c r="N271" i="2"/>
  <c r="L273" i="2"/>
  <c r="M273" i="2"/>
  <c r="N273" i="2"/>
  <c r="L275" i="2"/>
  <c r="M275" i="2"/>
  <c r="N275" i="2"/>
  <c r="L277" i="2"/>
  <c r="M277" i="2"/>
  <c r="N277" i="2"/>
  <c r="L279" i="2"/>
  <c r="M279" i="2"/>
  <c r="N279" i="2"/>
  <c r="L281" i="2"/>
  <c r="M281" i="2"/>
  <c r="N281" i="2"/>
  <c r="L283" i="2"/>
  <c r="M283" i="2"/>
  <c r="N283" i="2"/>
  <c r="L285" i="2"/>
  <c r="M285" i="2"/>
  <c r="N285" i="2"/>
  <c r="L287" i="2"/>
  <c r="M287" i="2"/>
  <c r="L289" i="2"/>
  <c r="M289" i="2"/>
  <c r="N289" i="2"/>
  <c r="L291" i="2"/>
  <c r="M291" i="2"/>
  <c r="N291" i="2"/>
  <c r="L293" i="2"/>
  <c r="M293" i="2"/>
  <c r="N293" i="2"/>
  <c r="L295" i="2"/>
  <c r="N295" i="2"/>
  <c r="L297" i="2"/>
  <c r="M297" i="2"/>
  <c r="N297" i="2"/>
  <c r="L299" i="2"/>
  <c r="M299" i="2"/>
  <c r="N299" i="2"/>
  <c r="L301" i="2"/>
  <c r="M301" i="2"/>
  <c r="N301" i="2"/>
  <c r="L304" i="2"/>
  <c r="M304" i="2"/>
  <c r="N304" i="2"/>
  <c r="L307" i="2"/>
  <c r="M307" i="2"/>
  <c r="N307" i="2"/>
  <c r="L309" i="2"/>
  <c r="M309" i="2"/>
  <c r="N309" i="2"/>
  <c r="L311" i="2"/>
  <c r="M311" i="2"/>
  <c r="N311" i="2"/>
  <c r="L313" i="2"/>
  <c r="M313" i="2"/>
  <c r="N313" i="2"/>
  <c r="L315" i="2"/>
  <c r="M315" i="2"/>
  <c r="N315" i="2"/>
  <c r="L317" i="2"/>
  <c r="M317" i="2"/>
  <c r="N317" i="2"/>
  <c r="L319" i="2"/>
  <c r="M319" i="2"/>
  <c r="N319" i="2"/>
  <c r="L321" i="2"/>
  <c r="M321" i="2"/>
  <c r="N321" i="2"/>
  <c r="L323" i="2"/>
  <c r="M323" i="2"/>
  <c r="N323" i="2"/>
  <c r="L325" i="2"/>
  <c r="M325" i="2"/>
  <c r="N325" i="2"/>
  <c r="L327" i="2"/>
  <c r="M327" i="2"/>
  <c r="N327" i="2"/>
  <c r="L329" i="2"/>
  <c r="M329" i="2"/>
  <c r="N329" i="2"/>
  <c r="L129" i="2"/>
  <c r="M129" i="2"/>
  <c r="N129" i="2"/>
  <c r="L131" i="2"/>
  <c r="M131" i="2"/>
  <c r="N131" i="2"/>
  <c r="L133" i="2"/>
  <c r="M133" i="2"/>
  <c r="N133" i="2"/>
  <c r="L135" i="2"/>
  <c r="M135" i="2"/>
  <c r="N135" i="2"/>
  <c r="L137" i="2"/>
  <c r="M137" i="2"/>
  <c r="N137" i="2"/>
  <c r="L139" i="2"/>
  <c r="L140" i="2" s="1"/>
  <c r="L141" i="2" s="1"/>
  <c r="M139" i="2"/>
  <c r="M140" i="2" s="1"/>
  <c r="M141" i="2" s="1"/>
  <c r="N139" i="2"/>
  <c r="L113" i="2"/>
  <c r="M113" i="2"/>
  <c r="N113" i="2"/>
  <c r="L115" i="2"/>
  <c r="M115" i="2"/>
  <c r="N115" i="2"/>
  <c r="L117" i="2"/>
  <c r="M117" i="2"/>
  <c r="N117" i="2"/>
  <c r="L119" i="2"/>
  <c r="M119" i="2"/>
  <c r="N119" i="2"/>
  <c r="L121" i="2"/>
  <c r="M121" i="2"/>
  <c r="N121" i="2"/>
  <c r="L123" i="2"/>
  <c r="M123" i="2"/>
  <c r="N123" i="2"/>
  <c r="L125" i="2"/>
  <c r="M125" i="2"/>
  <c r="N125" i="2"/>
  <c r="L77" i="2"/>
  <c r="M77" i="2"/>
  <c r="N77" i="2"/>
  <c r="L79" i="2"/>
  <c r="M79" i="2"/>
  <c r="N79" i="2"/>
  <c r="L81" i="2"/>
  <c r="M81" i="2"/>
  <c r="N81" i="2"/>
  <c r="L83" i="2"/>
  <c r="M83" i="2"/>
  <c r="N83" i="2"/>
  <c r="L85" i="2"/>
  <c r="M85" i="2"/>
  <c r="N85" i="2"/>
  <c r="L87" i="2"/>
  <c r="M87" i="2"/>
  <c r="N87" i="2"/>
  <c r="L89" i="2"/>
  <c r="M89" i="2"/>
  <c r="N89" i="2"/>
  <c r="L91" i="2"/>
  <c r="M91" i="2"/>
  <c r="N91" i="2"/>
  <c r="L93" i="2"/>
  <c r="M93" i="2"/>
  <c r="N93" i="2"/>
  <c r="L95" i="2"/>
  <c r="M95" i="2"/>
  <c r="N95" i="2"/>
  <c r="L97" i="2"/>
  <c r="M97" i="2"/>
  <c r="N97" i="2"/>
  <c r="L99" i="2"/>
  <c r="M99" i="2"/>
  <c r="N99" i="2"/>
  <c r="L101" i="2"/>
  <c r="M101" i="2"/>
  <c r="N101" i="2"/>
  <c r="L103" i="2"/>
  <c r="M103" i="2"/>
  <c r="N103" i="2"/>
  <c r="L105" i="2"/>
  <c r="M105" i="2"/>
  <c r="N105" i="2"/>
  <c r="L55" i="2"/>
  <c r="M55" i="2"/>
  <c r="N55" i="2"/>
  <c r="L57" i="2"/>
  <c r="M57" i="2"/>
  <c r="N57" i="2"/>
  <c r="L59" i="2"/>
  <c r="M59" i="2"/>
  <c r="N59" i="2"/>
  <c r="L61" i="2"/>
  <c r="M61" i="2"/>
  <c r="N61" i="2"/>
  <c r="L63" i="2"/>
  <c r="M63" i="2"/>
  <c r="N63" i="2"/>
  <c r="L65" i="2"/>
  <c r="M65" i="2"/>
  <c r="N65" i="2"/>
  <c r="L67" i="2"/>
  <c r="M67" i="2"/>
  <c r="N67" i="2"/>
  <c r="L69" i="2"/>
  <c r="M69" i="2"/>
  <c r="N69" i="2"/>
  <c r="L23" i="2"/>
  <c r="M23" i="2"/>
  <c r="N23" i="2"/>
  <c r="L25" i="2"/>
  <c r="M25" i="2"/>
  <c r="N25" i="2"/>
  <c r="L27" i="2"/>
  <c r="M27" i="2"/>
  <c r="N27" i="2"/>
  <c r="L29" i="2"/>
  <c r="M29" i="2"/>
  <c r="N29" i="2"/>
  <c r="L31" i="2"/>
  <c r="M31" i="2"/>
  <c r="N31" i="2"/>
  <c r="L33" i="2"/>
  <c r="M33" i="2"/>
  <c r="N33" i="2"/>
  <c r="L35" i="2"/>
  <c r="M35" i="2"/>
  <c r="N35" i="2"/>
  <c r="L37" i="2"/>
  <c r="M37" i="2"/>
  <c r="N37" i="2"/>
  <c r="L39" i="2"/>
  <c r="M39" i="2"/>
  <c r="N39" i="2"/>
  <c r="L41" i="2"/>
  <c r="M41" i="2"/>
  <c r="N41" i="2"/>
  <c r="L43" i="2"/>
  <c r="M43" i="2"/>
  <c r="N43" i="2"/>
  <c r="L45" i="2"/>
  <c r="M45" i="2"/>
  <c r="N45" i="2"/>
  <c r="L47" i="2"/>
  <c r="M47" i="2"/>
  <c r="N47" i="2"/>
  <c r="L49" i="2"/>
  <c r="M49" i="2"/>
  <c r="N49" i="2"/>
  <c r="L51" i="2"/>
  <c r="M51" i="2"/>
  <c r="N51" i="2"/>
  <c r="L3" i="2"/>
  <c r="M3" i="2"/>
  <c r="N3" i="2"/>
  <c r="L5" i="2"/>
  <c r="M5" i="2"/>
  <c r="N5" i="2"/>
  <c r="N6" i="2" s="1"/>
  <c r="L9" i="2"/>
  <c r="M9" i="2"/>
  <c r="N9" i="2"/>
  <c r="L11" i="2"/>
  <c r="M11" i="2"/>
  <c r="N11" i="2"/>
  <c r="L13" i="2"/>
  <c r="M13" i="2"/>
  <c r="N13" i="2"/>
  <c r="P551" i="2" l="1"/>
  <c r="P399" i="2"/>
  <c r="O525" i="2"/>
  <c r="P545" i="2"/>
  <c r="O545" i="2"/>
  <c r="O527" i="2"/>
  <c r="T303" i="2"/>
  <c r="T816" i="2"/>
  <c r="T768" i="2"/>
  <c r="O581" i="2"/>
  <c r="O547" i="2"/>
  <c r="P547" i="2"/>
  <c r="O141" i="2"/>
  <c r="R141" i="2" s="1"/>
  <c r="T294" i="2"/>
  <c r="P141" i="2"/>
  <c r="P327" i="2"/>
  <c r="P301" i="2"/>
  <c r="P293" i="2"/>
  <c r="P889" i="2"/>
  <c r="T876" i="2"/>
  <c r="T832" i="2"/>
  <c r="T796" i="2"/>
  <c r="T673" i="2"/>
  <c r="T653" i="2"/>
  <c r="T637" i="2"/>
  <c r="T449" i="2"/>
  <c r="P538" i="2"/>
  <c r="T864" i="2"/>
  <c r="T825" i="2"/>
  <c r="T669" i="2"/>
  <c r="T649" i="2"/>
  <c r="T633" i="2"/>
  <c r="T609" i="2"/>
  <c r="T478" i="2"/>
  <c r="T457" i="2"/>
  <c r="T429" i="2"/>
  <c r="T402" i="2"/>
  <c r="O538" i="2"/>
  <c r="P140" i="2"/>
  <c r="P83" i="2"/>
  <c r="O456" i="2"/>
  <c r="P855" i="2"/>
  <c r="T935" i="2"/>
  <c r="T856" i="2"/>
  <c r="T823" i="2"/>
  <c r="T744" i="2"/>
  <c r="T661" i="2"/>
  <c r="T645" i="2"/>
  <c r="T474" i="2"/>
  <c r="T465" i="2"/>
  <c r="O140" i="2"/>
  <c r="T665" i="2"/>
  <c r="T629" i="2"/>
  <c r="P3" i="2"/>
  <c r="O115" i="2"/>
  <c r="Q115" i="2" s="1"/>
  <c r="O485" i="2"/>
  <c r="T485" i="2" s="1"/>
  <c r="O477" i="2"/>
  <c r="R477" i="2" s="1"/>
  <c r="P460" i="2"/>
  <c r="P452" i="2"/>
  <c r="P444" i="2"/>
  <c r="P436" i="2"/>
  <c r="P670" i="2"/>
  <c r="O626" i="2"/>
  <c r="T626" i="2" s="1"/>
  <c r="T937" i="2"/>
  <c r="T872" i="2"/>
  <c r="T848" i="2"/>
  <c r="T829" i="2"/>
  <c r="T824" i="2"/>
  <c r="T812" i="2"/>
  <c r="T784" i="2"/>
  <c r="T764" i="2"/>
  <c r="T736" i="2"/>
  <c r="T712" i="2"/>
  <c r="T687" i="2"/>
  <c r="T675" i="2"/>
  <c r="T667" i="2"/>
  <c r="T659" i="2"/>
  <c r="T647" i="2"/>
  <c r="T639" i="2"/>
  <c r="T631" i="2"/>
  <c r="T597" i="2"/>
  <c r="T570" i="2"/>
  <c r="T526" i="2"/>
  <c r="T437" i="2"/>
  <c r="T417" i="2"/>
  <c r="T350" i="2"/>
  <c r="T106" i="2"/>
  <c r="T945" i="2"/>
  <c r="T896" i="2"/>
  <c r="T828" i="2"/>
  <c r="T808" i="2"/>
  <c r="T780" i="2"/>
  <c r="T752" i="2"/>
  <c r="T732" i="2"/>
  <c r="T704" i="2"/>
  <c r="T619" i="2"/>
  <c r="T593" i="2"/>
  <c r="T558" i="2"/>
  <c r="T515" i="2"/>
  <c r="T469" i="2"/>
  <c r="T461" i="2"/>
  <c r="T453" i="2"/>
  <c r="T445" i="2"/>
  <c r="T425" i="2"/>
  <c r="T330" i="2"/>
  <c r="T75" i="2"/>
  <c r="P99" i="2"/>
  <c r="P165" i="2"/>
  <c r="P407" i="2"/>
  <c r="P391" i="2"/>
  <c r="P479" i="2"/>
  <c r="O420" i="2"/>
  <c r="T420" i="2" s="1"/>
  <c r="P519" i="2"/>
  <c r="T943" i="2"/>
  <c r="T933" i="2"/>
  <c r="T880" i="2"/>
  <c r="T860" i="2"/>
  <c r="T840" i="2"/>
  <c r="T827" i="2"/>
  <c r="T800" i="2"/>
  <c r="T776" i="2"/>
  <c r="T748" i="2"/>
  <c r="T720" i="2"/>
  <c r="T700" i="2"/>
  <c r="T671" i="2"/>
  <c r="T663" i="2"/>
  <c r="T655" i="2"/>
  <c r="T651" i="2"/>
  <c r="T643" i="2"/>
  <c r="T635" i="2"/>
  <c r="T627" i="2"/>
  <c r="T615" i="2"/>
  <c r="T589" i="2"/>
  <c r="T542" i="2"/>
  <c r="T433" i="2"/>
  <c r="T421" i="2"/>
  <c r="T414" i="2"/>
  <c r="O428" i="2"/>
  <c r="O592" i="2"/>
  <c r="T592" i="2" s="1"/>
  <c r="P579" i="2"/>
  <c r="P567" i="2"/>
  <c r="P559" i="2"/>
  <c r="P543" i="2"/>
  <c r="P531" i="2"/>
  <c r="P523" i="2"/>
  <c r="O664" i="2"/>
  <c r="R664" i="2" s="1"/>
  <c r="O656" i="2"/>
  <c r="O652" i="2"/>
  <c r="R652" i="2" s="1"/>
  <c r="O644" i="2"/>
  <c r="R644" i="2" s="1"/>
  <c r="O636" i="2"/>
  <c r="R636" i="2" s="1"/>
  <c r="P815" i="2"/>
  <c r="P807" i="2"/>
  <c r="P799" i="2"/>
  <c r="P791" i="2"/>
  <c r="P783" i="2"/>
  <c r="P775" i="2"/>
  <c r="P767" i="2"/>
  <c r="P759" i="2"/>
  <c r="P751" i="2"/>
  <c r="P735" i="2"/>
  <c r="P727" i="2"/>
  <c r="P719" i="2"/>
  <c r="P711" i="2"/>
  <c r="P703" i="2"/>
  <c r="P695" i="2"/>
  <c r="P879" i="2"/>
  <c r="P863" i="2"/>
  <c r="P847" i="2"/>
  <c r="P839" i="2"/>
  <c r="P831" i="2"/>
  <c r="O944" i="2"/>
  <c r="T944" i="2" s="1"/>
  <c r="O936" i="2"/>
  <c r="R936" i="2" s="1"/>
  <c r="P901" i="2"/>
  <c r="P885" i="2"/>
  <c r="T2" i="2"/>
  <c r="T912" i="2"/>
  <c r="T892" i="2"/>
  <c r="T595" i="2"/>
  <c r="T587" i="2"/>
  <c r="T493" i="2"/>
  <c r="T383" i="2"/>
  <c r="T337" i="2"/>
  <c r="T197" i="2"/>
  <c r="O422" i="2"/>
  <c r="T422" i="2" s="1"/>
  <c r="R914" i="2"/>
  <c r="P311" i="2"/>
  <c r="P213" i="2"/>
  <c r="O470" i="2"/>
  <c r="T470" i="2" s="1"/>
  <c r="P535" i="2"/>
  <c r="P905" i="2"/>
  <c r="T947" i="2"/>
  <c r="T939" i="2"/>
  <c r="T931" i="2"/>
  <c r="T908" i="2"/>
  <c r="T888" i="2"/>
  <c r="T625" i="2"/>
  <c r="T617" i="2"/>
  <c r="T613" i="2"/>
  <c r="T489" i="2"/>
  <c r="T439" i="2"/>
  <c r="T431" i="2"/>
  <c r="T423" i="2"/>
  <c r="T382" i="2"/>
  <c r="O630" i="2"/>
  <c r="T630" i="2" s="1"/>
  <c r="P493" i="2"/>
  <c r="O444" i="2"/>
  <c r="T444" i="2" s="1"/>
  <c r="R898" i="2"/>
  <c r="P277" i="2"/>
  <c r="P367" i="2"/>
  <c r="O49" i="2"/>
  <c r="T49" i="2" s="1"/>
  <c r="O33" i="2"/>
  <c r="R33" i="2" s="1"/>
  <c r="O65" i="2"/>
  <c r="R65" i="2" s="1"/>
  <c r="O131" i="2"/>
  <c r="Q131" i="2" s="1"/>
  <c r="P351" i="2"/>
  <c r="P343" i="2"/>
  <c r="O509" i="2"/>
  <c r="O501" i="2"/>
  <c r="P468" i="2"/>
  <c r="O596" i="2"/>
  <c r="T596" i="2" s="1"/>
  <c r="P583" i="2"/>
  <c r="P662" i="2"/>
  <c r="P654" i="2"/>
  <c r="P650" i="2"/>
  <c r="P642" i="2"/>
  <c r="P634" i="2"/>
  <c r="O813" i="2"/>
  <c r="Q813" i="2" s="1"/>
  <c r="O805" i="2"/>
  <c r="Q805" i="2" s="1"/>
  <c r="O797" i="2"/>
  <c r="R797" i="2" s="1"/>
  <c r="O789" i="2"/>
  <c r="Q789" i="2" s="1"/>
  <c r="O781" i="2"/>
  <c r="Q781" i="2" s="1"/>
  <c r="O773" i="2"/>
  <c r="R773" i="2" s="1"/>
  <c r="O765" i="2"/>
  <c r="R765" i="2" s="1"/>
  <c r="O757" i="2"/>
  <c r="R757" i="2" s="1"/>
  <c r="O749" i="2"/>
  <c r="R749" i="2" s="1"/>
  <c r="R741" i="2"/>
  <c r="O733" i="2"/>
  <c r="R733" i="2" s="1"/>
  <c r="O725" i="2"/>
  <c r="R725" i="2" s="1"/>
  <c r="O717" i="2"/>
  <c r="R717" i="2" s="1"/>
  <c r="O709" i="2"/>
  <c r="R709" i="2" s="1"/>
  <c r="O701" i="2"/>
  <c r="R701" i="2" s="1"/>
  <c r="O693" i="2"/>
  <c r="R693" i="2" s="1"/>
  <c r="L928" i="2"/>
  <c r="T904" i="2"/>
  <c r="T881" i="2"/>
  <c r="T591" i="2"/>
  <c r="T370" i="2"/>
  <c r="T15" i="2"/>
  <c r="R948" i="2"/>
  <c r="R882" i="2"/>
  <c r="Q794" i="2"/>
  <c r="T428" i="2"/>
  <c r="Q428" i="2"/>
  <c r="Q626" i="2"/>
  <c r="R944" i="2"/>
  <c r="O45" i="2"/>
  <c r="P45" i="2"/>
  <c r="O69" i="2"/>
  <c r="P69" i="2"/>
  <c r="O97" i="2"/>
  <c r="P97" i="2"/>
  <c r="O81" i="2"/>
  <c r="P81" i="2"/>
  <c r="O321" i="2"/>
  <c r="P321" i="2"/>
  <c r="O313" i="2"/>
  <c r="P313" i="2"/>
  <c r="O279" i="2"/>
  <c r="P279" i="2"/>
  <c r="O271" i="2"/>
  <c r="P271" i="2"/>
  <c r="O231" i="2"/>
  <c r="P231" i="2"/>
  <c r="O223" i="2"/>
  <c r="P223" i="2"/>
  <c r="O207" i="2"/>
  <c r="P207" i="2"/>
  <c r="O195" i="2"/>
  <c r="P195" i="2"/>
  <c r="O381" i="2"/>
  <c r="P381" i="2"/>
  <c r="O361" i="2"/>
  <c r="P361" i="2"/>
  <c r="P450" i="2"/>
  <c r="O450" i="2"/>
  <c r="P440" i="2"/>
  <c r="O440" i="2"/>
  <c r="P434" i="2"/>
  <c r="O434" i="2"/>
  <c r="P598" i="2"/>
  <c r="O598" i="2"/>
  <c r="O585" i="2"/>
  <c r="P585" i="2"/>
  <c r="O577" i="2"/>
  <c r="P577" i="2"/>
  <c r="O565" i="2"/>
  <c r="P565" i="2"/>
  <c r="O537" i="2"/>
  <c r="P537" i="2"/>
  <c r="O529" i="2"/>
  <c r="P529" i="2"/>
  <c r="P622" i="2"/>
  <c r="O622" i="2"/>
  <c r="O853" i="2"/>
  <c r="P853" i="2"/>
  <c r="O845" i="2"/>
  <c r="P845" i="2"/>
  <c r="O907" i="2"/>
  <c r="P907" i="2"/>
  <c r="Q900" i="2"/>
  <c r="T900" i="2"/>
  <c r="T866" i="2"/>
  <c r="T834" i="2"/>
  <c r="R834" i="2"/>
  <c r="P813" i="2"/>
  <c r="P781" i="2"/>
  <c r="P749" i="2"/>
  <c r="P717" i="2"/>
  <c r="O654" i="2"/>
  <c r="T562" i="2"/>
  <c r="R562" i="2"/>
  <c r="T530" i="2"/>
  <c r="R530" i="2"/>
  <c r="T496" i="2"/>
  <c r="R496" i="2"/>
  <c r="P485" i="2"/>
  <c r="T472" i="2"/>
  <c r="Q472" i="2"/>
  <c r="T410" i="2"/>
  <c r="Q410" i="2"/>
  <c r="T378" i="2"/>
  <c r="Q378" i="2"/>
  <c r="T346" i="2"/>
  <c r="Q346" i="2"/>
  <c r="T322" i="2"/>
  <c r="Q322" i="2"/>
  <c r="T288" i="2"/>
  <c r="R288" i="2"/>
  <c r="P39" i="2"/>
  <c r="P23" i="2"/>
  <c r="P55" i="2"/>
  <c r="P91" i="2"/>
  <c r="P137" i="2"/>
  <c r="P323" i="2"/>
  <c r="P315" i="2"/>
  <c r="P307" i="2"/>
  <c r="P297" i="2"/>
  <c r="P289" i="2"/>
  <c r="P281" i="2"/>
  <c r="P189" i="2"/>
  <c r="P157" i="2"/>
  <c r="P371" i="2"/>
  <c r="P363" i="2"/>
  <c r="O416" i="2"/>
  <c r="T760" i="2"/>
  <c r="T696" i="2"/>
  <c r="T17" i="2"/>
  <c r="T858" i="2"/>
  <c r="R858" i="2"/>
  <c r="P805" i="2"/>
  <c r="P773" i="2"/>
  <c r="P741" i="2"/>
  <c r="P709" i="2"/>
  <c r="T686" i="2"/>
  <c r="Q686" i="2"/>
  <c r="O650" i="2"/>
  <c r="O588" i="2"/>
  <c r="R586" i="2"/>
  <c r="T586" i="2"/>
  <c r="R554" i="2"/>
  <c r="T554" i="2"/>
  <c r="R522" i="2"/>
  <c r="T522" i="2"/>
  <c r="P509" i="2"/>
  <c r="T488" i="2"/>
  <c r="R488" i="2"/>
  <c r="P477" i="2"/>
  <c r="O468" i="2"/>
  <c r="O436" i="2"/>
  <c r="P359" i="2"/>
  <c r="T338" i="2"/>
  <c r="Q338" i="2"/>
  <c r="T314" i="2"/>
  <c r="Q314" i="2"/>
  <c r="T280" i="2"/>
  <c r="R280" i="2"/>
  <c r="P197" i="2"/>
  <c r="P131" i="2"/>
  <c r="P65" i="2"/>
  <c r="P304" i="2"/>
  <c r="O304" i="2"/>
  <c r="O263" i="2"/>
  <c r="P263" i="2"/>
  <c r="O239" i="2"/>
  <c r="P239" i="2"/>
  <c r="O215" i="2"/>
  <c r="P215" i="2"/>
  <c r="O199" i="2"/>
  <c r="P199" i="2"/>
  <c r="O183" i="2"/>
  <c r="P183" i="2"/>
  <c r="O175" i="2"/>
  <c r="P175" i="2"/>
  <c r="O155" i="2"/>
  <c r="P155" i="2"/>
  <c r="O369" i="2"/>
  <c r="P369" i="2"/>
  <c r="O357" i="2"/>
  <c r="P357" i="2"/>
  <c r="P446" i="2"/>
  <c r="O446" i="2"/>
  <c r="O521" i="2"/>
  <c r="P521" i="2"/>
  <c r="P674" i="2"/>
  <c r="O674" i="2"/>
  <c r="P610" i="2"/>
  <c r="O610" i="2"/>
  <c r="O877" i="2"/>
  <c r="P877" i="2"/>
  <c r="O861" i="2"/>
  <c r="P861" i="2"/>
  <c r="O899" i="2"/>
  <c r="P899" i="2"/>
  <c r="O891" i="2"/>
  <c r="P891" i="2"/>
  <c r="O883" i="2"/>
  <c r="P883" i="2"/>
  <c r="O9" i="2"/>
  <c r="P9" i="2"/>
  <c r="R49" i="2"/>
  <c r="O41" i="2"/>
  <c r="P41" i="2"/>
  <c r="O25" i="2"/>
  <c r="P25" i="2"/>
  <c r="O101" i="2"/>
  <c r="P101" i="2"/>
  <c r="O93" i="2"/>
  <c r="P93" i="2"/>
  <c r="O85" i="2"/>
  <c r="P85" i="2"/>
  <c r="O77" i="2"/>
  <c r="P77" i="2"/>
  <c r="O119" i="2"/>
  <c r="P119" i="2"/>
  <c r="O139" i="2"/>
  <c r="P139" i="2"/>
  <c r="O325" i="2"/>
  <c r="P325" i="2"/>
  <c r="O317" i="2"/>
  <c r="P317" i="2"/>
  <c r="O309" i="2"/>
  <c r="P309" i="2"/>
  <c r="O299" i="2"/>
  <c r="P299" i="2"/>
  <c r="O291" i="2"/>
  <c r="P291" i="2"/>
  <c r="O283" i="2"/>
  <c r="P283" i="2"/>
  <c r="O275" i="2"/>
  <c r="P275" i="2"/>
  <c r="O267" i="2"/>
  <c r="P267" i="2"/>
  <c r="O259" i="2"/>
  <c r="P259" i="2"/>
  <c r="O251" i="2"/>
  <c r="P251" i="2"/>
  <c r="O243" i="2"/>
  <c r="P243" i="2"/>
  <c r="O235" i="2"/>
  <c r="P235" i="2"/>
  <c r="O227" i="2"/>
  <c r="P227" i="2"/>
  <c r="O219" i="2"/>
  <c r="P219" i="2"/>
  <c r="O211" i="2"/>
  <c r="P211" i="2"/>
  <c r="O191" i="2"/>
  <c r="P191" i="2"/>
  <c r="O179" i="2"/>
  <c r="P179" i="2"/>
  <c r="O171" i="2"/>
  <c r="P171" i="2"/>
  <c r="O159" i="2"/>
  <c r="P159" i="2"/>
  <c r="O409" i="2"/>
  <c r="P409" i="2"/>
  <c r="O401" i="2"/>
  <c r="P401" i="2"/>
  <c r="O393" i="2"/>
  <c r="P393" i="2"/>
  <c r="O379" i="2"/>
  <c r="P379" i="2"/>
  <c r="O373" i="2"/>
  <c r="P373" i="2"/>
  <c r="O365" i="2"/>
  <c r="P365" i="2"/>
  <c r="Q359" i="2"/>
  <c r="T359" i="2"/>
  <c r="O353" i="2"/>
  <c r="P353" i="2"/>
  <c r="O345" i="2"/>
  <c r="P345" i="2"/>
  <c r="R509" i="2"/>
  <c r="T509" i="2"/>
  <c r="O481" i="2"/>
  <c r="P481" i="2"/>
  <c r="P464" i="2"/>
  <c r="O464" i="2"/>
  <c r="P448" i="2"/>
  <c r="O448" i="2"/>
  <c r="P430" i="2"/>
  <c r="O430" i="2"/>
  <c r="P418" i="2"/>
  <c r="O418" i="2"/>
  <c r="P594" i="2"/>
  <c r="O594" i="2"/>
  <c r="P581" i="2"/>
  <c r="O573" i="2"/>
  <c r="P573" i="2"/>
  <c r="O569" i="2"/>
  <c r="P569" i="2"/>
  <c r="O561" i="2"/>
  <c r="P561" i="2"/>
  <c r="O553" i="2"/>
  <c r="P553" i="2"/>
  <c r="O539" i="2"/>
  <c r="P539" i="2"/>
  <c r="O533" i="2"/>
  <c r="P533" i="2"/>
  <c r="P525" i="2"/>
  <c r="O517" i="2"/>
  <c r="P517" i="2"/>
  <c r="P658" i="2"/>
  <c r="O658" i="2"/>
  <c r="P646" i="2"/>
  <c r="O646" i="2"/>
  <c r="P638" i="2"/>
  <c r="O638" i="2"/>
  <c r="P626" i="2"/>
  <c r="P618" i="2"/>
  <c r="P614" i="2"/>
  <c r="O817" i="2"/>
  <c r="P817" i="2"/>
  <c r="O809" i="2"/>
  <c r="P809" i="2"/>
  <c r="O801" i="2"/>
  <c r="P801" i="2"/>
  <c r="O793" i="2"/>
  <c r="T793" i="2" s="1"/>
  <c r="P793" i="2"/>
  <c r="O785" i="2"/>
  <c r="P785" i="2"/>
  <c r="O777" i="2"/>
  <c r="P777" i="2"/>
  <c r="O769" i="2"/>
  <c r="P769" i="2"/>
  <c r="O761" i="2"/>
  <c r="P761" i="2"/>
  <c r="O753" i="2"/>
  <c r="P753" i="2"/>
  <c r="O737" i="2"/>
  <c r="P737" i="2"/>
  <c r="O729" i="2"/>
  <c r="P729" i="2"/>
  <c r="O721" i="2"/>
  <c r="P721" i="2"/>
  <c r="O713" i="2"/>
  <c r="P713" i="2"/>
  <c r="O705" i="2"/>
  <c r="P705" i="2"/>
  <c r="O697" i="2"/>
  <c r="P697" i="2"/>
  <c r="O689" i="2"/>
  <c r="P689" i="2"/>
  <c r="O873" i="2"/>
  <c r="P873" i="2"/>
  <c r="O857" i="2"/>
  <c r="P857" i="2"/>
  <c r="O849" i="2"/>
  <c r="P849" i="2"/>
  <c r="O841" i="2"/>
  <c r="P841" i="2"/>
  <c r="O833" i="2"/>
  <c r="P833" i="2"/>
  <c r="P938" i="2"/>
  <c r="O938" i="2"/>
  <c r="L922" i="2"/>
  <c r="T921" i="2"/>
  <c r="O917" i="2"/>
  <c r="P917" i="2"/>
  <c r="O903" i="2"/>
  <c r="P903" i="2"/>
  <c r="O887" i="2"/>
  <c r="P887" i="2"/>
  <c r="T21" i="2"/>
  <c r="T913" i="2"/>
  <c r="T765" i="2"/>
  <c r="T701" i="2"/>
  <c r="T652" i="2"/>
  <c r="Q916" i="2"/>
  <c r="T916" i="2"/>
  <c r="Q884" i="2"/>
  <c r="T884" i="2"/>
  <c r="T850" i="2"/>
  <c r="R850" i="2"/>
  <c r="P797" i="2"/>
  <c r="P765" i="2"/>
  <c r="P733" i="2"/>
  <c r="P701" i="2"/>
  <c r="O670" i="2"/>
  <c r="O642" i="2"/>
  <c r="O618" i="2"/>
  <c r="T578" i="2"/>
  <c r="R578" i="2"/>
  <c r="T546" i="2"/>
  <c r="R546" i="2"/>
  <c r="T512" i="2"/>
  <c r="R512" i="2"/>
  <c r="P501" i="2"/>
  <c r="T480" i="2"/>
  <c r="R480" i="2"/>
  <c r="O460" i="2"/>
  <c r="T394" i="2"/>
  <c r="Q394" i="2"/>
  <c r="T362" i="2"/>
  <c r="Q362" i="2"/>
  <c r="T306" i="2"/>
  <c r="Q306" i="2"/>
  <c r="P115" i="2"/>
  <c r="P49" i="2"/>
  <c r="O13" i="2"/>
  <c r="P13" i="2"/>
  <c r="O37" i="2"/>
  <c r="P37" i="2"/>
  <c r="O29" i="2"/>
  <c r="P29" i="2"/>
  <c r="O61" i="2"/>
  <c r="P61" i="2"/>
  <c r="O105" i="2"/>
  <c r="P105" i="2"/>
  <c r="O89" i="2"/>
  <c r="P89" i="2"/>
  <c r="O123" i="2"/>
  <c r="P123" i="2"/>
  <c r="O135" i="2"/>
  <c r="P135" i="2"/>
  <c r="O329" i="2"/>
  <c r="P329" i="2"/>
  <c r="O295" i="2"/>
  <c r="P295" i="2"/>
  <c r="O287" i="2"/>
  <c r="P287" i="2"/>
  <c r="O255" i="2"/>
  <c r="P255" i="2"/>
  <c r="O247" i="2"/>
  <c r="P247" i="2"/>
  <c r="O163" i="2"/>
  <c r="P163" i="2"/>
  <c r="O405" i="2"/>
  <c r="P405" i="2"/>
  <c r="O397" i="2"/>
  <c r="P397" i="2"/>
  <c r="O377" i="2"/>
  <c r="P377" i="2"/>
  <c r="O349" i="2"/>
  <c r="P349" i="2"/>
  <c r="O513" i="2"/>
  <c r="P513" i="2"/>
  <c r="O505" i="2"/>
  <c r="P505" i="2"/>
  <c r="P456" i="2"/>
  <c r="P426" i="2"/>
  <c r="O426" i="2"/>
  <c r="P590" i="2"/>
  <c r="O590" i="2"/>
  <c r="O571" i="2"/>
  <c r="P571" i="2"/>
  <c r="O557" i="2"/>
  <c r="P557" i="2"/>
  <c r="O549" i="2"/>
  <c r="P549" i="2"/>
  <c r="O541" i="2"/>
  <c r="P541" i="2"/>
  <c r="O837" i="2"/>
  <c r="P837" i="2"/>
  <c r="P942" i="2"/>
  <c r="O942" i="2"/>
  <c r="P934" i="2"/>
  <c r="O934" i="2"/>
  <c r="O919" i="2"/>
  <c r="P919" i="2"/>
  <c r="O3" i="2"/>
  <c r="T71" i="2"/>
  <c r="T797" i="2"/>
  <c r="O11" i="2"/>
  <c r="P11" i="2"/>
  <c r="O51" i="2"/>
  <c r="P51" i="2"/>
  <c r="O43" i="2"/>
  <c r="P43" i="2"/>
  <c r="O35" i="2"/>
  <c r="P35" i="2"/>
  <c r="O27" i="2"/>
  <c r="P27" i="2"/>
  <c r="O67" i="2"/>
  <c r="P67" i="2"/>
  <c r="O59" i="2"/>
  <c r="P59" i="2"/>
  <c r="O103" i="2"/>
  <c r="P103" i="2"/>
  <c r="O95" i="2"/>
  <c r="P95" i="2"/>
  <c r="O87" i="2"/>
  <c r="P87" i="2"/>
  <c r="O79" i="2"/>
  <c r="P79" i="2"/>
  <c r="O121" i="2"/>
  <c r="P121" i="2"/>
  <c r="O113" i="2"/>
  <c r="P113" i="2"/>
  <c r="O133" i="2"/>
  <c r="P133" i="2"/>
  <c r="O327" i="2"/>
  <c r="O319" i="2"/>
  <c r="O311" i="2"/>
  <c r="O301" i="2"/>
  <c r="O293" i="2"/>
  <c r="O285" i="2"/>
  <c r="O277" i="2"/>
  <c r="O269" i="2"/>
  <c r="P269" i="2"/>
  <c r="O261" i="2"/>
  <c r="O253" i="2"/>
  <c r="P253" i="2"/>
  <c r="O245" i="2"/>
  <c r="O237" i="2"/>
  <c r="P237" i="2"/>
  <c r="O229" i="2"/>
  <c r="O221" i="2"/>
  <c r="P221" i="2"/>
  <c r="O213" i="2"/>
  <c r="O193" i="2"/>
  <c r="P193" i="2"/>
  <c r="O187" i="2"/>
  <c r="P187" i="2"/>
  <c r="O181" i="2"/>
  <c r="O173" i="2"/>
  <c r="P173" i="2"/>
  <c r="O161" i="2"/>
  <c r="P161" i="2"/>
  <c r="O411" i="2"/>
  <c r="P411" i="2"/>
  <c r="O403" i="2"/>
  <c r="P403" i="2"/>
  <c r="O395" i="2"/>
  <c r="P395" i="2"/>
  <c r="O375" i="2"/>
  <c r="O367" i="2"/>
  <c r="O355" i="2"/>
  <c r="P355" i="2"/>
  <c r="O347" i="2"/>
  <c r="P347" i="2"/>
  <c r="P511" i="2"/>
  <c r="O503" i="2"/>
  <c r="P503" i="2"/>
  <c r="O491" i="2"/>
  <c r="P491" i="2"/>
  <c r="O483" i="2"/>
  <c r="P483" i="2"/>
  <c r="O475" i="2"/>
  <c r="P475" i="2"/>
  <c r="P466" i="2"/>
  <c r="O466" i="2"/>
  <c r="P454" i="2"/>
  <c r="O454" i="2"/>
  <c r="P438" i="2"/>
  <c r="O438" i="2"/>
  <c r="P432" i="2"/>
  <c r="O432" i="2"/>
  <c r="P424" i="2"/>
  <c r="O424" i="2"/>
  <c r="P420" i="2"/>
  <c r="P596" i="2"/>
  <c r="O575" i="2"/>
  <c r="O563" i="2"/>
  <c r="P563" i="2"/>
  <c r="O555" i="2"/>
  <c r="P555" i="2"/>
  <c r="O535" i="2"/>
  <c r="O519" i="2"/>
  <c r="P672" i="2"/>
  <c r="O672" i="2"/>
  <c r="P666" i="2"/>
  <c r="O666" i="2"/>
  <c r="P660" i="2"/>
  <c r="O660" i="2"/>
  <c r="P648" i="2"/>
  <c r="O648" i="2"/>
  <c r="P640" i="2"/>
  <c r="O640" i="2"/>
  <c r="P632" i="2"/>
  <c r="O632" i="2"/>
  <c r="P628" i="2"/>
  <c r="O628" i="2"/>
  <c r="P620" i="2"/>
  <c r="O620" i="2"/>
  <c r="P616" i="2"/>
  <c r="O616" i="2"/>
  <c r="O819" i="2"/>
  <c r="P819" i="2"/>
  <c r="O811" i="2"/>
  <c r="P811" i="2"/>
  <c r="O803" i="2"/>
  <c r="T803" i="2" s="1"/>
  <c r="P803" i="2"/>
  <c r="O795" i="2"/>
  <c r="P795" i="2"/>
  <c r="O787" i="2"/>
  <c r="P787" i="2"/>
  <c r="O779" i="2"/>
  <c r="T779" i="2" s="1"/>
  <c r="P779" i="2"/>
  <c r="O771" i="2"/>
  <c r="P771" i="2"/>
  <c r="O763" i="2"/>
  <c r="P763" i="2"/>
  <c r="O755" i="2"/>
  <c r="P755" i="2"/>
  <c r="O747" i="2"/>
  <c r="P747" i="2"/>
  <c r="P739" i="2"/>
  <c r="O731" i="2"/>
  <c r="P731" i="2"/>
  <c r="O723" i="2"/>
  <c r="P723" i="2"/>
  <c r="O715" i="2"/>
  <c r="P715" i="2"/>
  <c r="O707" i="2"/>
  <c r="P707" i="2"/>
  <c r="O699" i="2"/>
  <c r="P699" i="2"/>
  <c r="O691" i="2"/>
  <c r="P691" i="2"/>
  <c r="O875" i="2"/>
  <c r="P875" i="2"/>
  <c r="O859" i="2"/>
  <c r="P859" i="2"/>
  <c r="O851" i="2"/>
  <c r="P851" i="2"/>
  <c r="O843" i="2"/>
  <c r="P843" i="2"/>
  <c r="O835" i="2"/>
  <c r="P835" i="2"/>
  <c r="P940" i="2"/>
  <c r="O940" i="2"/>
  <c r="O905" i="2"/>
  <c r="O897" i="2"/>
  <c r="O889" i="2"/>
  <c r="R4" i="2"/>
  <c r="T4" i="2"/>
  <c r="R149" i="2"/>
  <c r="T149" i="2"/>
  <c r="T73" i="2"/>
  <c r="T19" i="2"/>
  <c r="T757" i="2"/>
  <c r="T749" i="2"/>
  <c r="T728" i="2"/>
  <c r="T693" i="2"/>
  <c r="T664" i="2"/>
  <c r="T335" i="2"/>
  <c r="T65" i="2"/>
  <c r="T928" i="2"/>
  <c r="P897" i="2"/>
  <c r="T874" i="2"/>
  <c r="R874" i="2"/>
  <c r="T842" i="2"/>
  <c r="R842" i="2"/>
  <c r="P789" i="2"/>
  <c r="P757" i="2"/>
  <c r="P725" i="2"/>
  <c r="P693" i="2"/>
  <c r="O662" i="2"/>
  <c r="O634" i="2"/>
  <c r="O614" i="2"/>
  <c r="P527" i="2"/>
  <c r="T504" i="2"/>
  <c r="R504" i="2"/>
  <c r="O452" i="2"/>
  <c r="Q386" i="2"/>
  <c r="T386" i="2"/>
  <c r="P375" i="2"/>
  <c r="Q354" i="2"/>
  <c r="T354" i="2"/>
  <c r="P319" i="2"/>
  <c r="T296" i="2"/>
  <c r="R296" i="2"/>
  <c r="P285" i="2"/>
  <c r="P229" i="2"/>
  <c r="P33" i="2"/>
  <c r="T918" i="2"/>
  <c r="R918" i="2"/>
  <c r="T910" i="2"/>
  <c r="R910" i="2"/>
  <c r="T902" i="2"/>
  <c r="R902" i="2"/>
  <c r="T894" i="2"/>
  <c r="R894" i="2"/>
  <c r="T886" i="2"/>
  <c r="R886" i="2"/>
  <c r="T818" i="2"/>
  <c r="R818" i="2"/>
  <c r="T810" i="2"/>
  <c r="R810" i="2"/>
  <c r="T786" i="2"/>
  <c r="R786" i="2"/>
  <c r="T770" i="2"/>
  <c r="Q770" i="2"/>
  <c r="T762" i="2"/>
  <c r="Q762" i="2"/>
  <c r="T754" i="2"/>
  <c r="Q754" i="2"/>
  <c r="T746" i="2"/>
  <c r="Q746" i="2"/>
  <c r="T738" i="2"/>
  <c r="T730" i="2"/>
  <c r="Q730" i="2"/>
  <c r="T722" i="2"/>
  <c r="T714" i="2"/>
  <c r="Q714" i="2"/>
  <c r="T706" i="2"/>
  <c r="Q706" i="2"/>
  <c r="T698" i="2"/>
  <c r="Q698" i="2"/>
  <c r="T690" i="2"/>
  <c r="Q690" i="2"/>
  <c r="T580" i="2"/>
  <c r="Q580" i="2"/>
  <c r="T572" i="2"/>
  <c r="Q572" i="2"/>
  <c r="T564" i="2"/>
  <c r="Q564" i="2"/>
  <c r="T556" i="2"/>
  <c r="Q556" i="2"/>
  <c r="T548" i="2"/>
  <c r="Q548" i="2"/>
  <c r="T540" i="2"/>
  <c r="Q540" i="2"/>
  <c r="T532" i="2"/>
  <c r="Q532" i="2"/>
  <c r="T524" i="2"/>
  <c r="Q524" i="2"/>
  <c r="T516" i="2"/>
  <c r="Q516" i="2"/>
  <c r="T514" i="2"/>
  <c r="Q514" i="2"/>
  <c r="T498" i="2"/>
  <c r="Q498" i="2"/>
  <c r="T482" i="2"/>
  <c r="Q482" i="2"/>
  <c r="R422" i="2"/>
  <c r="T412" i="2"/>
  <c r="R412" i="2"/>
  <c r="T404" i="2"/>
  <c r="R404" i="2"/>
  <c r="T396" i="2"/>
  <c r="R396" i="2"/>
  <c r="T388" i="2"/>
  <c r="R388" i="2"/>
  <c r="T380" i="2"/>
  <c r="R380" i="2"/>
  <c r="T372" i="2"/>
  <c r="R372" i="2"/>
  <c r="T364" i="2"/>
  <c r="R364" i="2"/>
  <c r="T356" i="2"/>
  <c r="R356" i="2"/>
  <c r="T348" i="2"/>
  <c r="R348" i="2"/>
  <c r="T340" i="2"/>
  <c r="R340" i="2"/>
  <c r="T332" i="2"/>
  <c r="R332" i="2"/>
  <c r="T324" i="2"/>
  <c r="R324" i="2"/>
  <c r="T316" i="2"/>
  <c r="R316" i="2"/>
  <c r="T308" i="2"/>
  <c r="R308" i="2"/>
  <c r="T290" i="2"/>
  <c r="Q290" i="2"/>
  <c r="T282" i="2"/>
  <c r="Q282" i="2"/>
  <c r="T270" i="2"/>
  <c r="Q270" i="2"/>
  <c r="T264" i="2"/>
  <c r="R264" i="2"/>
  <c r="T254" i="2"/>
  <c r="Q254" i="2"/>
  <c r="T248" i="2"/>
  <c r="R248" i="2"/>
  <c r="T238" i="2"/>
  <c r="R238" i="2"/>
  <c r="T232" i="2"/>
  <c r="R232" i="2"/>
  <c r="T222" i="2"/>
  <c r="Q222" i="2"/>
  <c r="T216" i="2"/>
  <c r="R216" i="2"/>
  <c r="T206" i="2"/>
  <c r="Q206" i="2"/>
  <c r="T200" i="2"/>
  <c r="R200" i="2"/>
  <c r="T190" i="2"/>
  <c r="Q190" i="2"/>
  <c r="T184" i="2"/>
  <c r="R184" i="2"/>
  <c r="T174" i="2"/>
  <c r="Q174" i="2"/>
  <c r="T168" i="2"/>
  <c r="R168" i="2"/>
  <c r="T158" i="2"/>
  <c r="Q158" i="2"/>
  <c r="T152" i="2"/>
  <c r="R152" i="2"/>
  <c r="T142" i="2"/>
  <c r="Q142" i="2"/>
  <c r="T140" i="2"/>
  <c r="R140" i="2"/>
  <c r="T124" i="2"/>
  <c r="R124" i="2"/>
  <c r="T118" i="2"/>
  <c r="Q118" i="2"/>
  <c r="T108" i="2"/>
  <c r="R108" i="2"/>
  <c r="T92" i="2"/>
  <c r="R92" i="2"/>
  <c r="T86" i="2"/>
  <c r="Q86" i="2"/>
  <c r="T76" i="2"/>
  <c r="R76" i="2"/>
  <c r="T68" i="2"/>
  <c r="R68" i="2"/>
  <c r="T58" i="2"/>
  <c r="Q58" i="2"/>
  <c r="T52" i="2"/>
  <c r="Q52" i="2"/>
  <c r="T36" i="2"/>
  <c r="R36" i="2"/>
  <c r="T26" i="2"/>
  <c r="Q26" i="2"/>
  <c r="R20" i="2"/>
  <c r="T878" i="2"/>
  <c r="R878" i="2"/>
  <c r="T870" i="2"/>
  <c r="R870" i="2"/>
  <c r="T862" i="2"/>
  <c r="R862" i="2"/>
  <c r="T854" i="2"/>
  <c r="R854" i="2"/>
  <c r="T846" i="2"/>
  <c r="R846" i="2"/>
  <c r="T838" i="2"/>
  <c r="R838" i="2"/>
  <c r="T826" i="2"/>
  <c r="Q826" i="2"/>
  <c r="T822" i="2"/>
  <c r="Q822" i="2"/>
  <c r="T582" i="2"/>
  <c r="R582" i="2"/>
  <c r="T566" i="2"/>
  <c r="R566" i="2"/>
  <c r="T550" i="2"/>
  <c r="R550" i="2"/>
  <c r="T534" i="2"/>
  <c r="R534" i="2"/>
  <c r="T518" i="2"/>
  <c r="R518" i="2"/>
  <c r="T508" i="2"/>
  <c r="R508" i="2"/>
  <c r="T500" i="2"/>
  <c r="R500" i="2"/>
  <c r="T492" i="2"/>
  <c r="R492" i="2"/>
  <c r="T484" i="2"/>
  <c r="R484" i="2"/>
  <c r="T476" i="2"/>
  <c r="R476" i="2"/>
  <c r="T406" i="2"/>
  <c r="Q406" i="2"/>
  <c r="T390" i="2"/>
  <c r="Q390" i="2"/>
  <c r="T374" i="2"/>
  <c r="Q374" i="2"/>
  <c r="T358" i="2"/>
  <c r="Q358" i="2"/>
  <c r="T342" i="2"/>
  <c r="Q342" i="2"/>
  <c r="T334" i="2"/>
  <c r="Q334" i="2"/>
  <c r="T318" i="2"/>
  <c r="Q318" i="2"/>
  <c r="T310" i="2"/>
  <c r="Q310" i="2"/>
  <c r="T300" i="2"/>
  <c r="R300" i="2"/>
  <c r="T292" i="2"/>
  <c r="R292" i="2"/>
  <c r="T284" i="2"/>
  <c r="R284" i="2"/>
  <c r="M6" i="2"/>
  <c r="O5" i="2"/>
  <c r="P5" i="2"/>
  <c r="O47" i="2"/>
  <c r="O39" i="2"/>
  <c r="O31" i="2"/>
  <c r="O23" i="2"/>
  <c r="O63" i="2"/>
  <c r="O55" i="2"/>
  <c r="O99" i="2"/>
  <c r="O91" i="2"/>
  <c r="O83" i="2"/>
  <c r="O125" i="2"/>
  <c r="P125" i="2"/>
  <c r="O117" i="2"/>
  <c r="P117" i="2"/>
  <c r="O137" i="2"/>
  <c r="O129" i="2"/>
  <c r="O323" i="2"/>
  <c r="O315" i="2"/>
  <c r="O307" i="2"/>
  <c r="O297" i="2"/>
  <c r="O289" i="2"/>
  <c r="O281" i="2"/>
  <c r="O273" i="2"/>
  <c r="P273" i="2"/>
  <c r="O265" i="2"/>
  <c r="P265" i="2"/>
  <c r="O257" i="2"/>
  <c r="P257" i="2"/>
  <c r="O249" i="2"/>
  <c r="P249" i="2"/>
  <c r="O241" i="2"/>
  <c r="P241" i="2"/>
  <c r="O233" i="2"/>
  <c r="P233" i="2"/>
  <c r="O225" i="2"/>
  <c r="P225" i="2"/>
  <c r="O217" i="2"/>
  <c r="P217" i="2"/>
  <c r="O209" i="2"/>
  <c r="P209" i="2"/>
  <c r="O201" i="2"/>
  <c r="P201" i="2"/>
  <c r="O189" i="2"/>
  <c r="O185" i="2"/>
  <c r="P185" i="2"/>
  <c r="O177" i="2"/>
  <c r="P177" i="2"/>
  <c r="O169" i="2"/>
  <c r="P169" i="2"/>
  <c r="O165" i="2"/>
  <c r="O157" i="2"/>
  <c r="O407" i="2"/>
  <c r="O399" i="2"/>
  <c r="O391" i="2"/>
  <c r="O371" i="2"/>
  <c r="O363" i="2"/>
  <c r="O351" i="2"/>
  <c r="O343" i="2"/>
  <c r="O507" i="2"/>
  <c r="O499" i="2"/>
  <c r="O479" i="2"/>
  <c r="P470" i="2"/>
  <c r="P458" i="2"/>
  <c r="P442" i="2"/>
  <c r="P428" i="2"/>
  <c r="P416" i="2"/>
  <c r="P592" i="2"/>
  <c r="O579" i="2"/>
  <c r="O567" i="2"/>
  <c r="O559" i="2"/>
  <c r="O551" i="2"/>
  <c r="O543" i="2"/>
  <c r="O531" i="2"/>
  <c r="O523" i="2"/>
  <c r="P676" i="2"/>
  <c r="P668" i="2"/>
  <c r="P664" i="2"/>
  <c r="P656" i="2"/>
  <c r="P652" i="2"/>
  <c r="P644" i="2"/>
  <c r="P636" i="2"/>
  <c r="P624" i="2"/>
  <c r="P612" i="2"/>
  <c r="O815" i="2"/>
  <c r="O807" i="2"/>
  <c r="O799" i="2"/>
  <c r="O791" i="2"/>
  <c r="O783" i="2"/>
  <c r="O775" i="2"/>
  <c r="O767" i="2"/>
  <c r="O759" i="2"/>
  <c r="O751" i="2"/>
  <c r="O735" i="2"/>
  <c r="O727" i="2"/>
  <c r="O719" i="2"/>
  <c r="O711" i="2"/>
  <c r="O703" i="2"/>
  <c r="O695" i="2"/>
  <c r="O879" i="2"/>
  <c r="O863" i="2"/>
  <c r="O855" i="2"/>
  <c r="O847" i="2"/>
  <c r="O839" i="2"/>
  <c r="O831" i="2"/>
  <c r="T831" i="2" s="1"/>
  <c r="P944" i="2"/>
  <c r="P936" i="2"/>
  <c r="O901" i="2"/>
  <c r="O885" i="2"/>
  <c r="T911" i="2"/>
  <c r="T895" i="2"/>
  <c r="T868" i="2"/>
  <c r="T852" i="2"/>
  <c r="T836" i="2"/>
  <c r="T804" i="2"/>
  <c r="T788" i="2"/>
  <c r="T772" i="2"/>
  <c r="T756" i="2"/>
  <c r="T740" i="2"/>
  <c r="T724" i="2"/>
  <c r="T708" i="2"/>
  <c r="T692" i="2"/>
  <c r="T490" i="2"/>
  <c r="T398" i="2"/>
  <c r="T366" i="2"/>
  <c r="T326" i="2"/>
  <c r="T134" i="2"/>
  <c r="T102" i="2"/>
  <c r="T74" i="2"/>
  <c r="T10" i="2"/>
  <c r="T814" i="2"/>
  <c r="R814" i="2"/>
  <c r="T806" i="2"/>
  <c r="R806" i="2"/>
  <c r="T798" i="2"/>
  <c r="Q798" i="2"/>
  <c r="T790" i="2"/>
  <c r="R790" i="2"/>
  <c r="T782" i="2"/>
  <c r="R782" i="2"/>
  <c r="T774" i="2"/>
  <c r="Q774" i="2"/>
  <c r="T766" i="2"/>
  <c r="Q766" i="2"/>
  <c r="T758" i="2"/>
  <c r="Q758" i="2"/>
  <c r="T750" i="2"/>
  <c r="Q750" i="2"/>
  <c r="T742" i="2"/>
  <c r="Q742" i="2"/>
  <c r="T734" i="2"/>
  <c r="Q734" i="2"/>
  <c r="T726" i="2"/>
  <c r="Q726" i="2"/>
  <c r="T718" i="2"/>
  <c r="Q718" i="2"/>
  <c r="T710" i="2"/>
  <c r="Q710" i="2"/>
  <c r="T702" i="2"/>
  <c r="Q702" i="2"/>
  <c r="T694" i="2"/>
  <c r="Q694" i="2"/>
  <c r="O676" i="2"/>
  <c r="O668" i="2"/>
  <c r="O624" i="2"/>
  <c r="O612" i="2"/>
  <c r="T584" i="2"/>
  <c r="Q584" i="2"/>
  <c r="T576" i="2"/>
  <c r="Q576" i="2"/>
  <c r="T568" i="2"/>
  <c r="Q568" i="2"/>
  <c r="T560" i="2"/>
  <c r="Q560" i="2"/>
  <c r="T552" i="2"/>
  <c r="Q552" i="2"/>
  <c r="T544" i="2"/>
  <c r="Q544" i="2"/>
  <c r="T536" i="2"/>
  <c r="Q536" i="2"/>
  <c r="T528" i="2"/>
  <c r="Q528" i="2"/>
  <c r="T520" i="2"/>
  <c r="Q520" i="2"/>
  <c r="P507" i="2"/>
  <c r="T502" i="2"/>
  <c r="Q502" i="2"/>
  <c r="P499" i="2"/>
  <c r="T486" i="2"/>
  <c r="Q486" i="2"/>
  <c r="O458" i="2"/>
  <c r="O442" i="2"/>
  <c r="T408" i="2"/>
  <c r="R408" i="2"/>
  <c r="T400" i="2"/>
  <c r="R400" i="2"/>
  <c r="T392" i="2"/>
  <c r="R392" i="2"/>
  <c r="T384" i="2"/>
  <c r="R384" i="2"/>
  <c r="T376" i="2"/>
  <c r="R376" i="2"/>
  <c r="T368" i="2"/>
  <c r="R368" i="2"/>
  <c r="T360" i="2"/>
  <c r="R360" i="2"/>
  <c r="T352" i="2"/>
  <c r="R352" i="2"/>
  <c r="T344" i="2"/>
  <c r="R344" i="2"/>
  <c r="T336" i="2"/>
  <c r="R336" i="2"/>
  <c r="T328" i="2"/>
  <c r="R328" i="2"/>
  <c r="T320" i="2"/>
  <c r="R320" i="2"/>
  <c r="T312" i="2"/>
  <c r="R312" i="2"/>
  <c r="T302" i="2"/>
  <c r="Q302" i="2"/>
  <c r="T286" i="2"/>
  <c r="Q286" i="2"/>
  <c r="T278" i="2"/>
  <c r="Q278" i="2"/>
  <c r="T272" i="2"/>
  <c r="R272" i="2"/>
  <c r="T256" i="2"/>
  <c r="R256" i="2"/>
  <c r="T246" i="2"/>
  <c r="Q246" i="2"/>
  <c r="T240" i="2"/>
  <c r="Q240" i="2"/>
  <c r="T224" i="2"/>
  <c r="R224" i="2"/>
  <c r="T214" i="2"/>
  <c r="Q214" i="2"/>
  <c r="T208" i="2"/>
  <c r="R208" i="2"/>
  <c r="T192" i="2"/>
  <c r="R192" i="2"/>
  <c r="T182" i="2"/>
  <c r="Q182" i="2"/>
  <c r="T176" i="2"/>
  <c r="R176" i="2"/>
  <c r="T160" i="2"/>
  <c r="R160" i="2"/>
  <c r="T150" i="2"/>
  <c r="Q150" i="2"/>
  <c r="T144" i="2"/>
  <c r="R144" i="2"/>
  <c r="T132" i="2"/>
  <c r="R132" i="2"/>
  <c r="P129" i="2"/>
  <c r="T126" i="2"/>
  <c r="Q126" i="2"/>
  <c r="T116" i="2"/>
  <c r="R116" i="2"/>
  <c r="T110" i="2"/>
  <c r="Q110" i="2"/>
  <c r="T100" i="2"/>
  <c r="R100" i="2"/>
  <c r="T94" i="2"/>
  <c r="Q94" i="2"/>
  <c r="T84" i="2"/>
  <c r="R84" i="2"/>
  <c r="T78" i="2"/>
  <c r="Q78" i="2"/>
  <c r="T66" i="2"/>
  <c r="Q66" i="2"/>
  <c r="P63" i="2"/>
  <c r="T60" i="2"/>
  <c r="R60" i="2"/>
  <c r="T50" i="2"/>
  <c r="R50" i="2"/>
  <c r="P47" i="2"/>
  <c r="T44" i="2"/>
  <c r="R44" i="2"/>
  <c r="T34" i="2"/>
  <c r="Q34" i="2"/>
  <c r="P31" i="2"/>
  <c r="T28" i="2"/>
  <c r="R28" i="2"/>
  <c r="Q18" i="2"/>
  <c r="T12" i="2"/>
  <c r="R12" i="2"/>
  <c r="R906" i="2"/>
  <c r="R890" i="2"/>
  <c r="T274" i="2"/>
  <c r="Q274" i="2"/>
  <c r="T258" i="2"/>
  <c r="Q258" i="2"/>
  <c r="T250" i="2"/>
  <c r="Q250" i="2"/>
  <c r="T242" i="2"/>
  <c r="Q242" i="2"/>
  <c r="T226" i="2"/>
  <c r="Q226" i="2"/>
  <c r="T218" i="2"/>
  <c r="Q218" i="2"/>
  <c r="T210" i="2"/>
  <c r="Q210" i="2"/>
  <c r="T194" i="2"/>
  <c r="Q194" i="2"/>
  <c r="T186" i="2"/>
  <c r="Q186" i="2"/>
  <c r="T178" i="2"/>
  <c r="Q178" i="2"/>
  <c r="T162" i="2"/>
  <c r="Q162" i="2"/>
  <c r="T154" i="2"/>
  <c r="Q154" i="2"/>
  <c r="T146" i="2"/>
  <c r="Q146" i="2"/>
  <c r="T136" i="2"/>
  <c r="R136" i="2"/>
  <c r="T128" i="2"/>
  <c r="R128" i="2"/>
  <c r="T120" i="2"/>
  <c r="R120" i="2"/>
  <c r="T112" i="2"/>
  <c r="R112" i="2"/>
  <c r="T104" i="2"/>
  <c r="R104" i="2"/>
  <c r="T96" i="2"/>
  <c r="R96" i="2"/>
  <c r="T88" i="2"/>
  <c r="R88" i="2"/>
  <c r="T80" i="2"/>
  <c r="R80" i="2"/>
  <c r="T62" i="2"/>
  <c r="Q62" i="2"/>
  <c r="T54" i="2"/>
  <c r="Q54" i="2"/>
  <c r="T46" i="2"/>
  <c r="Q46" i="2"/>
  <c r="T30" i="2"/>
  <c r="Q30" i="2"/>
  <c r="T22" i="2"/>
  <c r="Q22" i="2"/>
  <c r="T14" i="2"/>
  <c r="Q14" i="2"/>
  <c r="T276" i="2"/>
  <c r="R276" i="2"/>
  <c r="T268" i="2"/>
  <c r="R268" i="2"/>
  <c r="T260" i="2"/>
  <c r="R260" i="2"/>
  <c r="T252" i="2"/>
  <c r="R252" i="2"/>
  <c r="T244" i="2"/>
  <c r="R244" i="2"/>
  <c r="T236" i="2"/>
  <c r="R236" i="2"/>
  <c r="T228" i="2"/>
  <c r="R228" i="2"/>
  <c r="T220" i="2"/>
  <c r="R220" i="2"/>
  <c r="T212" i="2"/>
  <c r="R212" i="2"/>
  <c r="T204" i="2"/>
  <c r="R204" i="2"/>
  <c r="T196" i="2"/>
  <c r="R196" i="2"/>
  <c r="T188" i="2"/>
  <c r="R188" i="2"/>
  <c r="T180" i="2"/>
  <c r="R180" i="2"/>
  <c r="T172" i="2"/>
  <c r="R172" i="2"/>
  <c r="T164" i="2"/>
  <c r="R164" i="2"/>
  <c r="T156" i="2"/>
  <c r="R156" i="2"/>
  <c r="T148" i="2"/>
  <c r="R148" i="2"/>
  <c r="T130" i="2"/>
  <c r="Q130" i="2"/>
  <c r="T122" i="2"/>
  <c r="Q122" i="2"/>
  <c r="T114" i="2"/>
  <c r="Q114" i="2"/>
  <c r="T98" i="2"/>
  <c r="Q98" i="2"/>
  <c r="T90" i="2"/>
  <c r="Q90" i="2"/>
  <c r="T82" i="2"/>
  <c r="Q82" i="2"/>
  <c r="T64" i="2"/>
  <c r="R64" i="2"/>
  <c r="T56" i="2"/>
  <c r="R56" i="2"/>
  <c r="T48" i="2"/>
  <c r="R48" i="2"/>
  <c r="T40" i="2"/>
  <c r="R40" i="2"/>
  <c r="T32" i="2"/>
  <c r="R32" i="2"/>
  <c r="T24" i="2"/>
  <c r="R24" i="2"/>
  <c r="T16" i="2"/>
  <c r="R16" i="2"/>
  <c r="T8" i="2"/>
  <c r="R8" i="2"/>
  <c r="Q630" i="2" l="1"/>
  <c r="R470" i="2"/>
  <c r="T115" i="2"/>
  <c r="R485" i="2"/>
  <c r="T636" i="2"/>
  <c r="T733" i="2"/>
  <c r="T936" i="2"/>
  <c r="T141" i="2"/>
  <c r="T717" i="2"/>
  <c r="R538" i="2"/>
  <c r="T538" i="2"/>
  <c r="T644" i="2"/>
  <c r="Q596" i="2"/>
  <c r="Q444" i="2"/>
  <c r="T813" i="2"/>
  <c r="T781" i="2"/>
  <c r="T741" i="2"/>
  <c r="T773" i="2"/>
  <c r="T477" i="2"/>
  <c r="Q592" i="2"/>
  <c r="T33" i="2"/>
  <c r="Q420" i="2"/>
  <c r="T709" i="2"/>
  <c r="T805" i="2"/>
  <c r="R501" i="2"/>
  <c r="T501" i="2"/>
  <c r="T789" i="2"/>
  <c r="T131" i="2"/>
  <c r="T725" i="2"/>
  <c r="R656" i="2"/>
  <c r="T656" i="2"/>
  <c r="T458" i="2"/>
  <c r="R458" i="2"/>
  <c r="R109" i="2"/>
  <c r="T109" i="2"/>
  <c r="Q695" i="2"/>
  <c r="T695" i="2"/>
  <c r="R791" i="2"/>
  <c r="T791" i="2"/>
  <c r="Q363" i="2"/>
  <c r="T363" i="2"/>
  <c r="R185" i="2"/>
  <c r="T185" i="2"/>
  <c r="R297" i="2"/>
  <c r="T297" i="2"/>
  <c r="R5" i="2"/>
  <c r="T5" i="2"/>
  <c r="Q905" i="2"/>
  <c r="T905" i="2"/>
  <c r="R851" i="2"/>
  <c r="T851" i="2"/>
  <c r="Q723" i="2"/>
  <c r="T723" i="2"/>
  <c r="R193" i="2"/>
  <c r="T193" i="2"/>
  <c r="R261" i="2"/>
  <c r="T261" i="2"/>
  <c r="Q869" i="2"/>
  <c r="T869" i="2"/>
  <c r="Q495" i="2"/>
  <c r="T495" i="2"/>
  <c r="R397" i="2"/>
  <c r="T397" i="2"/>
  <c r="Q255" i="2"/>
  <c r="T255" i="2"/>
  <c r="R89" i="2"/>
  <c r="T89" i="2"/>
  <c r="R37" i="2"/>
  <c r="T37" i="2"/>
  <c r="T460" i="2"/>
  <c r="Q460" i="2"/>
  <c r="R539" i="2"/>
  <c r="T539" i="2"/>
  <c r="Q569" i="2"/>
  <c r="T569" i="2"/>
  <c r="Q487" i="2"/>
  <c r="T487" i="2"/>
  <c r="R345" i="2"/>
  <c r="T345" i="2"/>
  <c r="R373" i="2"/>
  <c r="T373" i="2"/>
  <c r="R401" i="2"/>
  <c r="T401" i="2"/>
  <c r="Q179" i="2"/>
  <c r="T179" i="2"/>
  <c r="Q219" i="2"/>
  <c r="T219" i="2"/>
  <c r="Q251" i="2"/>
  <c r="T251" i="2"/>
  <c r="Q283" i="2"/>
  <c r="T283" i="2"/>
  <c r="R317" i="2"/>
  <c r="T317" i="2"/>
  <c r="R77" i="2"/>
  <c r="T77" i="2"/>
  <c r="R93" i="2"/>
  <c r="T93" i="2"/>
  <c r="Q331" i="2"/>
  <c r="T331" i="2"/>
  <c r="R883" i="2"/>
  <c r="T883" i="2"/>
  <c r="T877" i="2"/>
  <c r="Q877" i="2"/>
  <c r="R385" i="2"/>
  <c r="T385" i="2"/>
  <c r="Q199" i="2"/>
  <c r="T199" i="2"/>
  <c r="R450" i="2"/>
  <c r="T450" i="2"/>
  <c r="R612" i="2"/>
  <c r="T612" i="2"/>
  <c r="R676" i="2"/>
  <c r="T676" i="2"/>
  <c r="Q885" i="2"/>
  <c r="T885" i="2"/>
  <c r="R863" i="2"/>
  <c r="T863" i="2"/>
  <c r="T703" i="2"/>
  <c r="Q703" i="2"/>
  <c r="T735" i="2"/>
  <c r="Q735" i="2"/>
  <c r="T767" i="2"/>
  <c r="Q767" i="2"/>
  <c r="Q799" i="2"/>
  <c r="T799" i="2"/>
  <c r="R551" i="2"/>
  <c r="T551" i="2"/>
  <c r="Q507" i="2"/>
  <c r="T507" i="2"/>
  <c r="Q371" i="2"/>
  <c r="T371" i="2"/>
  <c r="R157" i="2"/>
  <c r="T157" i="2"/>
  <c r="R189" i="2"/>
  <c r="T189" i="2"/>
  <c r="R209" i="2"/>
  <c r="T209" i="2"/>
  <c r="R225" i="2"/>
  <c r="T225" i="2"/>
  <c r="Q241" i="2"/>
  <c r="T241" i="2"/>
  <c r="R257" i="2"/>
  <c r="T257" i="2"/>
  <c r="R273" i="2"/>
  <c r="T273" i="2"/>
  <c r="Q307" i="2"/>
  <c r="T307" i="2"/>
  <c r="R137" i="2"/>
  <c r="T137" i="2"/>
  <c r="R125" i="2"/>
  <c r="T125" i="2"/>
  <c r="Q55" i="2"/>
  <c r="T55" i="2"/>
  <c r="Q39" i="2"/>
  <c r="T39" i="2"/>
  <c r="P6" i="2"/>
  <c r="O6" i="2"/>
  <c r="R333" i="2"/>
  <c r="T333" i="2"/>
  <c r="Q19" i="2"/>
  <c r="Q127" i="2"/>
  <c r="T127" i="2"/>
  <c r="R940" i="2"/>
  <c r="T940" i="2"/>
  <c r="R616" i="2"/>
  <c r="T616" i="2"/>
  <c r="R628" i="2"/>
  <c r="T628" i="2"/>
  <c r="R640" i="2"/>
  <c r="T640" i="2"/>
  <c r="T666" i="2"/>
  <c r="Q666" i="2"/>
  <c r="R519" i="2"/>
  <c r="T519" i="2"/>
  <c r="R547" i="2"/>
  <c r="T547" i="2"/>
  <c r="R563" i="2"/>
  <c r="T563" i="2"/>
  <c r="Q483" i="2"/>
  <c r="T483" i="2"/>
  <c r="R497" i="2"/>
  <c r="T497" i="2"/>
  <c r="Q511" i="2"/>
  <c r="T511" i="2"/>
  <c r="Q355" i="2"/>
  <c r="T355" i="2"/>
  <c r="Q395" i="2"/>
  <c r="T395" i="2"/>
  <c r="Q411" i="2"/>
  <c r="T411" i="2"/>
  <c r="Q167" i="2"/>
  <c r="T167" i="2"/>
  <c r="R221" i="2"/>
  <c r="T221" i="2"/>
  <c r="R245" i="2"/>
  <c r="T245" i="2"/>
  <c r="R293" i="2"/>
  <c r="T293" i="2"/>
  <c r="Q327" i="2"/>
  <c r="T327" i="2"/>
  <c r="R113" i="2"/>
  <c r="T113" i="2"/>
  <c r="Q79" i="2"/>
  <c r="T79" i="2"/>
  <c r="Q95" i="2"/>
  <c r="T95" i="2"/>
  <c r="Q59" i="2"/>
  <c r="T59" i="2"/>
  <c r="Q27" i="2"/>
  <c r="T27" i="2"/>
  <c r="Q43" i="2"/>
  <c r="T43" i="2"/>
  <c r="Q11" i="2"/>
  <c r="T11" i="2"/>
  <c r="T934" i="2"/>
  <c r="Q934" i="2"/>
  <c r="T426" i="2"/>
  <c r="R426" i="2"/>
  <c r="R21" i="2"/>
  <c r="Q143" i="2"/>
  <c r="T143" i="2"/>
  <c r="R887" i="2"/>
  <c r="T887" i="2"/>
  <c r="R903" i="2"/>
  <c r="T903" i="2"/>
  <c r="Q917" i="2"/>
  <c r="T917" i="2"/>
  <c r="Q833" i="2"/>
  <c r="T833" i="2"/>
  <c r="Q849" i="2"/>
  <c r="T849" i="2"/>
  <c r="Q865" i="2"/>
  <c r="T865" i="2"/>
  <c r="R689" i="2"/>
  <c r="T689" i="2"/>
  <c r="R705" i="2"/>
  <c r="T705" i="2"/>
  <c r="R721" i="2"/>
  <c r="T721" i="2"/>
  <c r="R737" i="2"/>
  <c r="T737" i="2"/>
  <c r="R753" i="2"/>
  <c r="T753" i="2"/>
  <c r="R769" i="2"/>
  <c r="T769" i="2"/>
  <c r="Q785" i="2"/>
  <c r="T785" i="2"/>
  <c r="R801" i="2"/>
  <c r="T801" i="2"/>
  <c r="Q817" i="2"/>
  <c r="T817" i="2"/>
  <c r="T638" i="2"/>
  <c r="Q638" i="2"/>
  <c r="R418" i="2"/>
  <c r="T418" i="2"/>
  <c r="T448" i="2"/>
  <c r="Q448" i="2"/>
  <c r="T610" i="2"/>
  <c r="Q610" i="2"/>
  <c r="R462" i="2"/>
  <c r="T462" i="2"/>
  <c r="T468" i="2"/>
  <c r="Q468" i="2"/>
  <c r="T650" i="2"/>
  <c r="Q650" i="2"/>
  <c r="T416" i="2"/>
  <c r="Q416" i="2"/>
  <c r="R907" i="2"/>
  <c r="T907" i="2"/>
  <c r="Q853" i="2"/>
  <c r="T853" i="2"/>
  <c r="Q529" i="2"/>
  <c r="T529" i="2"/>
  <c r="Q565" i="2"/>
  <c r="T565" i="2"/>
  <c r="Q585" i="2"/>
  <c r="T585" i="2"/>
  <c r="R361" i="2"/>
  <c r="T361" i="2"/>
  <c r="Q195" i="2"/>
  <c r="T195" i="2"/>
  <c r="Q223" i="2"/>
  <c r="T223" i="2"/>
  <c r="Q271" i="2"/>
  <c r="T271" i="2"/>
  <c r="R313" i="2"/>
  <c r="T313" i="2"/>
  <c r="R81" i="2"/>
  <c r="T81" i="2"/>
  <c r="R69" i="2"/>
  <c r="T69" i="2"/>
  <c r="R153" i="2"/>
  <c r="T153" i="2"/>
  <c r="R855" i="2"/>
  <c r="T855" i="2"/>
  <c r="Q759" i="2"/>
  <c r="T759" i="2"/>
  <c r="R579" i="2"/>
  <c r="T579" i="2"/>
  <c r="Q499" i="2"/>
  <c r="T499" i="2"/>
  <c r="R169" i="2"/>
  <c r="T169" i="2"/>
  <c r="R129" i="2"/>
  <c r="T129" i="2"/>
  <c r="Q31" i="2"/>
  <c r="T31" i="2"/>
  <c r="R835" i="2"/>
  <c r="T835" i="2"/>
  <c r="Q691" i="2"/>
  <c r="T691" i="2"/>
  <c r="Q739" i="2"/>
  <c r="T739" i="2"/>
  <c r="Q771" i="2"/>
  <c r="T771" i="2"/>
  <c r="R819" i="2"/>
  <c r="T819" i="2"/>
  <c r="T432" i="2"/>
  <c r="Q432" i="2"/>
  <c r="R285" i="2"/>
  <c r="T285" i="2"/>
  <c r="Q541" i="2"/>
  <c r="T541" i="2"/>
  <c r="R377" i="2"/>
  <c r="T377" i="2"/>
  <c r="Q163" i="2"/>
  <c r="T163" i="2"/>
  <c r="Q135" i="2"/>
  <c r="T135" i="2"/>
  <c r="R61" i="2"/>
  <c r="T61" i="2"/>
  <c r="T932" i="2"/>
  <c r="R932" i="2"/>
  <c r="Q525" i="2"/>
  <c r="T525" i="2"/>
  <c r="Q553" i="2"/>
  <c r="T553" i="2"/>
  <c r="Q581" i="2"/>
  <c r="T581" i="2"/>
  <c r="Q387" i="2"/>
  <c r="T387" i="2"/>
  <c r="Q159" i="2"/>
  <c r="T159" i="2"/>
  <c r="R205" i="2"/>
  <c r="T205" i="2"/>
  <c r="Q235" i="2"/>
  <c r="T235" i="2"/>
  <c r="Q267" i="2"/>
  <c r="T267" i="2"/>
  <c r="Q299" i="2"/>
  <c r="T299" i="2"/>
  <c r="Q139" i="2"/>
  <c r="T139" i="2"/>
  <c r="R57" i="2"/>
  <c r="T57" i="2"/>
  <c r="Q111" i="2"/>
  <c r="T111" i="2"/>
  <c r="R899" i="2"/>
  <c r="T899" i="2"/>
  <c r="R357" i="2"/>
  <c r="T357" i="2"/>
  <c r="Q175" i="2"/>
  <c r="T175" i="2"/>
  <c r="R239" i="2"/>
  <c r="T239" i="2"/>
  <c r="T588" i="2"/>
  <c r="Q588" i="2"/>
  <c r="R434" i="2"/>
  <c r="T434" i="2"/>
  <c r="Q53" i="2"/>
  <c r="T53" i="2"/>
  <c r="R145" i="2"/>
  <c r="T145" i="2"/>
  <c r="Q901" i="2"/>
  <c r="T901" i="2"/>
  <c r="R839" i="2"/>
  <c r="T839" i="2"/>
  <c r="R871" i="2"/>
  <c r="T871" i="2"/>
  <c r="Q711" i="2"/>
  <c r="T711" i="2"/>
  <c r="Q743" i="2"/>
  <c r="T743" i="2"/>
  <c r="Q775" i="2"/>
  <c r="T775" i="2"/>
  <c r="R807" i="2"/>
  <c r="T807" i="2"/>
  <c r="R523" i="2"/>
  <c r="T523" i="2"/>
  <c r="R559" i="2"/>
  <c r="T559" i="2"/>
  <c r="Q343" i="2"/>
  <c r="T343" i="2"/>
  <c r="Q391" i="2"/>
  <c r="T391" i="2"/>
  <c r="R165" i="2"/>
  <c r="T165" i="2"/>
  <c r="R177" i="2"/>
  <c r="T177" i="2"/>
  <c r="R281" i="2"/>
  <c r="T281" i="2"/>
  <c r="Q315" i="2"/>
  <c r="T315" i="2"/>
  <c r="Q83" i="2"/>
  <c r="T83" i="2"/>
  <c r="Q63" i="2"/>
  <c r="T63" i="2"/>
  <c r="Q47" i="2"/>
  <c r="T47" i="2"/>
  <c r="T452" i="2"/>
  <c r="Q452" i="2"/>
  <c r="T614" i="2"/>
  <c r="Q614" i="2"/>
  <c r="Q889" i="2"/>
  <c r="T889" i="2"/>
  <c r="R915" i="2"/>
  <c r="T915" i="2"/>
  <c r="R843" i="2"/>
  <c r="T843" i="2"/>
  <c r="R859" i="2"/>
  <c r="T859" i="2"/>
  <c r="R875" i="2"/>
  <c r="T875" i="2"/>
  <c r="Q699" i="2"/>
  <c r="T699" i="2"/>
  <c r="Q715" i="2"/>
  <c r="T715" i="2"/>
  <c r="Q731" i="2"/>
  <c r="T731" i="2"/>
  <c r="Q747" i="2"/>
  <c r="T747" i="2"/>
  <c r="Q763" i="2"/>
  <c r="T763" i="2"/>
  <c r="Q795" i="2"/>
  <c r="T795" i="2"/>
  <c r="R811" i="2"/>
  <c r="T811" i="2"/>
  <c r="R527" i="2"/>
  <c r="T527" i="2"/>
  <c r="R575" i="2"/>
  <c r="T575" i="2"/>
  <c r="T424" i="2"/>
  <c r="Q424" i="2"/>
  <c r="T438" i="2"/>
  <c r="R438" i="2"/>
  <c r="R466" i="2"/>
  <c r="T466" i="2"/>
  <c r="Q367" i="2"/>
  <c r="T367" i="2"/>
  <c r="Q187" i="2"/>
  <c r="T187" i="2"/>
  <c r="Q203" i="2"/>
  <c r="T203" i="2"/>
  <c r="R229" i="2"/>
  <c r="T229" i="2"/>
  <c r="R269" i="2"/>
  <c r="T269" i="2"/>
  <c r="R301" i="2"/>
  <c r="T301" i="2"/>
  <c r="Q3" i="2"/>
  <c r="T3" i="2"/>
  <c r="Q837" i="2"/>
  <c r="T837" i="2"/>
  <c r="Q549" i="2"/>
  <c r="T549" i="2"/>
  <c r="R571" i="2"/>
  <c r="T571" i="2"/>
  <c r="R505" i="2"/>
  <c r="T505" i="2"/>
  <c r="R349" i="2"/>
  <c r="T349" i="2"/>
  <c r="R389" i="2"/>
  <c r="T389" i="2"/>
  <c r="R405" i="2"/>
  <c r="T405" i="2"/>
  <c r="Q247" i="2"/>
  <c r="T247" i="2"/>
  <c r="Q287" i="2"/>
  <c r="T287" i="2"/>
  <c r="R329" i="2"/>
  <c r="T329" i="2"/>
  <c r="Q123" i="2"/>
  <c r="T123" i="2"/>
  <c r="R105" i="2"/>
  <c r="T105" i="2"/>
  <c r="R29" i="2"/>
  <c r="T29" i="2"/>
  <c r="R13" i="2"/>
  <c r="T13" i="2"/>
  <c r="T618" i="2"/>
  <c r="Q618" i="2"/>
  <c r="T938" i="2"/>
  <c r="Q938" i="2"/>
  <c r="Q517" i="2"/>
  <c r="T517" i="2"/>
  <c r="Q533" i="2"/>
  <c r="T533" i="2"/>
  <c r="Q545" i="2"/>
  <c r="T545" i="2"/>
  <c r="Q561" i="2"/>
  <c r="T561" i="2"/>
  <c r="Q573" i="2"/>
  <c r="T573" i="2"/>
  <c r="R481" i="2"/>
  <c r="T481" i="2"/>
  <c r="R353" i="2"/>
  <c r="T353" i="2"/>
  <c r="R365" i="2"/>
  <c r="T365" i="2"/>
  <c r="Q379" i="2"/>
  <c r="T379" i="2"/>
  <c r="R393" i="2"/>
  <c r="T393" i="2"/>
  <c r="R409" i="2"/>
  <c r="T409" i="2"/>
  <c r="Q171" i="2"/>
  <c r="T171" i="2"/>
  <c r="Q191" i="2"/>
  <c r="T191" i="2"/>
  <c r="Q211" i="2"/>
  <c r="T211" i="2"/>
  <c r="Q227" i="2"/>
  <c r="T227" i="2"/>
  <c r="Q243" i="2"/>
  <c r="T243" i="2"/>
  <c r="Q259" i="2"/>
  <c r="T259" i="2"/>
  <c r="Q275" i="2"/>
  <c r="T275" i="2"/>
  <c r="Q291" i="2"/>
  <c r="T291" i="2"/>
  <c r="R309" i="2"/>
  <c r="T309" i="2"/>
  <c r="R325" i="2"/>
  <c r="T325" i="2"/>
  <c r="Q119" i="2"/>
  <c r="T119" i="2"/>
  <c r="R85" i="2"/>
  <c r="T85" i="2"/>
  <c r="R101" i="2"/>
  <c r="T101" i="2"/>
  <c r="R25" i="2"/>
  <c r="T25" i="2"/>
  <c r="R41" i="2"/>
  <c r="T41" i="2"/>
  <c r="R9" i="2"/>
  <c r="T9" i="2"/>
  <c r="Q339" i="2"/>
  <c r="T339" i="2"/>
  <c r="Q147" i="2"/>
  <c r="T147" i="2"/>
  <c r="R891" i="2"/>
  <c r="T891" i="2"/>
  <c r="T861" i="2"/>
  <c r="Q861" i="2"/>
  <c r="Q521" i="2"/>
  <c r="T521" i="2"/>
  <c r="R369" i="2"/>
  <c r="T369" i="2"/>
  <c r="Q155" i="2"/>
  <c r="T155" i="2"/>
  <c r="Q183" i="2"/>
  <c r="T183" i="2"/>
  <c r="Q215" i="2"/>
  <c r="T215" i="2"/>
  <c r="Q263" i="2"/>
  <c r="T263" i="2"/>
  <c r="T622" i="2"/>
  <c r="Q622" i="2"/>
  <c r="T598" i="2"/>
  <c r="R598" i="2"/>
  <c r="T440" i="2"/>
  <c r="Q440" i="2"/>
  <c r="R668" i="2"/>
  <c r="T668" i="2"/>
  <c r="Q727" i="2"/>
  <c r="T727" i="2"/>
  <c r="R543" i="2"/>
  <c r="T543" i="2"/>
  <c r="Q407" i="2"/>
  <c r="T407" i="2"/>
  <c r="Q99" i="2"/>
  <c r="T99" i="2"/>
  <c r="T662" i="2"/>
  <c r="Q662" i="2"/>
  <c r="R867" i="2"/>
  <c r="T867" i="2"/>
  <c r="Q707" i="2"/>
  <c r="T707" i="2"/>
  <c r="Q755" i="2"/>
  <c r="T755" i="2"/>
  <c r="R787" i="2"/>
  <c r="T787" i="2"/>
  <c r="T454" i="2"/>
  <c r="R454" i="2"/>
  <c r="R181" i="2"/>
  <c r="T181" i="2"/>
  <c r="R237" i="2"/>
  <c r="T237" i="2"/>
  <c r="Q319" i="2"/>
  <c r="T319" i="2"/>
  <c r="R919" i="2"/>
  <c r="T919" i="2"/>
  <c r="Q557" i="2"/>
  <c r="T557" i="2"/>
  <c r="R513" i="2"/>
  <c r="T513" i="2"/>
  <c r="Q295" i="2"/>
  <c r="T295" i="2"/>
  <c r="T670" i="2"/>
  <c r="Q670" i="2"/>
  <c r="T436" i="2"/>
  <c r="Q436" i="2"/>
  <c r="T442" i="2"/>
  <c r="R442" i="2"/>
  <c r="R624" i="2"/>
  <c r="T624" i="2"/>
  <c r="R847" i="2"/>
  <c r="T847" i="2"/>
  <c r="R879" i="2"/>
  <c r="T879" i="2"/>
  <c r="Q719" i="2"/>
  <c r="T719" i="2"/>
  <c r="Q751" i="2"/>
  <c r="T751" i="2"/>
  <c r="R783" i="2"/>
  <c r="T783" i="2"/>
  <c r="R815" i="2"/>
  <c r="T815" i="2"/>
  <c r="R531" i="2"/>
  <c r="T531" i="2"/>
  <c r="R567" i="2"/>
  <c r="T567" i="2"/>
  <c r="Q479" i="2"/>
  <c r="T479" i="2"/>
  <c r="Q351" i="2"/>
  <c r="T351" i="2"/>
  <c r="Q399" i="2"/>
  <c r="T399" i="2"/>
  <c r="R201" i="2"/>
  <c r="T201" i="2"/>
  <c r="R217" i="2"/>
  <c r="T217" i="2"/>
  <c r="R233" i="2"/>
  <c r="T233" i="2"/>
  <c r="R249" i="2"/>
  <c r="T249" i="2"/>
  <c r="R265" i="2"/>
  <c r="T265" i="2"/>
  <c r="R289" i="2"/>
  <c r="T289" i="2"/>
  <c r="Q323" i="2"/>
  <c r="T323" i="2"/>
  <c r="R117" i="2"/>
  <c r="T117" i="2"/>
  <c r="Q91" i="2"/>
  <c r="T91" i="2"/>
  <c r="Q23" i="2"/>
  <c r="T23" i="2"/>
  <c r="T634" i="2"/>
  <c r="Q634" i="2"/>
  <c r="R341" i="2"/>
  <c r="T341" i="2"/>
  <c r="Q897" i="2"/>
  <c r="T897" i="2"/>
  <c r="T930" i="2"/>
  <c r="Q930" i="2"/>
  <c r="R620" i="2"/>
  <c r="T620" i="2"/>
  <c r="R632" i="2"/>
  <c r="T632" i="2"/>
  <c r="R648" i="2"/>
  <c r="T648" i="2"/>
  <c r="R660" i="2"/>
  <c r="T660" i="2"/>
  <c r="R672" i="2"/>
  <c r="T672" i="2"/>
  <c r="R535" i="2"/>
  <c r="T535" i="2"/>
  <c r="R555" i="2"/>
  <c r="T555" i="2"/>
  <c r="R583" i="2"/>
  <c r="T583" i="2"/>
  <c r="Q475" i="2"/>
  <c r="T475" i="2"/>
  <c r="Q491" i="2"/>
  <c r="T491" i="2"/>
  <c r="Q503" i="2"/>
  <c r="T503" i="2"/>
  <c r="Q347" i="2"/>
  <c r="T347" i="2"/>
  <c r="Q375" i="2"/>
  <c r="T375" i="2"/>
  <c r="Q403" i="2"/>
  <c r="T403" i="2"/>
  <c r="R161" i="2"/>
  <c r="T161" i="2"/>
  <c r="R173" i="2"/>
  <c r="T173" i="2"/>
  <c r="R213" i="2"/>
  <c r="T213" i="2"/>
  <c r="R253" i="2"/>
  <c r="T253" i="2"/>
  <c r="R277" i="2"/>
  <c r="T277" i="2"/>
  <c r="Q311" i="2"/>
  <c r="T311" i="2"/>
  <c r="R133" i="2"/>
  <c r="T133" i="2"/>
  <c r="R121" i="2"/>
  <c r="T121" i="2"/>
  <c r="Q87" i="2"/>
  <c r="T87" i="2"/>
  <c r="Q103" i="2"/>
  <c r="T103" i="2"/>
  <c r="Q67" i="2"/>
  <c r="T67" i="2"/>
  <c r="Q35" i="2"/>
  <c r="T35" i="2"/>
  <c r="R51" i="2"/>
  <c r="T51" i="2"/>
  <c r="T942" i="2"/>
  <c r="Q942" i="2"/>
  <c r="R590" i="2"/>
  <c r="T590" i="2"/>
  <c r="T456" i="2"/>
  <c r="Q456" i="2"/>
  <c r="T642" i="2"/>
  <c r="Q642" i="2"/>
  <c r="T946" i="2"/>
  <c r="Q946" i="2"/>
  <c r="R413" i="2"/>
  <c r="T413" i="2"/>
  <c r="Q107" i="2"/>
  <c r="T107" i="2"/>
  <c r="Q151" i="2"/>
  <c r="T151" i="2"/>
  <c r="Q893" i="2"/>
  <c r="T893" i="2"/>
  <c r="T909" i="2"/>
  <c r="Q909" i="2"/>
  <c r="L923" i="2"/>
  <c r="T922" i="2"/>
  <c r="Q841" i="2"/>
  <c r="T841" i="2"/>
  <c r="Q857" i="2"/>
  <c r="T857" i="2"/>
  <c r="Q873" i="2"/>
  <c r="T873" i="2"/>
  <c r="R697" i="2"/>
  <c r="T697" i="2"/>
  <c r="R713" i="2"/>
  <c r="T713" i="2"/>
  <c r="R729" i="2"/>
  <c r="T729" i="2"/>
  <c r="R745" i="2"/>
  <c r="T745" i="2"/>
  <c r="R761" i="2"/>
  <c r="T761" i="2"/>
  <c r="R777" i="2"/>
  <c r="T777" i="2"/>
  <c r="T809" i="2"/>
  <c r="Q809" i="2"/>
  <c r="T646" i="2"/>
  <c r="Q646" i="2"/>
  <c r="T658" i="2"/>
  <c r="Q658" i="2"/>
  <c r="T594" i="2"/>
  <c r="R594" i="2"/>
  <c r="R430" i="2"/>
  <c r="T430" i="2"/>
  <c r="T464" i="2"/>
  <c r="Q464" i="2"/>
  <c r="T674" i="2"/>
  <c r="Q674" i="2"/>
  <c r="R446" i="2"/>
  <c r="T446" i="2"/>
  <c r="T304" i="2"/>
  <c r="Q304" i="2"/>
  <c r="T654" i="2"/>
  <c r="Q654" i="2"/>
  <c r="T845" i="2"/>
  <c r="Q845" i="2"/>
  <c r="Q537" i="2"/>
  <c r="T537" i="2"/>
  <c r="Q577" i="2"/>
  <c r="T577" i="2"/>
  <c r="R381" i="2"/>
  <c r="T381" i="2"/>
  <c r="Q207" i="2"/>
  <c r="T207" i="2"/>
  <c r="Q231" i="2"/>
  <c r="T231" i="2"/>
  <c r="Q279" i="2"/>
  <c r="T279" i="2"/>
  <c r="R321" i="2"/>
  <c r="T321" i="2"/>
  <c r="R97" i="2"/>
  <c r="T97" i="2"/>
  <c r="R45" i="2"/>
  <c r="T45" i="2"/>
  <c r="Q6" i="2" l="1"/>
  <c r="T6" i="2"/>
  <c r="L924" i="2"/>
  <c r="T923" i="2"/>
  <c r="L925" i="2" l="1"/>
  <c r="T924" i="2"/>
  <c r="T925"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Job Kihara</author>
  </authors>
  <commentList>
    <comment ref="K1" authorId="0" shapeId="0" xr:uid="{00000000-0006-0000-0000-000001000000}">
      <text>
        <r>
          <rPr>
            <b/>
            <sz val="9"/>
            <color indexed="81"/>
            <rFont val="Tahoma"/>
            <family val="2"/>
          </rPr>
          <t>Job Kihara:</t>
        </r>
        <r>
          <rPr>
            <sz val="9"/>
            <color indexed="81"/>
            <rFont val="Tahoma"/>
            <family val="2"/>
          </rPr>
          <t xml:space="preserve">
outliers calculated based on 2 stdev from mean and are at 658 and -60. for all active carbon data even for IP</t>
        </r>
      </text>
    </comment>
    <comment ref="X1" authorId="0" shapeId="0" xr:uid="{00000000-0006-0000-0000-000002000000}">
      <text>
        <r>
          <rPr>
            <b/>
            <sz val="9"/>
            <color indexed="81"/>
            <rFont val="Tahoma"/>
            <family val="2"/>
          </rPr>
          <t>Job Kihara:</t>
        </r>
        <r>
          <rPr>
            <sz val="9"/>
            <color indexed="81"/>
            <rFont val="Tahoma"/>
            <family val="2"/>
          </rPr>
          <t xml:space="preserve">
outliers removed based on 2 stdev from mean. Boundaries are 7.3 and 0.055. this was done seperately form FP. IP was done on its own. Note in both cases, outliers were removed before averaging data of the 2 reps</t>
        </r>
      </text>
    </comment>
    <comment ref="Y1" authorId="0" shapeId="0" xr:uid="{00000000-0006-0000-0000-000003000000}">
      <text>
        <r>
          <rPr>
            <b/>
            <sz val="9"/>
            <color indexed="81"/>
            <rFont val="Tahoma"/>
            <family val="2"/>
          </rPr>
          <t>Job Kihara:</t>
        </r>
        <r>
          <rPr>
            <sz val="9"/>
            <color indexed="81"/>
            <rFont val="Tahoma"/>
            <family val="2"/>
          </rPr>
          <t xml:space="preserve">
outliers beyond 8.55 and below 0.56 removed</t>
        </r>
      </text>
    </comment>
    <comment ref="K3" authorId="0" shapeId="0" xr:uid="{00000000-0006-0000-0000-000004000000}">
      <text>
        <r>
          <rPr>
            <b/>
            <sz val="9"/>
            <color indexed="81"/>
            <rFont val="Tahoma"/>
            <family val="2"/>
          </rPr>
          <t>Job Kihara:</t>
        </r>
        <r>
          <rPr>
            <sz val="9"/>
            <color indexed="81"/>
            <rFont val="Tahoma"/>
            <family val="2"/>
          </rPr>
          <t xml:space="preserve">
7.56 discrepancy with SOC</t>
        </r>
      </text>
    </comment>
    <comment ref="U3" authorId="0" shapeId="0" xr:uid="{00000000-0006-0000-0000-000005000000}">
      <text>
        <r>
          <rPr>
            <b/>
            <sz val="9"/>
            <color indexed="81"/>
            <rFont val="Tahoma"/>
            <family val="2"/>
          </rPr>
          <t>Job Kihara:</t>
        </r>
        <r>
          <rPr>
            <sz val="9"/>
            <color indexed="81"/>
            <rFont val="Tahoma"/>
            <family val="2"/>
          </rPr>
          <t xml:space="preserve">
outlier 8.89</t>
        </r>
      </text>
    </comment>
    <comment ref="K4" authorId="0" shapeId="0" xr:uid="{00000000-0006-0000-0000-000006000000}">
      <text>
        <r>
          <rPr>
            <b/>
            <sz val="9"/>
            <color indexed="81"/>
            <rFont val="Tahoma"/>
            <family val="2"/>
          </rPr>
          <t>Job Kihara:</t>
        </r>
        <r>
          <rPr>
            <sz val="9"/>
            <color indexed="81"/>
            <rFont val="Tahoma"/>
            <family val="2"/>
          </rPr>
          <t xml:space="preserve">
8.84 discrepancy with SOC</t>
        </r>
      </text>
    </comment>
    <comment ref="K7" authorId="0" shapeId="0" xr:uid="{00000000-0006-0000-0000-000007000000}">
      <text>
        <r>
          <rPr>
            <b/>
            <sz val="9"/>
            <color indexed="81"/>
            <rFont val="Tahoma"/>
            <family val="2"/>
          </rPr>
          <t>Job Kihara:</t>
        </r>
        <r>
          <rPr>
            <sz val="9"/>
            <color indexed="81"/>
            <rFont val="Tahoma"/>
            <family val="2"/>
          </rPr>
          <t xml:space="preserve">
19.048 discrepancy with SOC</t>
        </r>
      </text>
    </comment>
    <comment ref="K8" authorId="0" shapeId="0" xr:uid="{00000000-0006-0000-0000-000008000000}">
      <text>
        <r>
          <rPr>
            <b/>
            <sz val="9"/>
            <color indexed="81"/>
            <rFont val="Tahoma"/>
            <family val="2"/>
          </rPr>
          <t>Job Kihara:</t>
        </r>
        <r>
          <rPr>
            <sz val="9"/>
            <color indexed="81"/>
            <rFont val="Tahoma"/>
            <family val="2"/>
          </rPr>
          <t xml:space="preserve">
24.412 discrepancy with SOC</t>
        </r>
      </text>
    </comment>
    <comment ref="P14" authorId="0" shapeId="0" xr:uid="{00000000-0006-0000-0000-000009000000}">
      <text>
        <r>
          <rPr>
            <b/>
            <sz val="9"/>
            <color indexed="81"/>
            <rFont val="Tahoma"/>
            <family val="2"/>
          </rPr>
          <t>Job Kihara:</t>
        </r>
        <r>
          <rPr>
            <sz val="9"/>
            <color indexed="81"/>
            <rFont val="Tahoma"/>
            <family val="2"/>
          </rPr>
          <t xml:space="preserve">
outlier 1172.48</t>
        </r>
      </text>
    </comment>
    <comment ref="T31" authorId="0" shapeId="0" xr:uid="{00000000-0006-0000-0000-00000A000000}">
      <text>
        <r>
          <rPr>
            <b/>
            <sz val="9"/>
            <color indexed="81"/>
            <rFont val="Tahoma"/>
            <family val="2"/>
          </rPr>
          <t>Job Kihara:</t>
        </r>
        <r>
          <rPr>
            <sz val="9"/>
            <color indexed="81"/>
            <rFont val="Tahoma"/>
            <family val="2"/>
          </rPr>
          <t xml:space="preserve">
outlier 8.94</t>
        </r>
      </text>
    </comment>
    <comment ref="V31" authorId="0" shapeId="0" xr:uid="{00000000-0006-0000-0000-00000B000000}">
      <text>
        <r>
          <rPr>
            <b/>
            <sz val="9"/>
            <color indexed="81"/>
            <rFont val="Tahoma"/>
            <family val="2"/>
          </rPr>
          <t>Job Kihara:</t>
        </r>
        <r>
          <rPr>
            <sz val="9"/>
            <color indexed="81"/>
            <rFont val="Tahoma"/>
            <family val="2"/>
          </rPr>
          <t xml:space="preserve">
outlier 10.21</t>
        </r>
      </text>
    </comment>
    <comment ref="T36" authorId="0" shapeId="0" xr:uid="{00000000-0006-0000-0000-00000C000000}">
      <text>
        <r>
          <rPr>
            <b/>
            <sz val="9"/>
            <color indexed="81"/>
            <rFont val="Tahoma"/>
            <family val="2"/>
          </rPr>
          <t>Job Kihara:</t>
        </r>
        <r>
          <rPr>
            <sz val="9"/>
            <color indexed="81"/>
            <rFont val="Tahoma"/>
            <family val="2"/>
          </rPr>
          <t xml:space="preserve">
outlier 9.18</t>
        </r>
      </text>
    </comment>
    <comment ref="U36" authorId="0" shapeId="0" xr:uid="{00000000-0006-0000-0000-00000D000000}">
      <text>
        <r>
          <rPr>
            <b/>
            <sz val="9"/>
            <color indexed="81"/>
            <rFont val="Tahoma"/>
            <family val="2"/>
          </rPr>
          <t>Job Kihara:</t>
        </r>
        <r>
          <rPr>
            <sz val="9"/>
            <color indexed="81"/>
            <rFont val="Tahoma"/>
            <family val="2"/>
          </rPr>
          <t xml:space="preserve">
outlier 9.00</t>
        </r>
      </text>
    </comment>
    <comment ref="T40" authorId="0" shapeId="0" xr:uid="{00000000-0006-0000-0000-00000E000000}">
      <text>
        <r>
          <rPr>
            <b/>
            <sz val="9"/>
            <color indexed="81"/>
            <rFont val="Tahoma"/>
            <family val="2"/>
          </rPr>
          <t>Job Kihara:</t>
        </r>
        <r>
          <rPr>
            <sz val="9"/>
            <color indexed="81"/>
            <rFont val="Tahoma"/>
            <family val="2"/>
          </rPr>
          <t xml:space="preserve">
outlier 9.947</t>
        </r>
      </text>
    </comment>
    <comment ref="W41" authorId="0" shapeId="0" xr:uid="{00000000-0006-0000-0000-00000F000000}">
      <text>
        <r>
          <rPr>
            <b/>
            <sz val="9"/>
            <color indexed="81"/>
            <rFont val="Tahoma"/>
            <family val="2"/>
          </rPr>
          <t>Job Kihara:</t>
        </r>
        <r>
          <rPr>
            <sz val="9"/>
            <color indexed="81"/>
            <rFont val="Tahoma"/>
            <family val="2"/>
          </rPr>
          <t xml:space="preserve">
outlier 10.02</t>
        </r>
      </text>
    </comment>
    <comment ref="G43" authorId="0" shapeId="0" xr:uid="{00000000-0006-0000-0000-000010000000}">
      <text>
        <r>
          <rPr>
            <b/>
            <sz val="9"/>
            <color indexed="81"/>
            <rFont val="Tahoma"/>
            <family val="2"/>
          </rPr>
          <t>Job Kihara:</t>
        </r>
        <r>
          <rPr>
            <sz val="9"/>
            <color indexed="81"/>
            <rFont val="Tahoma"/>
            <family val="2"/>
          </rPr>
          <t xml:space="preserve">
indicated sometimes as siptalina gadie</t>
        </r>
      </text>
    </comment>
    <comment ref="P46" authorId="0" shapeId="0" xr:uid="{00000000-0006-0000-0000-000011000000}">
      <text>
        <r>
          <rPr>
            <b/>
            <sz val="9"/>
            <color indexed="81"/>
            <rFont val="Tahoma"/>
            <family val="2"/>
          </rPr>
          <t>Job Kihara:</t>
        </r>
        <r>
          <rPr>
            <sz val="9"/>
            <color indexed="81"/>
            <rFont val="Tahoma"/>
            <family val="2"/>
          </rPr>
          <t xml:space="preserve">
outlier -68.73</t>
        </r>
      </text>
    </comment>
    <comment ref="U46" authorId="0" shapeId="0" xr:uid="{00000000-0006-0000-0000-000012000000}">
      <text>
        <r>
          <rPr>
            <b/>
            <sz val="9"/>
            <color indexed="81"/>
            <rFont val="Tahoma"/>
            <family val="2"/>
          </rPr>
          <t>Job Kihara:</t>
        </r>
        <r>
          <rPr>
            <sz val="9"/>
            <color indexed="81"/>
            <rFont val="Tahoma"/>
            <family val="2"/>
          </rPr>
          <t xml:space="preserve">
outlier 8.51</t>
        </r>
      </text>
    </comment>
    <comment ref="T48" authorId="0" shapeId="0" xr:uid="{00000000-0006-0000-0000-000013000000}">
      <text>
        <r>
          <rPr>
            <b/>
            <sz val="9"/>
            <color indexed="81"/>
            <rFont val="Tahoma"/>
            <family val="2"/>
          </rPr>
          <t>Job Kihara:</t>
        </r>
        <r>
          <rPr>
            <sz val="9"/>
            <color indexed="81"/>
            <rFont val="Tahoma"/>
            <family val="2"/>
          </rPr>
          <t xml:space="preserve">
outlier 7.47</t>
        </r>
      </text>
    </comment>
    <comment ref="V48" authorId="0" shapeId="0" xr:uid="{00000000-0006-0000-0000-000014000000}">
      <text>
        <r>
          <rPr>
            <b/>
            <sz val="9"/>
            <color indexed="81"/>
            <rFont val="Tahoma"/>
            <family val="2"/>
          </rPr>
          <t>Job Kihara:</t>
        </r>
        <r>
          <rPr>
            <sz val="9"/>
            <color indexed="81"/>
            <rFont val="Tahoma"/>
            <family val="2"/>
          </rPr>
          <t xml:space="preserve">
outlier 11.22</t>
        </r>
      </text>
    </comment>
    <comment ref="T57" authorId="0" shapeId="0" xr:uid="{00000000-0006-0000-0000-000015000000}">
      <text>
        <r>
          <rPr>
            <b/>
            <sz val="9"/>
            <color indexed="81"/>
            <rFont val="Tahoma"/>
            <family val="2"/>
          </rPr>
          <t>Job Kihara:</t>
        </r>
        <r>
          <rPr>
            <sz val="9"/>
            <color indexed="81"/>
            <rFont val="Tahoma"/>
            <family val="2"/>
          </rPr>
          <t xml:space="preserve">
outlier 11.72</t>
        </r>
      </text>
    </comment>
    <comment ref="U57" authorId="0" shapeId="0" xr:uid="{00000000-0006-0000-0000-000016000000}">
      <text>
        <r>
          <rPr>
            <b/>
            <sz val="9"/>
            <color indexed="81"/>
            <rFont val="Tahoma"/>
            <family val="2"/>
          </rPr>
          <t>Job Kihara:</t>
        </r>
        <r>
          <rPr>
            <sz val="9"/>
            <color indexed="81"/>
            <rFont val="Tahoma"/>
            <family val="2"/>
          </rPr>
          <t xml:space="preserve">
outlier 11.92</t>
        </r>
      </text>
    </comment>
    <comment ref="W57" authorId="0" shapeId="0" xr:uid="{00000000-0006-0000-0000-000017000000}">
      <text>
        <r>
          <rPr>
            <b/>
            <sz val="9"/>
            <color indexed="81"/>
            <rFont val="Tahoma"/>
            <family val="2"/>
          </rPr>
          <t>Job Kihara:</t>
        </r>
        <r>
          <rPr>
            <sz val="9"/>
            <color indexed="81"/>
            <rFont val="Tahoma"/>
            <family val="2"/>
          </rPr>
          <t xml:space="preserve">
outlier 11.46</t>
        </r>
      </text>
    </comment>
    <comment ref="T59" authorId="0" shapeId="0" xr:uid="{00000000-0006-0000-0000-000018000000}">
      <text>
        <r>
          <rPr>
            <b/>
            <sz val="9"/>
            <color indexed="81"/>
            <rFont val="Tahoma"/>
            <family val="2"/>
          </rPr>
          <t>Job Kihara:</t>
        </r>
        <r>
          <rPr>
            <sz val="9"/>
            <color indexed="81"/>
            <rFont val="Tahoma"/>
            <family val="2"/>
          </rPr>
          <t xml:space="preserve">
outlier 7.32</t>
        </r>
      </text>
    </comment>
    <comment ref="G83" authorId="0" shapeId="0" xr:uid="{00000000-0006-0000-0000-000019000000}">
      <text>
        <r>
          <rPr>
            <b/>
            <sz val="9"/>
            <color indexed="81"/>
            <rFont val="Tahoma"/>
            <family val="2"/>
          </rPr>
          <t>Job Kihara:</t>
        </r>
        <r>
          <rPr>
            <sz val="9"/>
            <color indexed="81"/>
            <rFont val="Tahoma"/>
            <family val="2"/>
          </rPr>
          <t xml:space="preserve">
depth for IP indicated as 15-50</t>
        </r>
      </text>
    </comment>
    <comment ref="V106" authorId="0" shapeId="0" xr:uid="{00000000-0006-0000-0000-00001A000000}">
      <text>
        <r>
          <rPr>
            <b/>
            <sz val="9"/>
            <color indexed="81"/>
            <rFont val="Tahoma"/>
            <family val="2"/>
          </rPr>
          <t>Job Kihara:</t>
        </r>
        <r>
          <rPr>
            <sz val="9"/>
            <color indexed="81"/>
            <rFont val="Tahoma"/>
            <family val="2"/>
          </rPr>
          <t xml:space="preserve">
outlier 15.24</t>
        </r>
      </text>
    </comment>
    <comment ref="T117" authorId="0" shapeId="0" xr:uid="{00000000-0006-0000-0000-00001B000000}">
      <text>
        <r>
          <rPr>
            <b/>
            <sz val="9"/>
            <color indexed="81"/>
            <rFont val="Tahoma"/>
            <family val="2"/>
          </rPr>
          <t>Job Kihara:</t>
        </r>
        <r>
          <rPr>
            <sz val="9"/>
            <color indexed="81"/>
            <rFont val="Tahoma"/>
            <family val="2"/>
          </rPr>
          <t xml:space="preserve">
outlier 7.34</t>
        </r>
      </text>
    </comment>
    <comment ref="V117" authorId="0" shapeId="0" xr:uid="{00000000-0006-0000-0000-00001C000000}">
      <text>
        <r>
          <rPr>
            <b/>
            <sz val="9"/>
            <color indexed="81"/>
            <rFont val="Tahoma"/>
            <family val="2"/>
          </rPr>
          <t>Job Kihara:</t>
        </r>
        <r>
          <rPr>
            <sz val="9"/>
            <color indexed="81"/>
            <rFont val="Tahoma"/>
            <family val="2"/>
          </rPr>
          <t xml:space="preserve">
outlier 8.84</t>
        </r>
      </text>
    </comment>
    <comment ref="W126" authorId="0" shapeId="0" xr:uid="{00000000-0006-0000-0000-00001D000000}">
      <text>
        <r>
          <rPr>
            <b/>
            <sz val="9"/>
            <color indexed="81"/>
            <rFont val="Tahoma"/>
            <family val="2"/>
          </rPr>
          <t>Job Kihara:</t>
        </r>
        <r>
          <rPr>
            <sz val="9"/>
            <color indexed="81"/>
            <rFont val="Tahoma"/>
            <family val="2"/>
          </rPr>
          <t xml:space="preserve">
outlier 10.88</t>
        </r>
      </text>
    </comment>
    <comment ref="P132" authorId="0" shapeId="0" xr:uid="{00000000-0006-0000-0000-00001E000000}">
      <text>
        <r>
          <rPr>
            <b/>
            <sz val="9"/>
            <color indexed="81"/>
            <rFont val="Tahoma"/>
            <family val="2"/>
          </rPr>
          <t>Job Kihara:</t>
        </r>
        <r>
          <rPr>
            <sz val="9"/>
            <color indexed="81"/>
            <rFont val="Tahoma"/>
            <family val="2"/>
          </rPr>
          <t xml:space="preserve">
outlier 853.42</t>
        </r>
      </text>
    </comment>
    <comment ref="V140" authorId="0" shapeId="0" xr:uid="{00000000-0006-0000-0000-00001F000000}">
      <text>
        <r>
          <rPr>
            <b/>
            <sz val="9"/>
            <color indexed="81"/>
            <rFont val="Tahoma"/>
            <family val="2"/>
          </rPr>
          <t>Job Kihara:</t>
        </r>
        <r>
          <rPr>
            <sz val="9"/>
            <color indexed="81"/>
            <rFont val="Tahoma"/>
            <family val="2"/>
          </rPr>
          <t xml:space="preserve">
outlier 8.67</t>
        </r>
      </text>
    </comment>
    <comment ref="V141" authorId="0" shapeId="0" xr:uid="{00000000-0006-0000-0000-000020000000}">
      <text>
        <r>
          <rPr>
            <b/>
            <sz val="9"/>
            <color indexed="81"/>
            <rFont val="Tahoma"/>
            <family val="2"/>
          </rPr>
          <t>Job Kihara:</t>
        </r>
        <r>
          <rPr>
            <sz val="9"/>
            <color indexed="81"/>
            <rFont val="Tahoma"/>
            <family val="2"/>
          </rPr>
          <t xml:space="preserve">
outlier 10.2</t>
        </r>
      </text>
    </comment>
    <comment ref="U153" authorId="0" shapeId="0" xr:uid="{00000000-0006-0000-0000-000021000000}">
      <text>
        <r>
          <rPr>
            <b/>
            <sz val="9"/>
            <color indexed="81"/>
            <rFont val="Tahoma"/>
            <family val="2"/>
          </rPr>
          <t>Job Kihara:</t>
        </r>
        <r>
          <rPr>
            <sz val="9"/>
            <color indexed="81"/>
            <rFont val="Tahoma"/>
            <family val="2"/>
          </rPr>
          <t xml:space="preserve">
outlier 7.339</t>
        </r>
      </text>
    </comment>
    <comment ref="G165" authorId="0" shapeId="0" xr:uid="{00000000-0006-0000-0000-000022000000}">
      <text>
        <r>
          <rPr>
            <b/>
            <sz val="9"/>
            <color indexed="81"/>
            <rFont val="Tahoma"/>
            <family val="2"/>
          </rPr>
          <t>Job Kihara:</t>
        </r>
        <r>
          <rPr>
            <sz val="9"/>
            <color indexed="81"/>
            <rFont val="Tahoma"/>
            <family val="2"/>
          </rPr>
          <t xml:space="preserve">
depth for IP indicated as 15-50</t>
        </r>
      </text>
    </comment>
    <comment ref="T177" authorId="0" shapeId="0" xr:uid="{00000000-0006-0000-0000-000023000000}">
      <text>
        <r>
          <rPr>
            <b/>
            <sz val="9"/>
            <color indexed="81"/>
            <rFont val="Tahoma"/>
            <family val="2"/>
          </rPr>
          <t>Job Kihara:</t>
        </r>
        <r>
          <rPr>
            <sz val="9"/>
            <color indexed="81"/>
            <rFont val="Tahoma"/>
            <family val="2"/>
          </rPr>
          <t xml:space="preserve">
outlier 7.58</t>
        </r>
      </text>
    </comment>
    <comment ref="U177" authorId="0" shapeId="0" xr:uid="{00000000-0006-0000-0000-000024000000}">
      <text>
        <r>
          <rPr>
            <b/>
            <sz val="9"/>
            <color indexed="81"/>
            <rFont val="Tahoma"/>
            <family val="2"/>
          </rPr>
          <t>Job Kihara:</t>
        </r>
        <r>
          <rPr>
            <sz val="9"/>
            <color indexed="81"/>
            <rFont val="Tahoma"/>
            <family val="2"/>
          </rPr>
          <t xml:space="preserve">
outlier 9.54</t>
        </r>
      </text>
    </comment>
    <comment ref="G196" authorId="0" shapeId="0" xr:uid="{00000000-0006-0000-0000-000025000000}">
      <text>
        <r>
          <rPr>
            <b/>
            <sz val="9"/>
            <color indexed="81"/>
            <rFont val="Tahoma"/>
            <family val="2"/>
          </rPr>
          <t>Job Kihara:</t>
        </r>
        <r>
          <rPr>
            <sz val="9"/>
            <color indexed="81"/>
            <rFont val="Tahoma"/>
            <family val="2"/>
          </rPr>
          <t xml:space="preserve">
is this Hitema Secondary School</t>
        </r>
      </text>
    </comment>
    <comment ref="K196" authorId="0" shapeId="0" xr:uid="{00000000-0006-0000-0000-000026000000}">
      <text>
        <r>
          <rPr>
            <b/>
            <sz val="9"/>
            <color indexed="81"/>
            <rFont val="Tahoma"/>
            <family val="2"/>
          </rPr>
          <t>Job Kihara:</t>
        </r>
        <r>
          <rPr>
            <sz val="9"/>
            <color indexed="81"/>
            <rFont val="Tahoma"/>
            <family val="2"/>
          </rPr>
          <t xml:space="preserve">
511.41 discrepancy with SOC </t>
        </r>
      </text>
    </comment>
    <comment ref="K206" authorId="0" shapeId="0" xr:uid="{00000000-0006-0000-0000-000027000000}">
      <text>
        <r>
          <rPr>
            <b/>
            <sz val="9"/>
            <color indexed="81"/>
            <rFont val="Tahoma"/>
            <family val="2"/>
          </rPr>
          <t>Job Kihara:</t>
        </r>
        <r>
          <rPr>
            <sz val="9"/>
            <color indexed="81"/>
            <rFont val="Tahoma"/>
            <family val="2"/>
          </rPr>
          <t xml:space="preserve">
data in discrepancy with SOC 608.20</t>
        </r>
      </text>
    </comment>
    <comment ref="K211" authorId="0" shapeId="0" xr:uid="{00000000-0006-0000-0000-000028000000}">
      <text>
        <r>
          <rPr>
            <b/>
            <sz val="9"/>
            <color indexed="81"/>
            <rFont val="Tahoma"/>
            <family val="2"/>
          </rPr>
          <t>Job Kihara:</t>
        </r>
        <r>
          <rPr>
            <sz val="9"/>
            <color indexed="81"/>
            <rFont val="Tahoma"/>
            <family val="2"/>
          </rPr>
          <t xml:space="preserve">
outlier 1026.19</t>
        </r>
      </text>
    </comment>
    <comment ref="P211" authorId="0" shapeId="0" xr:uid="{00000000-0006-0000-0000-000029000000}">
      <text>
        <r>
          <rPr>
            <b/>
            <sz val="9"/>
            <color indexed="81"/>
            <rFont val="Tahoma"/>
            <family val="2"/>
          </rPr>
          <t>Job Kihara:</t>
        </r>
        <r>
          <rPr>
            <sz val="9"/>
            <color indexed="81"/>
            <rFont val="Tahoma"/>
            <family val="2"/>
          </rPr>
          <t xml:space="preserve">
outlier 1020.62</t>
        </r>
      </text>
    </comment>
    <comment ref="K212" authorId="0" shapeId="0" xr:uid="{00000000-0006-0000-0000-00002A000000}">
      <text>
        <r>
          <rPr>
            <b/>
            <sz val="9"/>
            <color indexed="81"/>
            <rFont val="Tahoma"/>
            <family val="2"/>
          </rPr>
          <t>Job Kihara:</t>
        </r>
        <r>
          <rPr>
            <sz val="9"/>
            <color indexed="81"/>
            <rFont val="Tahoma"/>
            <family val="2"/>
          </rPr>
          <t xml:space="preserve">
outlier 1042.9</t>
        </r>
      </text>
    </comment>
    <comment ref="P212" authorId="0" shapeId="0" xr:uid="{00000000-0006-0000-0000-00002B000000}">
      <text>
        <r>
          <rPr>
            <b/>
            <sz val="9"/>
            <color indexed="81"/>
            <rFont val="Tahoma"/>
            <family val="2"/>
          </rPr>
          <t>Job Kihara:</t>
        </r>
        <r>
          <rPr>
            <sz val="9"/>
            <color indexed="81"/>
            <rFont val="Tahoma"/>
            <family val="2"/>
          </rPr>
          <t xml:space="preserve">
outlier 1233.79</t>
        </r>
      </text>
    </comment>
    <comment ref="K214" authorId="0" shapeId="0" xr:uid="{00000000-0006-0000-0000-00002C000000}">
      <text>
        <r>
          <rPr>
            <b/>
            <sz val="9"/>
            <color indexed="81"/>
            <rFont val="Tahoma"/>
            <family val="2"/>
          </rPr>
          <t>Job Kihara:</t>
        </r>
        <r>
          <rPr>
            <sz val="9"/>
            <color indexed="81"/>
            <rFont val="Tahoma"/>
            <family val="2"/>
          </rPr>
          <t xml:space="preserve">
outlier 1023.406</t>
        </r>
      </text>
    </comment>
    <comment ref="K218" authorId="0" shapeId="0" xr:uid="{00000000-0006-0000-0000-00002D000000}">
      <text>
        <r>
          <rPr>
            <b/>
            <sz val="9"/>
            <color indexed="81"/>
            <rFont val="Tahoma"/>
            <family val="2"/>
          </rPr>
          <t>Job Kihara:</t>
        </r>
        <r>
          <rPr>
            <sz val="9"/>
            <color indexed="81"/>
            <rFont val="Tahoma"/>
            <family val="2"/>
          </rPr>
          <t xml:space="preserve">
outlier 1072.17
</t>
        </r>
      </text>
    </comment>
    <comment ref="K227" authorId="0" shapeId="0" xr:uid="{00000000-0006-0000-0000-00002E000000}">
      <text>
        <r>
          <rPr>
            <b/>
            <sz val="9"/>
            <color indexed="81"/>
            <rFont val="Tahoma"/>
            <family val="2"/>
          </rPr>
          <t>Job Kihara:</t>
        </r>
        <r>
          <rPr>
            <sz val="9"/>
            <color indexed="81"/>
            <rFont val="Tahoma"/>
            <family val="2"/>
          </rPr>
          <t xml:space="preserve">
outlier 661.59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ThinkpadX260</author>
    <author>Windows User</author>
    <author>lenovo</author>
  </authors>
  <commentList>
    <comment ref="C146" authorId="0" shapeId="0" xr:uid="{00000000-0006-0000-0100-000001000000}">
      <text>
        <r>
          <rPr>
            <b/>
            <sz val="9"/>
            <color indexed="81"/>
            <rFont val="Tahoma"/>
            <family val="2"/>
          </rPr>
          <t>ThinkpadX260:</t>
        </r>
        <r>
          <rPr>
            <sz val="9"/>
            <color indexed="81"/>
            <rFont val="Tahoma"/>
            <family val="2"/>
          </rPr>
          <t xml:space="preserve">
Hope same as Aleandry Daniel Sarwati</t>
        </r>
      </text>
    </comment>
    <comment ref="C234" authorId="1" shapeId="0" xr:uid="{00000000-0006-0000-0100-000002000000}">
      <text>
        <r>
          <rPr>
            <b/>
            <sz val="9"/>
            <color indexed="81"/>
            <rFont val="Tahoma"/>
            <family val="2"/>
          </rPr>
          <t>Windows User:</t>
        </r>
        <r>
          <rPr>
            <sz val="9"/>
            <color indexed="81"/>
            <rFont val="Tahoma"/>
            <family val="2"/>
          </rPr>
          <t xml:space="preserve">
Initially was no name but name confirmed</t>
        </r>
      </text>
    </comment>
    <comment ref="C238" authorId="1" shapeId="0" xr:uid="{00000000-0006-0000-0100-000003000000}">
      <text>
        <r>
          <rPr>
            <b/>
            <sz val="9"/>
            <color indexed="81"/>
            <rFont val="Tahoma"/>
            <family val="2"/>
          </rPr>
          <t>Windows User:</t>
        </r>
        <r>
          <rPr>
            <sz val="9"/>
            <color indexed="81"/>
            <rFont val="Tahoma"/>
            <family val="2"/>
          </rPr>
          <t xml:space="preserve">
Was no name</t>
        </r>
      </text>
    </comment>
    <comment ref="C286" authorId="1" shapeId="0" xr:uid="{00000000-0006-0000-0100-000004000000}">
      <text>
        <r>
          <rPr>
            <b/>
            <sz val="9"/>
            <color indexed="81"/>
            <rFont val="Tahoma"/>
            <family val="2"/>
          </rPr>
          <t>Windows User:</t>
        </r>
        <r>
          <rPr>
            <sz val="9"/>
            <color indexed="81"/>
            <rFont val="Tahoma"/>
            <family val="2"/>
          </rPr>
          <t xml:space="preserve">
Different spelling in survey data</t>
        </r>
      </text>
    </comment>
    <comment ref="B302" authorId="2" shapeId="0" xr:uid="{00000000-0006-0000-0100-000005000000}">
      <text>
        <r>
          <rPr>
            <b/>
            <sz val="9"/>
            <color indexed="81"/>
            <rFont val="Tahoma"/>
            <family val="2"/>
          </rPr>
          <t>lenovo:</t>
        </r>
        <r>
          <rPr>
            <sz val="9"/>
            <color indexed="81"/>
            <rFont val="Tahoma"/>
            <family val="2"/>
          </rPr>
          <t xml:space="preserve">
Could this be misplaced, is he in endanachan</t>
        </r>
      </text>
    </comment>
    <comment ref="C310" authorId="1" shapeId="0" xr:uid="{00000000-0006-0000-0100-000006000000}">
      <text>
        <r>
          <rPr>
            <b/>
            <sz val="9"/>
            <color indexed="81"/>
            <rFont val="Tahoma"/>
            <family val="2"/>
          </rPr>
          <t>Windows User:</t>
        </r>
        <r>
          <rPr>
            <sz val="9"/>
            <color indexed="81"/>
            <rFont val="Tahoma"/>
            <family val="2"/>
          </rPr>
          <t xml:space="preserve">
Got from survey data</t>
        </r>
      </text>
    </comment>
    <comment ref="C350" authorId="1" shapeId="0" xr:uid="{00000000-0006-0000-0100-000007000000}">
      <text>
        <r>
          <rPr>
            <b/>
            <sz val="9"/>
            <color indexed="81"/>
            <rFont val="Tahoma"/>
            <family val="2"/>
          </rPr>
          <t>Windows User:</t>
        </r>
        <r>
          <rPr>
            <sz val="9"/>
            <color indexed="81"/>
            <rFont val="Tahoma"/>
            <family val="2"/>
          </rPr>
          <t xml:space="preserve">
Only Iddi in Endanoga so maybe they Iddi gora and Iddi Daudi are same person</t>
        </r>
      </text>
    </comment>
    <comment ref="M465" authorId="1" shapeId="0" xr:uid="{00000000-0006-0000-0100-000008000000}">
      <text>
        <r>
          <rPr>
            <b/>
            <sz val="9"/>
            <color indexed="81"/>
            <rFont val="Tahoma"/>
            <family val="2"/>
          </rPr>
          <t>Windows User:</t>
        </r>
        <r>
          <rPr>
            <sz val="9"/>
            <color indexed="81"/>
            <rFont val="Tahoma"/>
            <family val="2"/>
          </rPr>
          <t xml:space="preserve">
FP for John Bahay Bahi</t>
        </r>
      </text>
    </comment>
    <comment ref="C471" authorId="1" shapeId="0" xr:uid="{00000000-0006-0000-0100-000009000000}">
      <text>
        <r>
          <rPr>
            <b/>
            <sz val="9"/>
            <color indexed="81"/>
            <rFont val="Tahoma"/>
            <family val="2"/>
          </rPr>
          <t>Windows User:</t>
        </r>
        <r>
          <rPr>
            <sz val="9"/>
            <color indexed="81"/>
            <rFont val="Tahoma"/>
            <family val="2"/>
          </rPr>
          <t xml:space="preserve">
Kwahhe and Hadija could be the same person</t>
        </r>
      </text>
    </comment>
    <comment ref="B515" authorId="2" shapeId="0" xr:uid="{00000000-0006-0000-0100-00000A000000}">
      <text>
        <r>
          <rPr>
            <b/>
            <sz val="9"/>
            <color indexed="81"/>
            <rFont val="Tahoma"/>
            <family val="2"/>
          </rPr>
          <t>lenovo:</t>
        </r>
        <r>
          <rPr>
            <sz val="9"/>
            <color indexed="81"/>
            <rFont val="Tahoma"/>
            <family val="2"/>
          </rPr>
          <t xml:space="preserve">
I HOPE THIS IS FABIANO AMA FROM MANDI??</t>
        </r>
      </text>
    </comment>
    <comment ref="C669" authorId="1" shapeId="0" xr:uid="{00000000-0006-0000-0100-00000B000000}">
      <text>
        <r>
          <rPr>
            <b/>
            <sz val="9"/>
            <color indexed="81"/>
            <rFont val="Tahoma"/>
            <family val="2"/>
          </rPr>
          <t>Windows User:</t>
        </r>
        <r>
          <rPr>
            <sz val="9"/>
            <color indexed="81"/>
            <rFont val="Tahoma"/>
            <family val="2"/>
          </rPr>
          <t xml:space="preserve">
The only Saidi in Orgadinda without a corresponding partner</t>
        </r>
      </text>
    </comment>
    <comment ref="O866" authorId="0" shapeId="0" xr:uid="{00000000-0006-0000-0100-00000C000000}">
      <text>
        <r>
          <rPr>
            <b/>
            <sz val="9"/>
            <color indexed="81"/>
            <rFont val="Tahoma"/>
            <family val="2"/>
          </rPr>
          <t>ThinkpadX260:</t>
        </r>
        <r>
          <rPr>
            <sz val="9"/>
            <color indexed="81"/>
            <rFont val="Tahoma"/>
            <family val="2"/>
          </rPr>
          <t xml:space="preserve">
suspect data for cobs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Job Kihara</author>
    <author>User 1</author>
    <author>ThinkpadX260</author>
  </authors>
  <commentList>
    <comment ref="I1" authorId="0" shapeId="0" xr:uid="{4266DE10-9AAC-488A-9E75-C901F346B46C}">
      <text>
        <r>
          <rPr>
            <b/>
            <sz val="9"/>
            <color indexed="81"/>
            <rFont val="Tahoma"/>
            <family val="2"/>
          </rPr>
          <t>Job Kihara:</t>
        </r>
        <r>
          <rPr>
            <sz val="9"/>
            <color indexed="81"/>
            <rFont val="Tahoma"/>
            <family val="2"/>
          </rPr>
          <t xml:space="preserve">
What do you do with crop residues from this field?</t>
        </r>
      </text>
    </comment>
    <comment ref="J1" authorId="0" shapeId="0" xr:uid="{4E8B4BEB-DF1A-4B3C-9F2B-4519F8AB652A}">
      <text>
        <r>
          <rPr>
            <b/>
            <sz val="9"/>
            <color rgb="FF000000"/>
            <rFont val="Tahoma"/>
            <family val="2"/>
          </rPr>
          <t>Job Kihara:</t>
        </r>
        <r>
          <rPr>
            <sz val="9"/>
            <color rgb="FF000000"/>
            <rFont val="Tahoma"/>
            <family val="2"/>
          </rPr>
          <t xml:space="preserve">
</t>
        </r>
        <r>
          <rPr>
            <sz val="9"/>
            <color rgb="FF000000"/>
            <rFont val="Tahoma"/>
            <family val="2"/>
          </rPr>
          <t>Do you transport crop residues home or animals feed here in the field?</t>
        </r>
      </text>
    </comment>
    <comment ref="K1" authorId="0" shapeId="0" xr:uid="{8F57215F-EFA5-43A9-A856-6B523DA0CA8B}">
      <text>
        <r>
          <rPr>
            <b/>
            <sz val="9"/>
            <color indexed="81"/>
            <rFont val="Tahoma"/>
            <family val="2"/>
          </rPr>
          <t>Job Kihara:</t>
        </r>
        <r>
          <rPr>
            <sz val="9"/>
            <color indexed="81"/>
            <rFont val="Tahoma"/>
            <family val="2"/>
          </rPr>
          <t xml:space="preserve">
Do you transport crop residues home or animals feed here in the field?</t>
        </r>
      </text>
    </comment>
    <comment ref="L1" authorId="0" shapeId="0" xr:uid="{E891FD89-1465-4D23-BE87-770A83D0AA31}">
      <text>
        <r>
          <rPr>
            <b/>
            <sz val="9"/>
            <color indexed="81"/>
            <rFont val="Tahoma"/>
            <family val="2"/>
          </rPr>
          <t>Job Kihara:</t>
        </r>
        <r>
          <rPr>
            <sz val="9"/>
            <color indexed="81"/>
            <rFont val="Tahoma"/>
            <family val="2"/>
          </rPr>
          <t xml:space="preserve">
Is some of the crop residues from this field given to other households?</t>
        </r>
      </text>
    </comment>
    <comment ref="Q1" authorId="0" shapeId="0" xr:uid="{09F03B37-F19F-495E-969E-64DBAF25EFAD}">
      <text>
        <r>
          <rPr>
            <b/>
            <sz val="9"/>
            <color indexed="81"/>
            <rFont val="Tahoma"/>
            <family val="2"/>
          </rPr>
          <t>Job Kihara:</t>
        </r>
        <r>
          <rPr>
            <sz val="9"/>
            <color indexed="81"/>
            <rFont val="Tahoma"/>
            <family val="2"/>
          </rPr>
          <t xml:space="preserve">
Do you also acquire crop residues from other households?</t>
        </r>
      </text>
    </comment>
    <comment ref="R1" authorId="0" shapeId="0" xr:uid="{A65306F5-E382-4F78-8980-224B909821BF}">
      <text>
        <r>
          <rPr>
            <b/>
            <sz val="9"/>
            <color indexed="81"/>
            <rFont val="Tahoma"/>
            <family val="2"/>
          </rPr>
          <t>Job Kihara:</t>
        </r>
        <r>
          <rPr>
            <sz val="9"/>
            <color indexed="81"/>
            <rFont val="Tahoma"/>
            <family val="2"/>
          </rPr>
          <t xml:space="preserve">
When was crop residue acquired from others?</t>
        </r>
      </text>
    </comment>
    <comment ref="U1" authorId="0" shapeId="0" xr:uid="{2471E2BF-D34B-413B-9F67-0988AA9ABD16}">
      <text>
        <r>
          <rPr>
            <b/>
            <sz val="9"/>
            <color indexed="81"/>
            <rFont val="Tahoma"/>
            <family val="2"/>
          </rPr>
          <t>Job Kihara:</t>
        </r>
        <r>
          <rPr>
            <sz val="9"/>
            <color indexed="81"/>
            <rFont val="Tahoma"/>
            <family val="2"/>
          </rPr>
          <t xml:space="preserve">
What type of fields are these you get residues from?</t>
        </r>
      </text>
    </comment>
    <comment ref="AT1" authorId="1" shapeId="0" xr:uid="{00000000-0006-0000-0500-000001000000}">
      <text>
        <r>
          <rPr>
            <b/>
            <sz val="9"/>
            <color indexed="81"/>
            <rFont val="Tahoma"/>
            <family val="2"/>
          </rPr>
          <t>User 1:</t>
        </r>
        <r>
          <rPr>
            <sz val="9"/>
            <color indexed="81"/>
            <rFont val="Tahoma"/>
            <family val="2"/>
          </rPr>
          <t xml:space="preserve">
calculate by weighting manure 1.5 and crop residue 1. </t>
        </r>
      </text>
    </comment>
    <comment ref="AU1" authorId="1" shapeId="0" xr:uid="{00000000-0006-0000-0500-000002000000}">
      <text>
        <r>
          <rPr>
            <b/>
            <sz val="9"/>
            <color indexed="81"/>
            <rFont val="Tahoma"/>
            <family val="2"/>
          </rPr>
          <t>User 1:</t>
        </r>
        <r>
          <rPr>
            <sz val="9"/>
            <color indexed="81"/>
            <rFont val="Tahoma"/>
            <family val="2"/>
          </rPr>
          <t xml:space="preserve">
calculated by equal weights of manure and of crop residue</t>
        </r>
      </text>
    </comment>
    <comment ref="CM1" authorId="2" shapeId="0" xr:uid="{00000000-0006-0000-0500-000003000000}">
      <text>
        <r>
          <rPr>
            <b/>
            <sz val="9"/>
            <color indexed="81"/>
            <rFont val="Tahoma"/>
            <family val="2"/>
          </rPr>
          <t>ThinkpadX260:</t>
        </r>
        <r>
          <rPr>
            <sz val="9"/>
            <color indexed="81"/>
            <rFont val="Tahoma"/>
            <family val="2"/>
          </rPr>
          <t xml:space="preserve">
multiple means combinations of casuals, draught and tractors</t>
        </r>
      </text>
    </comment>
    <comment ref="CU1" authorId="0" shapeId="0" xr:uid="{713DCB32-A46A-40EC-B72F-E35DD0BDEE41}">
      <text>
        <r>
          <rPr>
            <b/>
            <sz val="9"/>
            <color rgb="FF000000"/>
            <rFont val="Tahoma"/>
            <family val="2"/>
          </rPr>
          <t>Job Kihara:</t>
        </r>
        <r>
          <rPr>
            <sz val="9"/>
            <color rgb="FF000000"/>
            <rFont val="Tahoma"/>
            <family val="2"/>
          </rPr>
          <t xml:space="preserve">
</t>
        </r>
        <r>
          <rPr>
            <sz val="9"/>
            <color rgb="FF000000"/>
            <rFont val="Tahoma"/>
            <family val="2"/>
          </rPr>
          <t>calculated based on farmer recall from 2016</t>
        </r>
      </text>
    </comment>
    <comment ref="CY1" authorId="0" shapeId="0" xr:uid="{01E9A261-664F-4DD0-9390-EF15769F68B5}">
      <text>
        <r>
          <rPr>
            <b/>
            <sz val="9"/>
            <color indexed="81"/>
            <rFont val="Tahoma"/>
            <family val="2"/>
          </rPr>
          <t>Job Kihara:</t>
        </r>
        <r>
          <rPr>
            <sz val="9"/>
            <color indexed="81"/>
            <rFont val="Tahoma"/>
            <family val="2"/>
          </rPr>
          <t xml:space="preserve">
calculated based on farmer recall from 2016</t>
        </r>
      </text>
    </comment>
    <comment ref="DC1" authorId="0" shapeId="0" xr:uid="{13945EDF-CD77-4BEC-A567-17226FBB146A}">
      <text>
        <r>
          <rPr>
            <b/>
            <sz val="9"/>
            <color indexed="81"/>
            <rFont val="Tahoma"/>
            <family val="2"/>
          </rPr>
          <t>Job Kihara:</t>
        </r>
        <r>
          <rPr>
            <sz val="9"/>
            <color indexed="81"/>
            <rFont val="Tahoma"/>
            <family val="2"/>
          </rPr>
          <t xml:space="preserve">
calculated based on farmer recall from 2016</t>
        </r>
      </text>
    </comment>
    <comment ref="ES1" authorId="0" shapeId="0" xr:uid="{F02B6422-4DCA-43D1-9E32-0C7582DBD6B0}">
      <text>
        <r>
          <rPr>
            <b/>
            <sz val="9"/>
            <color rgb="FF000000"/>
            <rFont val="Tahoma"/>
            <family val="2"/>
          </rPr>
          <t>Job Kihara:</t>
        </r>
        <r>
          <rPr>
            <sz val="9"/>
            <color rgb="FF000000"/>
            <rFont val="Tahoma"/>
            <family val="2"/>
          </rPr>
          <t xml:space="preserve">
</t>
        </r>
        <r>
          <rPr>
            <sz val="9"/>
            <color rgb="FF000000"/>
            <rFont val="Tahoma"/>
            <family val="2"/>
          </rPr>
          <t>the following few columns calculate gross margins for the recall year</t>
        </r>
      </text>
    </comment>
    <comment ref="F18" authorId="2" shapeId="0" xr:uid="{00000000-0006-0000-0500-000004000000}">
      <text>
        <r>
          <rPr>
            <b/>
            <sz val="9"/>
            <color indexed="81"/>
            <rFont val="Tahoma"/>
            <family val="2"/>
          </rPr>
          <t>ThinkpadX260:</t>
        </r>
        <r>
          <rPr>
            <sz val="9"/>
            <color indexed="81"/>
            <rFont val="Tahoma"/>
            <family val="2"/>
          </rPr>
          <t xml:space="preserve">
prev Orngadida</t>
        </r>
      </text>
    </comment>
    <comment ref="F30" authorId="2" shapeId="0" xr:uid="{00000000-0006-0000-0500-000005000000}">
      <text>
        <r>
          <rPr>
            <b/>
            <sz val="9"/>
            <color indexed="81"/>
            <rFont val="Tahoma"/>
            <family val="2"/>
          </rPr>
          <t>ThinkpadX260:</t>
        </r>
        <r>
          <rPr>
            <sz val="9"/>
            <color indexed="81"/>
            <rFont val="Tahoma"/>
            <family val="2"/>
          </rPr>
          <t xml:space="preserve">
prev Orngadida</t>
        </r>
      </text>
    </comment>
    <comment ref="D43" authorId="2" shapeId="0" xr:uid="{00000000-0006-0000-0500-000006000000}">
      <text>
        <r>
          <rPr>
            <b/>
            <sz val="9"/>
            <color indexed="81"/>
            <rFont val="Tahoma"/>
            <family val="2"/>
          </rPr>
          <t>ThinkpadX260:</t>
        </r>
        <r>
          <rPr>
            <sz val="9"/>
            <color indexed="81"/>
            <rFont val="Tahoma"/>
            <family val="2"/>
          </rPr>
          <t xml:space="preserve">
was Maulidi Athumani Mtinda</t>
        </r>
      </text>
    </comment>
    <comment ref="D91" authorId="2" shapeId="0" xr:uid="{00000000-0006-0000-0500-000007000000}">
      <text>
        <r>
          <rPr>
            <b/>
            <sz val="9"/>
            <color indexed="81"/>
            <rFont val="Tahoma"/>
            <family val="2"/>
          </rPr>
          <t>ThinkpadX260:</t>
        </r>
        <r>
          <rPr>
            <sz val="9"/>
            <color indexed="81"/>
            <rFont val="Tahoma"/>
            <family val="2"/>
          </rPr>
          <t xml:space="preserve">
( Mother)</t>
        </r>
      </text>
    </comment>
    <comment ref="D110" authorId="2" shapeId="0" xr:uid="{00000000-0006-0000-0500-000008000000}">
      <text>
        <r>
          <rPr>
            <b/>
            <sz val="9"/>
            <color indexed="81"/>
            <rFont val="Tahoma"/>
            <family val="2"/>
          </rPr>
          <t>ThinkpadX260:</t>
        </r>
        <r>
          <rPr>
            <sz val="9"/>
            <color indexed="81"/>
            <rFont val="Tahoma"/>
            <family val="2"/>
          </rPr>
          <t xml:space="preserve">
there is no other wema tsikho</t>
        </r>
      </text>
    </comment>
    <comment ref="F206" authorId="2" shapeId="0" xr:uid="{00000000-0006-0000-0500-000009000000}">
      <text>
        <r>
          <rPr>
            <b/>
            <sz val="9"/>
            <color indexed="81"/>
            <rFont val="Tahoma"/>
            <family val="2"/>
          </rPr>
          <t>ThinkpadX260:</t>
        </r>
        <r>
          <rPr>
            <sz val="9"/>
            <color indexed="81"/>
            <rFont val="Tahoma"/>
            <family val="2"/>
          </rPr>
          <t xml:space="preserve">
prev Orngadida</t>
        </r>
      </text>
    </comment>
    <comment ref="F234" authorId="2" shapeId="0" xr:uid="{00000000-0006-0000-0500-00000A000000}">
      <text>
        <r>
          <rPr>
            <b/>
            <sz val="9"/>
            <color indexed="81"/>
            <rFont val="Tahoma"/>
            <family val="2"/>
          </rPr>
          <t>ThinkpadX260:</t>
        </r>
        <r>
          <rPr>
            <sz val="9"/>
            <color indexed="81"/>
            <rFont val="Tahoma"/>
            <family val="2"/>
          </rPr>
          <t xml:space="preserve">
initially Orngadida</t>
        </r>
      </text>
    </comment>
    <comment ref="F244" authorId="2" shapeId="0" xr:uid="{00000000-0006-0000-0500-00000B000000}">
      <text>
        <r>
          <rPr>
            <b/>
            <sz val="9"/>
            <color indexed="81"/>
            <rFont val="Tahoma"/>
            <family val="2"/>
          </rPr>
          <t>ThinkpadX260:</t>
        </r>
        <r>
          <rPr>
            <sz val="9"/>
            <color indexed="81"/>
            <rFont val="Tahoma"/>
            <family val="2"/>
          </rPr>
          <t xml:space="preserve">
prev Orngadida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ThinkpadX260</author>
    <author>Job Kihara</author>
  </authors>
  <commentList>
    <comment ref="O1" authorId="0" shapeId="0" xr:uid="{998EDA54-57CE-E747-AD5D-04BDA7588B66}">
      <text>
        <r>
          <rPr>
            <b/>
            <sz val="9"/>
            <color rgb="FF000000"/>
            <rFont val="Tahoma"/>
            <family val="2"/>
          </rPr>
          <t>ThinkpadX260:</t>
        </r>
        <r>
          <rPr>
            <sz val="9"/>
            <color rgb="FF000000"/>
            <rFont val="Tahoma"/>
            <family val="2"/>
          </rPr>
          <t xml:space="preserve">
</t>
        </r>
        <r>
          <rPr>
            <sz val="9"/>
            <color rgb="FF000000"/>
            <rFont val="Tahoma"/>
            <family val="2"/>
          </rPr>
          <t>multiple means combinations of casuals, draught and tractors</t>
        </r>
      </text>
    </comment>
    <comment ref="W1" authorId="1" shapeId="0" xr:uid="{2298A5D5-46E3-3641-9F87-E19418DFEDD4}">
      <text>
        <r>
          <rPr>
            <b/>
            <sz val="9"/>
            <color rgb="FF000000"/>
            <rFont val="Tahoma"/>
            <family val="2"/>
          </rPr>
          <t>Job Kihara:</t>
        </r>
        <r>
          <rPr>
            <sz val="9"/>
            <color rgb="FF000000"/>
            <rFont val="Tahoma"/>
            <family val="2"/>
          </rPr>
          <t xml:space="preserve">
</t>
        </r>
        <r>
          <rPr>
            <sz val="9"/>
            <color rgb="FF000000"/>
            <rFont val="Tahoma"/>
            <family val="2"/>
          </rPr>
          <t>calculated based on farmer recall from 2016</t>
        </r>
      </text>
    </comment>
    <comment ref="AA1" authorId="1" shapeId="0" xr:uid="{24F10EAA-0857-654C-9EF8-9BB3E84B4103}">
      <text>
        <r>
          <rPr>
            <b/>
            <sz val="9"/>
            <color rgb="FF000000"/>
            <rFont val="Tahoma"/>
            <family val="2"/>
          </rPr>
          <t>Job Kihara:</t>
        </r>
        <r>
          <rPr>
            <sz val="9"/>
            <color rgb="FF000000"/>
            <rFont val="Tahoma"/>
            <family val="2"/>
          </rPr>
          <t xml:space="preserve">
</t>
        </r>
        <r>
          <rPr>
            <sz val="9"/>
            <color rgb="FF000000"/>
            <rFont val="Tahoma"/>
            <family val="2"/>
          </rPr>
          <t>calculated based on farmer recall from 2016</t>
        </r>
      </text>
    </comment>
    <comment ref="AE1" authorId="1" shapeId="0" xr:uid="{E8F60DCC-8D6B-874D-A71E-312A175795E5}">
      <text>
        <r>
          <rPr>
            <b/>
            <sz val="9"/>
            <color indexed="81"/>
            <rFont val="Tahoma"/>
            <family val="2"/>
          </rPr>
          <t>Job Kihara:</t>
        </r>
        <r>
          <rPr>
            <sz val="9"/>
            <color indexed="81"/>
            <rFont val="Tahoma"/>
            <family val="2"/>
          </rPr>
          <t xml:space="preserve">
calculated based on farmer recall from 2016</t>
        </r>
      </text>
    </comment>
    <comment ref="BR1" authorId="1" shapeId="0" xr:uid="{746A32A4-020F-BD40-A45F-2DA2EF8541A8}">
      <text>
        <r>
          <rPr>
            <b/>
            <sz val="9"/>
            <color rgb="FF000000"/>
            <rFont val="Tahoma"/>
            <family val="2"/>
          </rPr>
          <t>Job Kihara:</t>
        </r>
        <r>
          <rPr>
            <sz val="9"/>
            <color rgb="FF000000"/>
            <rFont val="Tahoma"/>
            <family val="2"/>
          </rPr>
          <t xml:space="preserve">
</t>
        </r>
        <r>
          <rPr>
            <sz val="9"/>
            <color rgb="FF000000"/>
            <rFont val="Tahoma"/>
            <family val="2"/>
          </rPr>
          <t>the following few columns calculate gross margins for the recall year</t>
        </r>
      </text>
    </comment>
    <comment ref="F18" authorId="0" shapeId="0" xr:uid="{45CC9F4C-9BF5-A74E-A2E3-6E381E7EC687}">
      <text>
        <r>
          <rPr>
            <b/>
            <sz val="9"/>
            <color indexed="81"/>
            <rFont val="Tahoma"/>
            <family val="2"/>
          </rPr>
          <t>ThinkpadX260:</t>
        </r>
        <r>
          <rPr>
            <sz val="9"/>
            <color indexed="81"/>
            <rFont val="Tahoma"/>
            <family val="2"/>
          </rPr>
          <t xml:space="preserve">
prev Orngadida</t>
        </r>
      </text>
    </comment>
    <comment ref="F30" authorId="0" shapeId="0" xr:uid="{461DD1CD-FDC0-6A4F-838F-2086952EBEB0}">
      <text>
        <r>
          <rPr>
            <b/>
            <sz val="9"/>
            <color rgb="FF000000"/>
            <rFont val="Tahoma"/>
            <family val="2"/>
          </rPr>
          <t>ThinkpadX260:</t>
        </r>
        <r>
          <rPr>
            <sz val="9"/>
            <color rgb="FF000000"/>
            <rFont val="Tahoma"/>
            <family val="2"/>
          </rPr>
          <t xml:space="preserve">
</t>
        </r>
        <r>
          <rPr>
            <sz val="9"/>
            <color rgb="FF000000"/>
            <rFont val="Tahoma"/>
            <family val="2"/>
          </rPr>
          <t>prev Orngadida</t>
        </r>
      </text>
    </comment>
    <comment ref="D43" authorId="0" shapeId="0" xr:uid="{E8687C75-F402-8349-8D3B-1E16E1DA1B44}">
      <text>
        <r>
          <rPr>
            <b/>
            <sz val="9"/>
            <color indexed="81"/>
            <rFont val="Tahoma"/>
            <family val="2"/>
          </rPr>
          <t>ThinkpadX260:</t>
        </r>
        <r>
          <rPr>
            <sz val="9"/>
            <color indexed="81"/>
            <rFont val="Tahoma"/>
            <family val="2"/>
          </rPr>
          <t xml:space="preserve">
was Maulidi Athumani Mtinda</t>
        </r>
      </text>
    </comment>
    <comment ref="D91" authorId="0" shapeId="0" xr:uid="{552CB63E-102C-594E-B6E5-A6AEA4859E96}">
      <text>
        <r>
          <rPr>
            <b/>
            <sz val="9"/>
            <color indexed="81"/>
            <rFont val="Tahoma"/>
            <family val="2"/>
          </rPr>
          <t>ThinkpadX260:</t>
        </r>
        <r>
          <rPr>
            <sz val="9"/>
            <color indexed="81"/>
            <rFont val="Tahoma"/>
            <family val="2"/>
          </rPr>
          <t xml:space="preserve">
( Mother)</t>
        </r>
      </text>
    </comment>
    <comment ref="D110" authorId="0" shapeId="0" xr:uid="{6FF104AB-335A-2241-B7BF-60DD6F5ED1AF}">
      <text>
        <r>
          <rPr>
            <b/>
            <sz val="9"/>
            <color indexed="81"/>
            <rFont val="Tahoma"/>
            <family val="2"/>
          </rPr>
          <t>ThinkpadX260:</t>
        </r>
        <r>
          <rPr>
            <sz val="9"/>
            <color indexed="81"/>
            <rFont val="Tahoma"/>
            <family val="2"/>
          </rPr>
          <t xml:space="preserve">
there is no other wema tsikho</t>
        </r>
      </text>
    </comment>
    <comment ref="F206" authorId="0" shapeId="0" xr:uid="{FCAE679B-B531-7144-8DE0-7C4E607B6A83}">
      <text>
        <r>
          <rPr>
            <b/>
            <sz val="9"/>
            <color indexed="81"/>
            <rFont val="Tahoma"/>
            <family val="2"/>
          </rPr>
          <t>ThinkpadX260:</t>
        </r>
        <r>
          <rPr>
            <sz val="9"/>
            <color indexed="81"/>
            <rFont val="Tahoma"/>
            <family val="2"/>
          </rPr>
          <t xml:space="preserve">
prev Orngadida</t>
        </r>
      </text>
    </comment>
    <comment ref="F234" authorId="0" shapeId="0" xr:uid="{16ACB1C4-25AD-834C-826B-8B8AD56B16DC}">
      <text>
        <r>
          <rPr>
            <b/>
            <sz val="9"/>
            <color indexed="81"/>
            <rFont val="Tahoma"/>
            <family val="2"/>
          </rPr>
          <t>ThinkpadX260:</t>
        </r>
        <r>
          <rPr>
            <sz val="9"/>
            <color indexed="81"/>
            <rFont val="Tahoma"/>
            <family val="2"/>
          </rPr>
          <t xml:space="preserve">
initially Orngadida</t>
        </r>
      </text>
    </comment>
    <comment ref="F244" authorId="0" shapeId="0" xr:uid="{29EA4146-1A55-1C4D-9369-C4FED4ADE2FB}">
      <text>
        <r>
          <rPr>
            <b/>
            <sz val="9"/>
            <color indexed="81"/>
            <rFont val="Tahoma"/>
            <family val="2"/>
          </rPr>
          <t>ThinkpadX260:</t>
        </r>
        <r>
          <rPr>
            <sz val="9"/>
            <color indexed="81"/>
            <rFont val="Tahoma"/>
            <family val="2"/>
          </rPr>
          <t xml:space="preserve">
prev Orngadida</t>
        </r>
      </text>
    </comment>
  </commentList>
</comments>
</file>

<file path=xl/sharedStrings.xml><?xml version="1.0" encoding="utf-8"?>
<sst xmlns="http://schemas.openxmlformats.org/spreadsheetml/2006/main" count="35874" uniqueCount="2238">
  <si>
    <t>DURU</t>
  </si>
  <si>
    <t>ORNGADIDA</t>
  </si>
  <si>
    <t>AYAMANGO</t>
  </si>
  <si>
    <t>SELOTO</t>
  </si>
  <si>
    <t>ENDAGWE</t>
  </si>
  <si>
    <t>HALLU</t>
  </si>
  <si>
    <t>NAME</t>
  </si>
  <si>
    <t>VILLAGE</t>
  </si>
  <si>
    <t>ENDANOGA</t>
  </si>
  <si>
    <t>BABY</t>
  </si>
  <si>
    <t>IMPROVE ,R1</t>
  </si>
  <si>
    <t>IMPROVE ,R2</t>
  </si>
  <si>
    <t>FARMER PRACTICE, R1</t>
  </si>
  <si>
    <t>TSAMASI</t>
  </si>
  <si>
    <t>FARMER PRACTICE, R2</t>
  </si>
  <si>
    <t>MANDI</t>
  </si>
  <si>
    <t>SABILO</t>
  </si>
  <si>
    <t>improved</t>
  </si>
  <si>
    <t>No. Plants</t>
  </si>
  <si>
    <t>No. Cobs</t>
  </si>
  <si>
    <t>Weight Plants</t>
  </si>
  <si>
    <t>Weight Cobs</t>
  </si>
  <si>
    <t>Weight S_Sample</t>
  </si>
  <si>
    <t>SOLETO</t>
  </si>
  <si>
    <t>Sangara</t>
  </si>
  <si>
    <t>No farmer practice</t>
  </si>
  <si>
    <t>Endanachan</t>
  </si>
  <si>
    <t>MOTHER</t>
  </si>
  <si>
    <t>DAP+SEEDCO 513</t>
  </si>
  <si>
    <t>DAP+MERU 513</t>
  </si>
  <si>
    <t>DAP+MERU 515</t>
  </si>
  <si>
    <t>MINJINGU+SEEDCO 513</t>
  </si>
  <si>
    <t>MINJINGU+MERU 513</t>
  </si>
  <si>
    <t>MINJINGU+MERU 515</t>
  </si>
  <si>
    <t>MINJINGU+STUKA</t>
  </si>
  <si>
    <t>DAP+KITALE H04</t>
  </si>
  <si>
    <t>DAP+SEEDCO 403</t>
  </si>
  <si>
    <t>DAP+TMVI</t>
  </si>
  <si>
    <t>DAP+DK 8031</t>
  </si>
  <si>
    <t>Minjingu+TMVI</t>
  </si>
  <si>
    <t>Mingingu/KITALE H04</t>
  </si>
  <si>
    <t>Mingingu+DK 8031</t>
  </si>
  <si>
    <t>TMVI9 (Control)</t>
  </si>
  <si>
    <t>KITALE H04 (Control)</t>
  </si>
  <si>
    <t>DK8031(Control)</t>
  </si>
  <si>
    <t>MERU 513(Control)</t>
  </si>
  <si>
    <t>MERU 515(Control)</t>
  </si>
  <si>
    <t>SEEDCO 513(Control)</t>
  </si>
  <si>
    <t>STUKA(Control)</t>
  </si>
  <si>
    <t>SEEDCO 403(Control)</t>
  </si>
  <si>
    <t>KITALE H04(Control)</t>
  </si>
  <si>
    <t>Weight grain</t>
  </si>
  <si>
    <t>Weight core</t>
  </si>
  <si>
    <t>GEDAMARA</t>
  </si>
  <si>
    <t>NOT AVAILABLE</t>
  </si>
  <si>
    <t>TRIAL</t>
  </si>
  <si>
    <t>PRACTICE</t>
  </si>
  <si>
    <t>IMPROVE ,F1</t>
  </si>
  <si>
    <t>IMPROVE ,F2</t>
  </si>
  <si>
    <t>DAP+NYATI 515</t>
  </si>
  <si>
    <t>PIONEER+NO FERT</t>
  </si>
  <si>
    <t>PIONEER-KIRINDO+NO FERT</t>
  </si>
  <si>
    <t>TGrainYld</t>
  </si>
  <si>
    <t>TStoverYld</t>
  </si>
  <si>
    <t>Symbol1</t>
  </si>
  <si>
    <t>Symbol2</t>
  </si>
  <si>
    <t>Abas Mohamed Slaa</t>
  </si>
  <si>
    <t>Anderi</t>
  </si>
  <si>
    <t>Athuman Kisuda</t>
  </si>
  <si>
    <t>Dodi Athuman</t>
  </si>
  <si>
    <t>Hosea Willson</t>
  </si>
  <si>
    <t>Humasai Bombo Bayo</t>
  </si>
  <si>
    <t>Joji Jabu Bombo</t>
  </si>
  <si>
    <t>Layda Buru</t>
  </si>
  <si>
    <t>Leonard Jabu Bombo</t>
  </si>
  <si>
    <t>Lobulu Ndiogi Metamei</t>
  </si>
  <si>
    <t>Loti Kayani Chako</t>
  </si>
  <si>
    <t>Lusia Dohho</t>
  </si>
  <si>
    <t>Maria Qamboy</t>
  </si>
  <si>
    <t>Maulidi Athuman Mlinda</t>
  </si>
  <si>
    <t>Maulidi Ramadhani Ally</t>
  </si>
  <si>
    <t>Mohamed Hamisi Lesso</t>
  </si>
  <si>
    <t xml:space="preserve">Naada Tlaa </t>
  </si>
  <si>
    <t>Nganyi Group</t>
  </si>
  <si>
    <t>Oliva Filipo</t>
  </si>
  <si>
    <t>Paskali Zakayo</t>
  </si>
  <si>
    <t>Rabia Kahalifa Hamadi</t>
  </si>
  <si>
    <t>Saulistini Bilauri</t>
  </si>
  <si>
    <t>Silvin Jabu Bombo</t>
  </si>
  <si>
    <t>Taaan Safari</t>
  </si>
  <si>
    <t>Tano Humay Qwendo</t>
  </si>
  <si>
    <t>Wilson Dighay Sunu</t>
  </si>
  <si>
    <t>Abdilah Yusuph Abdala</t>
  </si>
  <si>
    <t>Ally Abdilah Yusuph</t>
  </si>
  <si>
    <t>Bakari Hamudu Omary</t>
  </si>
  <si>
    <t>Damian Gabrel Sanka</t>
  </si>
  <si>
    <t>Emanuel James Gwangway</t>
  </si>
  <si>
    <t>Fatuma Ally Said</t>
  </si>
  <si>
    <t>Gregory Sule Siriri</t>
  </si>
  <si>
    <t>Hamudu Omary</t>
  </si>
  <si>
    <t>Hassan Rashid Gau</t>
  </si>
  <si>
    <t>Karimu Saidi Mbao</t>
  </si>
  <si>
    <t>Leandar Daniel</t>
  </si>
  <si>
    <t>Leonce Siriri Sule</t>
  </si>
  <si>
    <t>Leonce Sule Siriri</t>
  </si>
  <si>
    <t>Manase Baghari Gwangway</t>
  </si>
  <si>
    <t>Mariam Idd Kijuu</t>
  </si>
  <si>
    <t>Marium Hasani Schelwa</t>
  </si>
  <si>
    <t>Miki Daniel Qwaraida</t>
  </si>
  <si>
    <t>Omari Dawi Mwase</t>
  </si>
  <si>
    <t>Paulo Manase Panga</t>
  </si>
  <si>
    <t>Qamara Suloo Qasara</t>
  </si>
  <si>
    <t>Sharifa Juma Mohamedi</t>
  </si>
  <si>
    <t>Yasini Salimu Mfucho</t>
  </si>
  <si>
    <t>Zainabu Sefu Hamisi</t>
  </si>
  <si>
    <t>Zena Mghusi Haima</t>
  </si>
  <si>
    <t>Zubeda Musa Issa</t>
  </si>
  <si>
    <t>Adaa Nada Mabiwa</t>
  </si>
  <si>
    <t>Andrea Dodi Tlaghasi</t>
  </si>
  <si>
    <t>Daniel Darabe Dagharo</t>
  </si>
  <si>
    <t xml:space="preserve">Emanueli Simon Ama </t>
  </si>
  <si>
    <t>Fabiano Mpunzi Lambo</t>
  </si>
  <si>
    <t>Fadhili Kalili</t>
  </si>
  <si>
    <t>Faustini Nada Barie</t>
  </si>
  <si>
    <t>Felice Yogeni Mjili</t>
  </si>
  <si>
    <t>Jacob Joseph Kijuu</t>
  </si>
  <si>
    <t>John Darabe Dagharo</t>
  </si>
  <si>
    <t>Nada Karani Jumbe</t>
  </si>
  <si>
    <t>Neemia Yonah Mukusi</t>
  </si>
  <si>
    <t>Paulo Gellasi</t>
  </si>
  <si>
    <t>Paulo Petro Barie</t>
  </si>
  <si>
    <t>Petro Haima Qhwanga</t>
  </si>
  <si>
    <t>Samweli Mohamed Arse</t>
  </si>
  <si>
    <t>Stephano Chapa Siasi</t>
  </si>
  <si>
    <t>Abdilah Juma</t>
  </si>
  <si>
    <t xml:space="preserve">Andrea Tluway </t>
  </si>
  <si>
    <t>Dawi Datho</t>
  </si>
  <si>
    <t>Emmanueli Gewe</t>
  </si>
  <si>
    <t>Joshua Bombo</t>
  </si>
  <si>
    <t>Joshua Dobe</t>
  </si>
  <si>
    <t>Nada Qalimi</t>
  </si>
  <si>
    <t>Nehemia ??</t>
  </si>
  <si>
    <t>Paulo Nada</t>
  </si>
  <si>
    <t>Stephano Nada</t>
  </si>
  <si>
    <t>Yohana Gewe</t>
  </si>
  <si>
    <t>Adinam Amsi Sidame</t>
  </si>
  <si>
    <t>Amina Warae Amayo</t>
  </si>
  <si>
    <t>Atanas Keya</t>
  </si>
  <si>
    <t>Christina Paulo Moringe</t>
  </si>
  <si>
    <t>Dasere Qambalali</t>
  </si>
  <si>
    <t>Edward Tarimo Yurukuta</t>
  </si>
  <si>
    <t>Gaspar Alam</t>
  </si>
  <si>
    <t>Hiiti Baghayo Mjungu</t>
  </si>
  <si>
    <t>Hyma Hiiji Farayo</t>
  </si>
  <si>
    <t>Iddi Gora</t>
  </si>
  <si>
    <t>Joel Joram Mason</t>
  </si>
  <si>
    <t>Jumanne Sochore</t>
  </si>
  <si>
    <t>Laurent Singay Sule</t>
  </si>
  <si>
    <t>Magdalena Petro Lagwe</t>
  </si>
  <si>
    <t>Mohamed Soghore</t>
  </si>
  <si>
    <t>Omary Dodo Tekway</t>
  </si>
  <si>
    <t>Pascal Singay Sule</t>
  </si>
  <si>
    <t>Petronila Baha</t>
  </si>
  <si>
    <t>Protas Yero</t>
  </si>
  <si>
    <t>Rajabu Haima Hiiti</t>
  </si>
  <si>
    <t>Regina Willium Qamara</t>
  </si>
  <si>
    <t>Safari  Baghayo Mjungu</t>
  </si>
  <si>
    <t>Sige Hewasi</t>
  </si>
  <si>
    <t>Teopista Cosmasi Temba</t>
  </si>
  <si>
    <t>Teresia Tarmo</t>
  </si>
  <si>
    <t>Rahabu</t>
  </si>
  <si>
    <t>Alya Bilori</t>
  </si>
  <si>
    <t>Asha Halahala Biyeda</t>
  </si>
  <si>
    <t>Asha Juma Selemani</t>
  </si>
  <si>
    <t>Baghayo Dodo Matambo</t>
  </si>
  <si>
    <t>Bura Shamba Haito</t>
  </si>
  <si>
    <t>Dotha Gitiyang</t>
  </si>
  <si>
    <t>Farida Hamisi Thaa</t>
  </si>
  <si>
    <t>Fatuma Iddi Lawala</t>
  </si>
  <si>
    <t>Gabriel Yaro</t>
  </si>
  <si>
    <t>Gidemara Primary School</t>
  </si>
  <si>
    <t>Hallu Primary School</t>
  </si>
  <si>
    <t>Jamila Jumanne  Maja</t>
  </si>
  <si>
    <t>John Bahi Tenga</t>
  </si>
  <si>
    <t>John Gwandu Tsere</t>
  </si>
  <si>
    <t>Juma Muna Kwahhe</t>
  </si>
  <si>
    <t>Mafita Magingi Issa</t>
  </si>
  <si>
    <t>Magret Sani Qwadule</t>
  </si>
  <si>
    <t>Marki Teodory</t>
  </si>
  <si>
    <t>No Name, Find In Survey</t>
  </si>
  <si>
    <t>Paulo Zacharia Boay</t>
  </si>
  <si>
    <t>Regina Andrea</t>
  </si>
  <si>
    <t>Veronica Amsi Maiba</t>
  </si>
  <si>
    <t>Andrea Qamara</t>
  </si>
  <si>
    <t>Atanasia Uche</t>
  </si>
  <si>
    <t>Augustino Ama</t>
  </si>
  <si>
    <t>Ayamango</t>
  </si>
  <si>
    <t>Danieli Joseph</t>
  </si>
  <si>
    <t>Danieli Martini</t>
  </si>
  <si>
    <t>Eladi Simon</t>
  </si>
  <si>
    <t>Fabiano Ama</t>
  </si>
  <si>
    <t>Francis Martini</t>
  </si>
  <si>
    <t>Gicharo Bombo Warae</t>
  </si>
  <si>
    <t>John Arkadi</t>
  </si>
  <si>
    <t>Joseph Bura</t>
  </si>
  <si>
    <t>Lucia Masai</t>
  </si>
  <si>
    <t>Lukasi Gwende</t>
  </si>
  <si>
    <t>Melkiadi Alkadi</t>
  </si>
  <si>
    <t>Merkiori Tiofili</t>
  </si>
  <si>
    <t>Michael Bado</t>
  </si>
  <si>
    <t>Michael Mefurda</t>
  </si>
  <si>
    <t>Paulo Baraza</t>
  </si>
  <si>
    <t>Safari Bomboo</t>
  </si>
  <si>
    <t>Simon Joseph</t>
  </si>
  <si>
    <t>Victori Barhe</t>
  </si>
  <si>
    <t>Abdi Ally Labu</t>
  </si>
  <si>
    <t>Abubakari Said</t>
  </si>
  <si>
    <t>Batholomeo Akonaay Panga</t>
  </si>
  <si>
    <t>Benadecta Ignas Hotti</t>
  </si>
  <si>
    <t>Fabiani Maiko Deli</t>
  </si>
  <si>
    <t>Fikira Mohamed</t>
  </si>
  <si>
    <t>Frank Joseph</t>
  </si>
  <si>
    <t>Hassan H Gunda</t>
  </si>
  <si>
    <t>Idd Shabani Hussen??</t>
  </si>
  <si>
    <t>Iddi Salimu Mumba</t>
  </si>
  <si>
    <t xml:space="preserve">Issa Kijuu </t>
  </si>
  <si>
    <t>John Andrea</t>
  </si>
  <si>
    <t>John Tembea</t>
  </si>
  <si>
    <t>Juma Hussen Mawere</t>
  </si>
  <si>
    <t>Juma Mola</t>
  </si>
  <si>
    <t>Paulina Yamme</t>
  </si>
  <si>
    <t>Petter John</t>
  </si>
  <si>
    <t>Rehema Iddi Hassani</t>
  </si>
  <si>
    <t>Rehema Issa Kijuu</t>
  </si>
  <si>
    <t>Said Hongola</t>
  </si>
  <si>
    <t>Said J Seleman</t>
  </si>
  <si>
    <t>Salha Iddi Kijuu</t>
  </si>
  <si>
    <t>Shaban Hussein Mbisha</t>
  </si>
  <si>
    <t>Zuhura Iddi Kijuu</t>
  </si>
  <si>
    <t>Agnes Zebedayo</t>
  </si>
  <si>
    <t>Alfredi Gwandu</t>
  </si>
  <si>
    <t>Baltazar Petro</t>
  </si>
  <si>
    <t>Francis Michael</t>
  </si>
  <si>
    <t>Gabriel Sikai</t>
  </si>
  <si>
    <t>Israel Pedro</t>
  </si>
  <si>
    <t>Jeremia Gabriel</t>
  </si>
  <si>
    <t>Kamili Mayo</t>
  </si>
  <si>
    <t>Paulo Joakim</t>
  </si>
  <si>
    <t>Paulo Lakaki</t>
  </si>
  <si>
    <t>Petro Dirang'</t>
  </si>
  <si>
    <t>Petro Lohay</t>
  </si>
  <si>
    <t>Silvini Antony</t>
  </si>
  <si>
    <t>Sinorina Paulo</t>
  </si>
  <si>
    <t>Siptalina Gadie</t>
  </si>
  <si>
    <t>Stanslaus Nicodem</t>
  </si>
  <si>
    <t>Zedekiah Bombo</t>
  </si>
  <si>
    <t>Zedekiah Israel</t>
  </si>
  <si>
    <t>Baraka Boay</t>
  </si>
  <si>
    <t>Barie Sinorai</t>
  </si>
  <si>
    <t>Ezekiel Laurenti</t>
  </si>
  <si>
    <t>Isaya Safari</t>
  </si>
  <si>
    <t>Jonathan Qamara</t>
  </si>
  <si>
    <t>Joseph Tahani</t>
  </si>
  <si>
    <t>Leonard Edward</t>
  </si>
  <si>
    <t>Linus Naghali</t>
  </si>
  <si>
    <t>Martini Dali</t>
  </si>
  <si>
    <t>Msafiri Jangwa</t>
  </si>
  <si>
    <t>Nicodemu Qamboro</t>
  </si>
  <si>
    <t>Patricia Mbung'E</t>
  </si>
  <si>
    <t>Paulo Gobre</t>
  </si>
  <si>
    <t>Peter Moringa</t>
  </si>
  <si>
    <t>Rozi John Hera</t>
  </si>
  <si>
    <t>Samuel Qamara</t>
  </si>
  <si>
    <t>Tobias Keudesia</t>
  </si>
  <si>
    <t>Violeti Mmari</t>
  </si>
  <si>
    <t>Ana Nadee Qwedo</t>
  </si>
  <si>
    <t>Barrie Shauri</t>
  </si>
  <si>
    <t>Bilas John Homa</t>
  </si>
  <si>
    <t>Kasian Gurtu Samani</t>
  </si>
  <si>
    <t>Martin Marmo Bayo</t>
  </si>
  <si>
    <t>Billos Genda</t>
  </si>
  <si>
    <t>Bura Domu</t>
  </si>
  <si>
    <t>Kwaselema Mulki Thehema</t>
  </si>
  <si>
    <t>Marbina Barhe</t>
  </si>
  <si>
    <t>Martini Leonce</t>
  </si>
  <si>
    <t>Abdi Antony Silayo</t>
  </si>
  <si>
    <t>Anastazia Bura</t>
  </si>
  <si>
    <t>Andrea Gwandu</t>
  </si>
  <si>
    <t>Bakari Juma</t>
  </si>
  <si>
    <t>Charles Ngoti Hamsi</t>
  </si>
  <si>
    <t>Hadija Hamisi Array</t>
  </si>
  <si>
    <t>Hamis Omari Lagia</t>
  </si>
  <si>
    <t>Hassan Abdi</t>
  </si>
  <si>
    <t>Julius Saitaban Mollel</t>
  </si>
  <si>
    <t>Juma Idd</t>
  </si>
  <si>
    <t>Maneno Maim Simba</t>
  </si>
  <si>
    <t>Martini Wema Tsikho</t>
  </si>
  <si>
    <t>Mustafa Hassani Ally</t>
  </si>
  <si>
    <t>Nasoro Ramadhan Abdalah</t>
  </si>
  <si>
    <t>Paskal Daniel Palambai</t>
  </si>
  <si>
    <t>Rajabu Hamary</t>
  </si>
  <si>
    <t>Said Swalehe Adaa</t>
  </si>
  <si>
    <t>Zainabu Juma Said</t>
  </si>
  <si>
    <t>Amsi Gurtu</t>
  </si>
  <si>
    <t>Dayo Slaa</t>
  </si>
  <si>
    <t>Dodo Matambo Bagayi</t>
  </si>
  <si>
    <t>Haitemba S/C</t>
  </si>
  <si>
    <t>Jeremia Wilson Dighay</t>
  </si>
  <si>
    <t>Mathayo Alkadi</t>
  </si>
  <si>
    <t>Paulo Igi</t>
  </si>
  <si>
    <t>Philipo Nashan</t>
  </si>
  <si>
    <t>Samwel Wilson Dighay</t>
  </si>
  <si>
    <t>Zainabu Omary</t>
  </si>
  <si>
    <t>Costastuno Bombo Magai</t>
  </si>
  <si>
    <t>Humasay Doho Bombo</t>
  </si>
  <si>
    <t>Layda Bura Katuwe</t>
  </si>
  <si>
    <t>Lobulu Ndiyogi Mitamey</t>
  </si>
  <si>
    <t>Lotti Kayani Chako</t>
  </si>
  <si>
    <t>Lucia Doho Bombo</t>
  </si>
  <si>
    <t>Mohamedi Hamisi Leso</t>
  </si>
  <si>
    <t>Nada Slaa Mando</t>
  </si>
  <si>
    <t>Paskali Zakayo Barie</t>
  </si>
  <si>
    <t>Rabia Halifa Hamadi</t>
  </si>
  <si>
    <t>Salustiani Bilauri Paulo</t>
  </si>
  <si>
    <t>Silvini Jabu Bombo</t>
  </si>
  <si>
    <t>Tanu Humay Qwendo</t>
  </si>
  <si>
    <t>Abdilah Abdala Yusufu</t>
  </si>
  <si>
    <t>Damiano Gabriel Sanka</t>
  </si>
  <si>
    <t>Fatuma Ally Saidi</t>
  </si>
  <si>
    <t>Gregory Sirili Sule</t>
  </si>
  <si>
    <t>Hamudu Omary Jungu</t>
  </si>
  <si>
    <t>Hassan Rashidi Gau</t>
  </si>
  <si>
    <t>Leandry Daniel Qwaraida</t>
  </si>
  <si>
    <t>Leonce Sirili Sule</t>
  </si>
  <si>
    <t>Manase Baghari Qwangway</t>
  </si>
  <si>
    <t>Marium Iddi Kijuu</t>
  </si>
  <si>
    <t>Mariam Hassani Schelwe</t>
  </si>
  <si>
    <t>Omari Dawi Muhale</t>
  </si>
  <si>
    <t>Qamara Suloo Qwasali</t>
  </si>
  <si>
    <t>Yasini Salimu Fuchu</t>
  </si>
  <si>
    <t>Zena Mukusi Haima</t>
  </si>
  <si>
    <t>Emanuel Simon Ama</t>
  </si>
  <si>
    <t>Fadhili Khalili</t>
  </si>
  <si>
    <t>Neemia Yona Mugusi</t>
  </si>
  <si>
    <t>Paulo Gelasi Polini</t>
  </si>
  <si>
    <t>Samwel Mohamedi Harseo</t>
  </si>
  <si>
    <t>Andrea Tluway Siday</t>
  </si>
  <si>
    <t>Stefano Nada</t>
  </si>
  <si>
    <t xml:space="preserve">Eduward Tarmo Yuructa </t>
  </si>
  <si>
    <t>Hayma Hiiti Farayo</t>
  </si>
  <si>
    <t xml:space="preserve">Petrolina Baa Tlaa </t>
  </si>
  <si>
    <t>Porotus Hero Dadwe</t>
  </si>
  <si>
    <t>Rajabu Hayma Hiiti</t>
  </si>
  <si>
    <t>Safari Baghayo Mjungu</t>
  </si>
  <si>
    <t>Teresia Zuberi Tarimo</t>
  </si>
  <si>
    <t>Ayli Bilori Mukusi</t>
  </si>
  <si>
    <t>Asha Halahalaa Biyeda</t>
  </si>
  <si>
    <t>Dotha Gitiang Qwaru</t>
  </si>
  <si>
    <t>Farida Amsi Slaa</t>
  </si>
  <si>
    <t>Jamila Jumanne Maja</t>
  </si>
  <si>
    <t>Magreti Suni Qwadue</t>
  </si>
  <si>
    <t>Marki Tiodori Stanslaus</t>
  </si>
  <si>
    <t>Veronica Amsi Maibangi</t>
  </si>
  <si>
    <t>Daniel Josef</t>
  </si>
  <si>
    <t>Gichara Bombo Warae</t>
  </si>
  <si>
    <t>Lukas Ngwandu</t>
  </si>
  <si>
    <t>Melkiadi Alkadi Gwandu</t>
  </si>
  <si>
    <t>Safari Bombo</t>
  </si>
  <si>
    <t>Victoria Barhe</t>
  </si>
  <si>
    <t>Abukakhari Saidi</t>
  </si>
  <si>
    <t>Bathelomeo Akonaay Panga</t>
  </si>
  <si>
    <t>Hassani Gunda</t>
  </si>
  <si>
    <t>Iddi Shabani</t>
  </si>
  <si>
    <t>John Andrea Philipo</t>
  </si>
  <si>
    <t>Paulina Yame Kutu</t>
  </si>
  <si>
    <t>Peter John Lukas</t>
  </si>
  <si>
    <t>Salha Issa Kijuu</t>
  </si>
  <si>
    <t>Shabani Huseni Mbisha</t>
  </si>
  <si>
    <t>Alfred Gwandu</t>
  </si>
  <si>
    <t>Israel Petro</t>
  </si>
  <si>
    <t>Jeremiah Gabriel</t>
  </si>
  <si>
    <t>Pascal Ng'andi</t>
  </si>
  <si>
    <t>Petro Ndirang'</t>
  </si>
  <si>
    <t>Silvinia Anthony</t>
  </si>
  <si>
    <t>Stanslaus Nicodemus</t>
  </si>
  <si>
    <t>Zedekiah Israeli</t>
  </si>
  <si>
    <t>Martin Dali</t>
  </si>
  <si>
    <t>Nicodemus Qambaro</t>
  </si>
  <si>
    <t>Patricia Mbung'e</t>
  </si>
  <si>
    <t>Rozi Joni Hera</t>
  </si>
  <si>
    <t>Tobias Keudiesia</t>
  </si>
  <si>
    <t>Violet Mmari</t>
  </si>
  <si>
    <t>Anna Nadee Qwendo</t>
  </si>
  <si>
    <t>Barie Shauri Sule</t>
  </si>
  <si>
    <t>Bilasi John Homa</t>
  </si>
  <si>
    <t>Bilos Genda</t>
  </si>
  <si>
    <t>Kasiani Gurtu Samani</t>
  </si>
  <si>
    <t>Martini Marmo Bayo</t>
  </si>
  <si>
    <t>Martin Leonce</t>
  </si>
  <si>
    <t>Anastazia Bura Dulumbi</t>
  </si>
  <si>
    <t>Andrea Gwambo Merry</t>
  </si>
  <si>
    <t>Bakari Juma Yusufu</t>
  </si>
  <si>
    <t>Hamisi Omary Lagia</t>
  </si>
  <si>
    <t>Hassani Abdi Hau</t>
  </si>
  <si>
    <t>Juma Iddi</t>
  </si>
  <si>
    <t>Julias Saitabau Mollel</t>
  </si>
  <si>
    <t>Maneno Malimu Simba</t>
  </si>
  <si>
    <t>Nasoro Ramadhani Abdala</t>
  </si>
  <si>
    <t>Paskali Danieli Kalambai</t>
  </si>
  <si>
    <t>Rajabu Omary Khinsa</t>
  </si>
  <si>
    <t>Saidi Swalehe Hadaa</t>
  </si>
  <si>
    <t>Zainabu Juma Saidi</t>
  </si>
  <si>
    <t>Isaka Zebedayo</t>
  </si>
  <si>
    <t>Said Juma Selemani</t>
  </si>
  <si>
    <t>Abas mohamedi</t>
  </si>
  <si>
    <t>Athumani Kisuda Kingo</t>
  </si>
  <si>
    <t>H_Name</t>
  </si>
  <si>
    <t>Hitema Secondary School</t>
  </si>
  <si>
    <t>Andrea Dodi</t>
  </si>
  <si>
    <t>Order</t>
  </si>
  <si>
    <t>Field_Type_Res</t>
  </si>
  <si>
    <t>Ally Abdilah Abdala</t>
  </si>
  <si>
    <t>Felice Yogeni</t>
  </si>
  <si>
    <t>Imanueli Gewe</t>
  </si>
  <si>
    <t>Iddi Daudi Mkomboji</t>
  </si>
  <si>
    <t>Hadija Juma Muna</t>
  </si>
  <si>
    <t>Asia Saidi Hamisi</t>
  </si>
  <si>
    <t>Lindael Paulo</t>
  </si>
  <si>
    <t>Joji Leonard Jabu</t>
  </si>
  <si>
    <t>Leonard Jabu Bendera</t>
  </si>
  <si>
    <t>Hassangw Noya</t>
  </si>
  <si>
    <t>Rehema Iddy Hotti</t>
  </si>
  <si>
    <t>Rehema Issa Iddi</t>
  </si>
  <si>
    <t>Petro Lohay Akweso</t>
  </si>
  <si>
    <t>Name of person collecting data</t>
  </si>
  <si>
    <t>Fname</t>
  </si>
  <si>
    <t>Inots</t>
  </si>
  <si>
    <t>V_harvest</t>
  </si>
  <si>
    <t>Village</t>
  </si>
  <si>
    <t>DistHome</t>
  </si>
  <si>
    <t>CR_Use</t>
  </si>
  <si>
    <t>RR_HH</t>
  </si>
  <si>
    <t>Res_GA</t>
  </si>
  <si>
    <t>Res_Price</t>
  </si>
  <si>
    <t>Res_Other</t>
  </si>
  <si>
    <t>Res_Dist_HH</t>
  </si>
  <si>
    <t>Res_Acquis</t>
  </si>
  <si>
    <t>Res_Acquis_Time</t>
  </si>
  <si>
    <t>Res_Acquis_Amt</t>
  </si>
  <si>
    <t>Res_Dist_HH2</t>
  </si>
  <si>
    <t>Specify distance of these fields from your village</t>
  </si>
  <si>
    <t>In which of your fields do you take the crop residues acquired from others?</t>
  </si>
  <si>
    <t>Specify how far 'Other' field is where crop residues are taken/delivered</t>
  </si>
  <si>
    <t>Res_Buy</t>
  </si>
  <si>
    <t>Res_Other2</t>
  </si>
  <si>
    <t>Manu_Appl</t>
  </si>
  <si>
    <t>Man_Source</t>
  </si>
  <si>
    <t>Man_Use_OtherHH</t>
  </si>
  <si>
    <t>Man_Use_OtherHH_Timing</t>
  </si>
  <si>
    <t>Man_Use_OtherHH_Amt</t>
  </si>
  <si>
    <t>Man_Use_OtherHH_Price</t>
  </si>
  <si>
    <t>Man_Use_OtherHH_Reason</t>
  </si>
  <si>
    <t>Man_Comb</t>
  </si>
  <si>
    <t>Man_Storage</t>
  </si>
  <si>
    <t>Man_Storage_Mthd</t>
  </si>
  <si>
    <t>Man_Acquis</t>
  </si>
  <si>
    <t>Man_Acquis_Time</t>
  </si>
  <si>
    <t>Freq_Man_Acquis</t>
  </si>
  <si>
    <t>Man_Amt_HH2</t>
  </si>
  <si>
    <t>Man_HH3_Price</t>
  </si>
  <si>
    <t>Man_HH3_OtherReason</t>
  </si>
  <si>
    <t>Land_ownership</t>
  </si>
  <si>
    <t>Land_Size_HomeField</t>
  </si>
  <si>
    <t>Land_Owned_Other</t>
  </si>
  <si>
    <t>Land_Owned_Other_Pcs</t>
  </si>
  <si>
    <t>Land_Size_OtherFields</t>
  </si>
  <si>
    <t>CroppedLand_NotOwned</t>
  </si>
  <si>
    <t>NotOwned_Access</t>
  </si>
  <si>
    <t>Land_Size_NotOwned</t>
  </si>
  <si>
    <t>Cows_Own</t>
  </si>
  <si>
    <t>Goats_Own</t>
  </si>
  <si>
    <t>Chicken_Own</t>
  </si>
  <si>
    <t>Sheep_Own</t>
  </si>
  <si>
    <t>Pigs_Own</t>
  </si>
  <si>
    <t>Donkeys_Own</t>
  </si>
  <si>
    <t>Cows</t>
  </si>
  <si>
    <t>Cows_Syst</t>
  </si>
  <si>
    <t>Goats</t>
  </si>
  <si>
    <t>Goats_Syst</t>
  </si>
  <si>
    <t>Chicken</t>
  </si>
  <si>
    <t>Chicken_Syst</t>
  </si>
  <si>
    <t>Sheep</t>
  </si>
  <si>
    <t>Sheep_Syst</t>
  </si>
  <si>
    <t>Pigs</t>
  </si>
  <si>
    <t>Pig_Syst</t>
  </si>
  <si>
    <t>Donkeys</t>
  </si>
  <si>
    <t>Men18yrs</t>
  </si>
  <si>
    <t>Women18yrs</t>
  </si>
  <si>
    <t>Children</t>
  </si>
  <si>
    <t>TotHH_Size</t>
  </si>
  <si>
    <t>Tractor_Owned</t>
  </si>
  <si>
    <t>OxCart_Owned</t>
  </si>
  <si>
    <t>OxPlough_Owned</t>
  </si>
  <si>
    <t>Implements_Other</t>
  </si>
  <si>
    <t>Pestcide_Appl</t>
  </si>
  <si>
    <t>Pestcide</t>
  </si>
  <si>
    <t>Labour_Other</t>
  </si>
  <si>
    <t>Labour_Acquis</t>
  </si>
  <si>
    <t>Area_IP</t>
  </si>
  <si>
    <t>Area_FP</t>
  </si>
  <si>
    <t>Area_OP</t>
  </si>
  <si>
    <t>TopDressing</t>
  </si>
  <si>
    <t>Area_Maize</t>
  </si>
  <si>
    <t>Yld_Maize</t>
  </si>
  <si>
    <t>Unit_Maize</t>
  </si>
  <si>
    <t>MzGrainYld</t>
  </si>
  <si>
    <t>Area_Beans</t>
  </si>
  <si>
    <t>Yld_Beans</t>
  </si>
  <si>
    <t>Unit_Beans</t>
  </si>
  <si>
    <t>BnYld</t>
  </si>
  <si>
    <t>Area_PgnPea</t>
  </si>
  <si>
    <t>Yld_PgnPea</t>
  </si>
  <si>
    <t>Unit_PgnPea</t>
  </si>
  <si>
    <t>PgPeaYLD</t>
  </si>
  <si>
    <t>ManAppl_Last season</t>
  </si>
  <si>
    <t>ManAppl_2 seasons ago</t>
  </si>
  <si>
    <t>ManAppl_3 seasons ago</t>
  </si>
  <si>
    <t>ManAppl_4 seasons ago</t>
  </si>
  <si>
    <t>ManAppl_5 seasons ago</t>
  </si>
  <si>
    <t>ManFreq</t>
  </si>
  <si>
    <t>Crop_Count</t>
  </si>
  <si>
    <t>SET-OF-G2</t>
  </si>
  <si>
    <t>SET-OF-G5</t>
  </si>
  <si>
    <t>Latitude</t>
  </si>
  <si>
    <t>Longitude</t>
  </si>
  <si>
    <t>Altitude</t>
  </si>
  <si>
    <t>Field GPS (accuracy)</t>
  </si>
  <si>
    <t>Form version used on device</t>
  </si>
  <si>
    <t>Unique submission ID</t>
  </si>
  <si>
    <t>Date/time submitted</t>
  </si>
  <si>
    <t>starttime</t>
  </si>
  <si>
    <t>endtime</t>
  </si>
  <si>
    <t>PlantDa</t>
  </si>
  <si>
    <t>Comment</t>
  </si>
  <si>
    <t>Inot</t>
  </si>
  <si>
    <t>Bury</t>
  </si>
  <si>
    <t>No</t>
  </si>
  <si>
    <t/>
  </si>
  <si>
    <t>Yes</t>
  </si>
  <si>
    <t>Both</t>
  </si>
  <si>
    <t>Casual</t>
  </si>
  <si>
    <t>Bags</t>
  </si>
  <si>
    <t>Gorogoro</t>
  </si>
  <si>
    <t>uuid:9622fa27-a5ff-425a-b3d6-714002739d01/secG-G2</t>
  </si>
  <si>
    <t>uuid:9622fa27-a5ff-425a-b3d6-714002739d01/secG-G5</t>
  </si>
  <si>
    <t>uuid:9622fa27-a5ff-425a-b3d6-714002739d01</t>
  </si>
  <si>
    <t>Inot Songoyani</t>
  </si>
  <si>
    <t>Feed livestock</t>
  </si>
  <si>
    <t>Every year</t>
  </si>
  <si>
    <t>Variable</t>
  </si>
  <si>
    <t>Other fields in my home village</t>
  </si>
  <si>
    <t>My 'home field' away from here</t>
  </si>
  <si>
    <t>Zero grazing</t>
  </si>
  <si>
    <t>Karate</t>
  </si>
  <si>
    <t>uuid:18346687-72ea-4b9a-a526-3253e23070b4/secG-G2</t>
  </si>
  <si>
    <t>uuid:18346687-72ea-4b9a-a526-3253e23070b4/secG-G5</t>
  </si>
  <si>
    <t>uuid:18346687-72ea-4b9a-a526-3253e23070b4</t>
  </si>
  <si>
    <t>Free</t>
  </si>
  <si>
    <t>Own animals</t>
  </si>
  <si>
    <t>Rent</t>
  </si>
  <si>
    <t>uuid:3d96e79f-1458-410e-bfc4-190a5064db54/secG-G2</t>
  </si>
  <si>
    <t>uuid:3d96e79f-1458-410e-bfc4-190a5064db54/secG-G5</t>
  </si>
  <si>
    <t>uuid:3d96e79f-1458-410e-bfc4-190a5064db54</t>
  </si>
  <si>
    <t>No name</t>
  </si>
  <si>
    <t>Dodi Athumani</t>
  </si>
  <si>
    <t>3</t>
  </si>
  <si>
    <t>uuid:9b07e848-d725-4506-ad52-7d592fcd4261/secG-G2</t>
  </si>
  <si>
    <t>uuid:9b07e848-d725-4506-ad52-7d592fcd4261/secG-G5</t>
  </si>
  <si>
    <t>uuid:9b07e848-d725-4506-ad52-7d592fcd4261</t>
  </si>
  <si>
    <t>Humasay Doho bombo</t>
  </si>
  <si>
    <t>Free range</t>
  </si>
  <si>
    <t>uuid:817605b6-a4fd-41a4-b608-092918a70dc0/secG-G2</t>
  </si>
  <si>
    <t>uuid:817605b6-a4fd-41a4-b608-092918a70dc0/secG-G5</t>
  </si>
  <si>
    <t>uuid:817605b6-a4fd-41a4-b608-092918a70dc0</t>
  </si>
  <si>
    <t>Family</t>
  </si>
  <si>
    <t>uuid:201d0852-546d-485d-a532-d23250f3c265/secG-G2</t>
  </si>
  <si>
    <t>uuid:201d0852-546d-485d-a532-d23250f3c265/secG-G5</t>
  </si>
  <si>
    <t>uuid:201d0852-546d-485d-a532-d23250f3c265</t>
  </si>
  <si>
    <t>Layda Bura katuwe</t>
  </si>
  <si>
    <t>uuid:3444ba8c-7372-43da-94c5-f002a2d94354/secG-G2</t>
  </si>
  <si>
    <t>uuid:3444ba8c-7372-43da-94c5-f002a2d94354/secG-G5</t>
  </si>
  <si>
    <t>uuid:3444ba8c-7372-43da-94c5-f002a2d94354</t>
  </si>
  <si>
    <t>Leonard Jab Bendera</t>
  </si>
  <si>
    <t>Karet</t>
  </si>
  <si>
    <t>uuid:b4623ca6-d93c-4deb-badc-a2a7ab02d4ef/secG-G2</t>
  </si>
  <si>
    <t>uuid:b4623ca6-d93c-4deb-badc-a2a7ab02d4ef/secG-G5</t>
  </si>
  <si>
    <t>uuid:b4623ca6-d93c-4deb-badc-a2a7ab02d4ef</t>
  </si>
  <si>
    <t>uuid:4684523d-a05f-4994-8625-65fa393c59d2/secG-G2</t>
  </si>
  <si>
    <t>uuid:4684523d-a05f-4994-8625-65fa393c59d2/secG-G5</t>
  </si>
  <si>
    <t>uuid:4684523d-a05f-4994-8625-65fa393c59d2</t>
  </si>
  <si>
    <t>uuid:c11dd2e6-fdd1-4690-95a5-c17bd2445236/secG-G2</t>
  </si>
  <si>
    <t>uuid:c11dd2e6-fdd1-4690-95a5-c17bd2445236/secG-G5</t>
  </si>
  <si>
    <t>uuid:c11dd2e6-fdd1-4690-95a5-c17bd2445236</t>
  </si>
  <si>
    <t>uuid:c8d62162-b368-4d43-a887-fd443415c5ae/secG-G2</t>
  </si>
  <si>
    <t>uuid:c8d62162-b368-4d43-a887-fd443415c5ae/secG-G5</t>
  </si>
  <si>
    <t>uuid:c8d62162-b368-4d43-a887-fd443415c5ae</t>
  </si>
  <si>
    <t>Maulid Ramadhani Ally</t>
  </si>
  <si>
    <t>Booster</t>
  </si>
  <si>
    <t>uuid:2215474d-14e9-4c29-922f-0ad2dba8243e/secG-G2</t>
  </si>
  <si>
    <t>uuid:2215474d-14e9-4c29-922f-0ad2dba8243e/secG-G5</t>
  </si>
  <si>
    <t>uuid:2215474d-14e9-4c29-922f-0ad2dba8243e</t>
  </si>
  <si>
    <t>uuid:b9d0cf6f-7f1c-4280-9da0-ffdaffb37770/secG-G2</t>
  </si>
  <si>
    <t>uuid:b9d0cf6f-7f1c-4280-9da0-ffdaffb37770/secG-G5</t>
  </si>
  <si>
    <t>uuid:b9d0cf6f-7f1c-4280-9da0-ffdaffb37770</t>
  </si>
  <si>
    <t>Purchase</t>
  </si>
  <si>
    <t>Last year</t>
  </si>
  <si>
    <t>Transport</t>
  </si>
  <si>
    <t>Colaboration</t>
  </si>
  <si>
    <t>uuid:9a3885e1-dd5d-4c16-89c3-8e4ebd944ca4/secG-G2</t>
  </si>
  <si>
    <t>uuid:9a3885e1-dd5d-4c16-89c3-8e4ebd944ca4/secG-G5</t>
  </si>
  <si>
    <t>uuid:9a3885e1-dd5d-4c16-89c3-8e4ebd944ca4</t>
  </si>
  <si>
    <t>uuid:c06e86e3-5935-4b73-b44b-0b073f2843f2/secG-G2</t>
  </si>
  <si>
    <t>uuid:c06e86e3-5935-4b73-b44b-0b073f2843f2/secG-G5</t>
  </si>
  <si>
    <t>uuid:c06e86e3-5935-4b73-b44b-0b073f2843f2</t>
  </si>
  <si>
    <t>RaBia Halifa Hamadi</t>
  </si>
  <si>
    <t>uuid:aa108698-fb7f-4028-b6bd-0a0ceb8a29c6/secG-G2</t>
  </si>
  <si>
    <t>uuid:aa108698-fb7f-4028-b6bd-0a0ceb8a29c6/secG-G5</t>
  </si>
  <si>
    <t>uuid:aa108698-fb7f-4028-b6bd-0a0ceb8a29c6</t>
  </si>
  <si>
    <t>Rahani</t>
  </si>
  <si>
    <t>uuid:a7daaaee-303a-4491-aaf4-e8799e4f190d/secG-G2</t>
  </si>
  <si>
    <t>uuid:a7daaaee-303a-4491-aaf4-e8799e4f190d/secG-G5</t>
  </si>
  <si>
    <t>uuid:a7daaaee-303a-4491-aaf4-e8799e4f190d</t>
  </si>
  <si>
    <t>uuid:1aaafa33-7731-4947-9543-b03ad8c01f76/secG-G2</t>
  </si>
  <si>
    <t>uuid:1aaafa33-7731-4947-9543-b03ad8c01f76/secG-G5</t>
  </si>
  <si>
    <t>uuid:1aaafa33-7731-4947-9543-b03ad8c01f76</t>
  </si>
  <si>
    <t>This field</t>
  </si>
  <si>
    <t>Family and rent</t>
  </si>
  <si>
    <t>Snacron</t>
  </si>
  <si>
    <t>uuid:c43190db-11e4-4ef9-a4e1-878e1b3bdbe1/secG-G2</t>
  </si>
  <si>
    <t>uuid:c43190db-11e4-4ef9-a4e1-878e1b3bdbe1/secG-G5</t>
  </si>
  <si>
    <t>uuid:c43190db-11e4-4ef9-a4e1-878e1b3bdbe1</t>
  </si>
  <si>
    <t>uuid:a4432fb4-525c-46c4-a7dd-3e088b50cc73/secG-G2</t>
  </si>
  <si>
    <t>uuid:a4432fb4-525c-46c4-a7dd-3e088b50cc73/secG-G5</t>
  </si>
  <si>
    <t>uuid:a4432fb4-525c-46c4-a7dd-3e088b50cc73</t>
  </si>
  <si>
    <t>Inot Sogoyani</t>
  </si>
  <si>
    <t>Duru</t>
  </si>
  <si>
    <t>uuid:b532852e-3e1b-42ea-9eb3-c9b83b4dae69/secG-G2</t>
  </si>
  <si>
    <t>uuid:b532852e-3e1b-42ea-9eb3-c9b83b4dae69/secG-G5</t>
  </si>
  <si>
    <t>uuid:b532852e-3e1b-42ea-9eb3-c9b83b4dae69</t>
  </si>
  <si>
    <t>1 2 3 4 5 888</t>
  </si>
  <si>
    <t>uuid:932054d1-7888-49bd-914a-71c3e1aa4daa/secG-G2</t>
  </si>
  <si>
    <t>uuid:932054d1-7888-49bd-914a-71c3e1aa4daa/secG-G5</t>
  </si>
  <si>
    <t>uuid:932054d1-7888-49bd-914a-71c3e1aa4daa</t>
  </si>
  <si>
    <t>uuid:24a200e4-2cfd-494e-9dac-611e8be51f84/secG-G2</t>
  </si>
  <si>
    <t>uuid:24a200e4-2cfd-494e-9dac-611e8be51f84/secG-G5</t>
  </si>
  <si>
    <t>uuid:24a200e4-2cfd-494e-9dac-611e8be51f84</t>
  </si>
  <si>
    <t>Damiano Gabriel Sanki</t>
  </si>
  <si>
    <t>uuid:e559ec4e-8099-4214-adea-968d78983fad/secG-G2</t>
  </si>
  <si>
    <t>uuid:e559ec4e-8099-4214-adea-968d78983fad/secG-G5</t>
  </si>
  <si>
    <t>uuid:e559ec4e-8099-4214-adea-968d78983fad</t>
  </si>
  <si>
    <t>Emanuli Gemsi Gwangwai</t>
  </si>
  <si>
    <t>uuid:3a842e68-6b2b-4655-a00e-bc3921c3847c/secG-G2</t>
  </si>
  <si>
    <t>uuid:3a842e68-6b2b-4655-a00e-bc3921c3847c/secG-G5</t>
  </si>
  <si>
    <t>uuid:3a842e68-6b2b-4655-a00e-bc3921c3847c</t>
  </si>
  <si>
    <t>uuid:bdec20fb-6b6c-436c-a005-c3718bb86852/secG-G2</t>
  </si>
  <si>
    <t>uuid:bdec20fb-6b6c-436c-a005-c3718bb86852/secG-G5</t>
  </si>
  <si>
    <t>uuid:bdec20fb-6b6c-436c-a005-c3718bb86852</t>
  </si>
  <si>
    <t>uuid:28aeaf8f-d8c3-4961-b46a-75286c16be9d/secG-G2</t>
  </si>
  <si>
    <t>uuid:28aeaf8f-d8c3-4961-b46a-75286c16be9d/secG-G5</t>
  </si>
  <si>
    <t>uuid:28aeaf8f-d8c3-4961-b46a-75286c16be9d</t>
  </si>
  <si>
    <t>uuid:3ae12d41-a51a-427c-8909-2caef3f1657e/secG-G2</t>
  </si>
  <si>
    <t>uuid:3ae12d41-a51a-427c-8909-2caef3f1657e/secG-G5</t>
  </si>
  <si>
    <t>uuid:3ae12d41-a51a-427c-8909-2caef3f1657e</t>
  </si>
  <si>
    <t>uuid:bbc6e859-333d-42ca-b499-4a83cc816618/secG-G2</t>
  </si>
  <si>
    <t>uuid:bbc6e859-333d-42ca-b499-4a83cc816618/secG-G5</t>
  </si>
  <si>
    <t>uuid:bbc6e859-333d-42ca-b499-4a83cc816618</t>
  </si>
  <si>
    <t>Hitema secondary school(Leonce sirili Sule)</t>
  </si>
  <si>
    <t>uuid:ddd181e1-054c-444a-ac08-c1d1dcddbd13/secG-G2</t>
  </si>
  <si>
    <t>uuid:ddd181e1-054c-444a-ac08-c1d1dcddbd13/secG-G5</t>
  </si>
  <si>
    <t>uuid:ddd181e1-054c-444a-ac08-c1d1dcddbd13</t>
  </si>
  <si>
    <t>Leandry Daniel Kwalaida</t>
  </si>
  <si>
    <t>uuid:5597b991-30a4-4068-901e-debca6c9b939/secG-G2</t>
  </si>
  <si>
    <t>uuid:5597b991-30a4-4068-901e-debca6c9b939/secG-G5</t>
  </si>
  <si>
    <t>uuid:5597b991-30a4-4068-901e-debca6c9b939</t>
  </si>
  <si>
    <t>uuid:2dc6c8c8-650b-4104-b9c7-0154f174bb0c/secG-G2</t>
  </si>
  <si>
    <t>uuid:2dc6c8c8-650b-4104-b9c7-0154f174bb0c/secG-G5</t>
  </si>
  <si>
    <t>uuid:2dc6c8c8-650b-4104-b9c7-0154f174bb0c</t>
  </si>
  <si>
    <t>Manase Bakari Kwangai</t>
  </si>
  <si>
    <t>uuid:475d65ba-3580-4366-a086-3c79ec47c23d/secG-G2</t>
  </si>
  <si>
    <t>uuid:475d65ba-3580-4366-a086-3c79ec47c23d/secG-G5</t>
  </si>
  <si>
    <t>uuid:475d65ba-3580-4366-a086-3c79ec47c23d</t>
  </si>
  <si>
    <t>Mariam Hassani Chwalwe</t>
  </si>
  <si>
    <t>uuid:09ddc92d-37ae-4818-9aa4-3ad13d3fd6ff/secG-G2</t>
  </si>
  <si>
    <t>uuid:09ddc92d-37ae-4818-9aa4-3ad13d3fd6ff/secG-G5</t>
  </si>
  <si>
    <t>uuid:09ddc92d-37ae-4818-9aa4-3ad13d3fd6ff</t>
  </si>
  <si>
    <t>uuid:5d29b38c-7003-4427-b8ff-f6af61336884/secG-G2</t>
  </si>
  <si>
    <t>uuid:5d29b38c-7003-4427-b8ff-f6af61336884/secG-G5</t>
  </si>
  <si>
    <t>uuid:5d29b38c-7003-4427-b8ff-f6af61336884</t>
  </si>
  <si>
    <t>Mick Daniel Kwalaida</t>
  </si>
  <si>
    <t>uuid:fa62c821-f933-4c38-bc40-a15ccf9517a2/secG-G2</t>
  </si>
  <si>
    <t>uuid:fa62c821-f933-4c38-bc40-a15ccf9517a2/secG-G5</t>
  </si>
  <si>
    <t>uuid:fa62c821-f933-4c38-bc40-a15ccf9517a2</t>
  </si>
  <si>
    <t>uuid:2268da95-1019-4108-8a24-40a4b85258d8/secG-G2</t>
  </si>
  <si>
    <t>uuid:2268da95-1019-4108-8a24-40a4b85258d8/secG-G5</t>
  </si>
  <si>
    <t>uuid:2268da95-1019-4108-8a24-40a4b85258d8</t>
  </si>
  <si>
    <t>uuid:4efb32bb-2393-4957-9b81-4cce46586580/secG-G2</t>
  </si>
  <si>
    <t>uuid:4efb32bb-2393-4957-9b81-4cce46586580/secG-G5</t>
  </si>
  <si>
    <t>uuid:4efb32bb-2393-4957-9b81-4cce46586580</t>
  </si>
  <si>
    <t>Please Karimu Saidi Mbao</t>
  </si>
  <si>
    <t>uuid:4f421d8e-30d4-4dea-95a0-6a719e46c6e5/secG-G2</t>
  </si>
  <si>
    <t>uuid:4f421d8e-30d4-4dea-95a0-6a719e46c6e5/secG-G5</t>
  </si>
  <si>
    <t>uuid:4f421d8e-30d4-4dea-95a0-6a719e46c6e5</t>
  </si>
  <si>
    <t>Ploughing</t>
  </si>
  <si>
    <t>uuid:db90c827-7eb4-4eb7-b495-db3433bda2ec/secG-G2</t>
  </si>
  <si>
    <t>uuid:db90c827-7eb4-4eb7-b495-db3433bda2ec/secG-G5</t>
  </si>
  <si>
    <t>uuid:db90c827-7eb4-4eb7-b495-db3433bda2ec</t>
  </si>
  <si>
    <t>uuid:84c52509-5a7d-4950-b82c-e9ce0ea016d8/secG-G2</t>
  </si>
  <si>
    <t>uuid:84c52509-5a7d-4950-b82c-e9ce0ea016d8/secG-G5</t>
  </si>
  <si>
    <t>uuid:84c52509-5a7d-4950-b82c-e9ce0ea016d8</t>
  </si>
  <si>
    <t>uuid:60087293-2d8d-47ea-98a7-b77afc8fbf51/secG-G2</t>
  </si>
  <si>
    <t>uuid:60087293-2d8d-47ea-98a7-b77afc8fbf51/secG-G5</t>
  </si>
  <si>
    <t>uuid:60087293-2d8d-47ea-98a7-b77afc8fbf51</t>
  </si>
  <si>
    <t>uuid:a0a8e732-b881-4fa3-ac83-93fc546036aa/secG-G2</t>
  </si>
  <si>
    <t>uuid:a0a8e732-b881-4fa3-ac83-93fc546036aa/secG-G5</t>
  </si>
  <si>
    <t>uuid:a0a8e732-b881-4fa3-ac83-93fc546036aa</t>
  </si>
  <si>
    <t>uuid:5f540719-e423-4db7-b38e-92444cd90fef/secG-G2</t>
  </si>
  <si>
    <t>uuid:5f540719-e423-4db7-b38e-92444cd90fef/secG-G5</t>
  </si>
  <si>
    <t>uuid:5f540719-e423-4db7-b38e-92444cd90fef</t>
  </si>
  <si>
    <t>uuid:4c0db8dc-906c-48d8-bc94-0e8be8f9d14c/secG-G2</t>
  </si>
  <si>
    <t>uuid:4c0db8dc-906c-48d8-bc94-0e8be8f9d14c/secG-G5</t>
  </si>
  <si>
    <t>uuid:4c0db8dc-906c-48d8-bc94-0e8be8f9d14c</t>
  </si>
  <si>
    <t>ADA NADA ABIWA</t>
  </si>
  <si>
    <t>Endagwe</t>
  </si>
  <si>
    <t>Duduba</t>
  </si>
  <si>
    <t>uuid:fa68e0ef-97b6-40d5-8e0f-52db6ba3dcda/secG-G2</t>
  </si>
  <si>
    <t>uuid:fa68e0ef-97b6-40d5-8e0f-52db6ba3dcda/secG-G5</t>
  </si>
  <si>
    <t>uuid:fa68e0ef-97b6-40d5-8e0f-52db6ba3dcda</t>
  </si>
  <si>
    <t>uuid:422265a2-5079-4ae8-b3d1-a4715fd919ee/secG-G2</t>
  </si>
  <si>
    <t>uuid:422265a2-5079-4ae8-b3d1-a4715fd919ee/secG-G5</t>
  </si>
  <si>
    <t>uuid:422265a2-5079-4ae8-b3d1-a4715fd919ee</t>
  </si>
  <si>
    <t>uuid:2420c1d6-0e17-48bc-8d5b-d87c866915f5/secG-G2</t>
  </si>
  <si>
    <t>uuid:2420c1d6-0e17-48bc-8d5b-d87c866915f5/secG-G5</t>
  </si>
  <si>
    <t>uuid:2420c1d6-0e17-48bc-8d5b-d87c866915f5</t>
  </si>
  <si>
    <t>uuid:292adcde-0056-40a9-8306-6a5b61cd070a/secG-G2</t>
  </si>
  <si>
    <t>uuid:292adcde-0056-40a9-8306-6a5b61cd070a/secG-G5</t>
  </si>
  <si>
    <t>uuid:292adcde-0056-40a9-8306-6a5b61cd070a</t>
  </si>
  <si>
    <t>uuid:42149cac-6ef9-4680-8b31-809c918fe339/secG-G2</t>
  </si>
  <si>
    <t>uuid:42149cac-6ef9-4680-8b31-809c918fe339/secG-G5</t>
  </si>
  <si>
    <t>uuid:42149cac-6ef9-4680-8b31-809c918fe339</t>
  </si>
  <si>
    <t>uuid:3ff9fbb1-4db5-4f0b-9b2c-483b83b03b8e/secG-G2</t>
  </si>
  <si>
    <t>uuid:3ff9fbb1-4db5-4f0b-9b2c-483b83b03b8e/secG-G5</t>
  </si>
  <si>
    <t>uuid:3ff9fbb1-4db5-4f0b-9b2c-483b83b03b8e</t>
  </si>
  <si>
    <t>John b Darab Dakaro</t>
  </si>
  <si>
    <t>uuid:7b2bb193-0321-42c4-9744-4eebdafdc4ca/secG-G2</t>
  </si>
  <si>
    <t>uuid:7b2bb193-0321-42c4-9744-4eebdafdc4ca/secG-G5</t>
  </si>
  <si>
    <t>uuid:7b2bb193-0321-42c4-9744-4eebdafdc4ca</t>
  </si>
  <si>
    <t>NADA KARANI JUMBE</t>
  </si>
  <si>
    <t>uuid:144d1cc6-b411-4d51-8cd8-e5f77f519c26/secG-G2</t>
  </si>
  <si>
    <t>uuid:144d1cc6-b411-4d51-8cd8-e5f77f519c26/secG-G5</t>
  </si>
  <si>
    <t>uuid:144d1cc6-b411-4d51-8cd8-e5f77f519c26</t>
  </si>
  <si>
    <t>NEEMIA YONA MUGHUSHI</t>
  </si>
  <si>
    <t>uuid:0b0f3327-566d-4905-98ca-ef13bfdd9916/secG-G2</t>
  </si>
  <si>
    <t>uuid:0b0f3327-566d-4905-98ca-ef13bfdd9916/secG-G5</t>
  </si>
  <si>
    <t>uuid:0b0f3327-566d-4905-98ca-ef13bfdd9916</t>
  </si>
  <si>
    <t>uuid:a3a936e5-a3ce-4959-b87d-012cd4d2dea2/secG-G2</t>
  </si>
  <si>
    <t>uuid:a3a936e5-a3ce-4959-b87d-012cd4d2dea2/secG-G5</t>
  </si>
  <si>
    <t>uuid:a3a936e5-a3ce-4959-b87d-012cd4d2dea2</t>
  </si>
  <si>
    <t>uuid:c182fda4-a267-4dd8-8c3f-2247cc0017c0/secG-G2</t>
  </si>
  <si>
    <t>uuid:c182fda4-a267-4dd8-8c3f-2247cc0017c0/secG-G5</t>
  </si>
  <si>
    <t>uuid:c182fda4-a267-4dd8-8c3f-2247cc0017c0</t>
  </si>
  <si>
    <t>Inoti Songoyani</t>
  </si>
  <si>
    <t>uuid:3a27b521-f77e-41fe-a1b8-d2d2bf66f797/secG-G2</t>
  </si>
  <si>
    <t>uuid:3a27b521-f77e-41fe-a1b8-d2d2bf66f797/secG-G5</t>
  </si>
  <si>
    <t>uuid:3a27b521-f77e-41fe-a1b8-d2d2bf66f797</t>
  </si>
  <si>
    <t>uuid:87cd89bd-7d24-422c-bebd-bbcdff381df1/secG-G2</t>
  </si>
  <si>
    <t>uuid:87cd89bd-7d24-422c-bebd-bbcdff381df1/secG-G5</t>
  </si>
  <si>
    <t>uuid:87cd89bd-7d24-422c-bebd-bbcdff381df1</t>
  </si>
  <si>
    <t>Orngadida</t>
  </si>
  <si>
    <t>Money</t>
  </si>
  <si>
    <t>uuid:46df8db4-a9cf-4a75-be50-f8cc338de630/secG-G2</t>
  </si>
  <si>
    <t>uuid:46df8db4-a9cf-4a75-be50-f8cc338de630/secG-G5</t>
  </si>
  <si>
    <t>uuid:46df8db4-a9cf-4a75-be50-f8cc338de630</t>
  </si>
  <si>
    <t>uuid:20cf5002-10e5-45e1-9444-1e4d36238d58/secG-G2</t>
  </si>
  <si>
    <t>uuid:20cf5002-10e5-45e1-9444-1e4d36238d58/secG-G5</t>
  </si>
  <si>
    <t>uuid:20cf5002-10e5-45e1-9444-1e4d36238d58</t>
  </si>
  <si>
    <t>Stephano  Chapa Siasi</t>
  </si>
  <si>
    <t>uuid:b8327415-59a2-4860-8930-7cc5a4882425/secG-G2</t>
  </si>
  <si>
    <t>uuid:b8327415-59a2-4860-8930-7cc5a4882425/secG-G5</t>
  </si>
  <si>
    <t>uuid:b8327415-59a2-4860-8930-7cc5a4882425</t>
  </si>
  <si>
    <t>Michael</t>
  </si>
  <si>
    <t>Adilahi Juma</t>
  </si>
  <si>
    <t>This season</t>
  </si>
  <si>
    <t>Select. Plus,dudu bar</t>
  </si>
  <si>
    <t>Multiple</t>
  </si>
  <si>
    <t>uuid:89332d73-308b-4fdb-8a9b-845bcb1e583d/secG-G2</t>
  </si>
  <si>
    <t>uuid:89332d73-308b-4fdb-8a9b-845bcb1e583d/secG-G5</t>
  </si>
  <si>
    <t>uuid:89332d73-308b-4fdb-8a9b-845bcb1e583d</t>
  </si>
  <si>
    <t>Carte</t>
  </si>
  <si>
    <t>uuid:7a7c1839-5e3e-41c1-8d7c-182973210eb2/secG-G2</t>
  </si>
  <si>
    <t>uuid:7a7c1839-5e3e-41c1-8d7c-182973210eb2/secG-G5</t>
  </si>
  <si>
    <t>uuid:7a7c1839-5e3e-41c1-8d7c-182973210eb2</t>
  </si>
  <si>
    <t>Selector,Carte</t>
  </si>
  <si>
    <t>uuid:ce436a9d-8cb7-4801-9109-cd6a8b284dd9/secG-G2</t>
  </si>
  <si>
    <t>uuid:ce436a9d-8cb7-4801-9109-cd6a8b284dd9/secG-G5</t>
  </si>
  <si>
    <t>uuid:ce436a9d-8cb7-4801-9109-cd6a8b284dd9</t>
  </si>
  <si>
    <t>Gives away</t>
  </si>
  <si>
    <t>Exchange_Farm security</t>
  </si>
  <si>
    <t>uuid:c9de5daa-0ac5-4455-8a3c-83e75c2aad73/secG-G2</t>
  </si>
  <si>
    <t>uuid:c9de5daa-0ac5-4455-8a3c-83e75c2aad73/secG-G5</t>
  </si>
  <si>
    <t>uuid:c9de5daa-0ac5-4455-8a3c-83e75c2aad73</t>
  </si>
  <si>
    <t>Joshua Bobo</t>
  </si>
  <si>
    <t>uuid:e0672251-fb56-4d93-82ae-7168a5c30955/secG-G2</t>
  </si>
  <si>
    <t>uuid:e0672251-fb56-4d93-82ae-7168a5c30955/secG-G5</t>
  </si>
  <si>
    <t>uuid:e0672251-fb56-4d93-82ae-7168a5c30955</t>
  </si>
  <si>
    <t>Micheal</t>
  </si>
  <si>
    <t>Kung Fu</t>
  </si>
  <si>
    <t>uuid:a22d50df-ac1f-4062-8a07-b3d2c74bafbd/secG-G2</t>
  </si>
  <si>
    <t>uuid:a22d50df-ac1f-4062-8a07-b3d2c74bafbd/secG-G5</t>
  </si>
  <si>
    <t>uuid:a22d50df-ac1f-4062-8a07-b3d2c74bafbd</t>
  </si>
  <si>
    <t>Other, Specify</t>
  </si>
  <si>
    <t>Dudu bar, Ninja,</t>
  </si>
  <si>
    <t>uuid:178e642f-6daf-45ce-bb8c-ae21f9a1d887/secG-G2</t>
  </si>
  <si>
    <t>uuid:178e642f-6daf-45ce-bb8c-ae21f9a1d887/secG-G5</t>
  </si>
  <si>
    <t>uuid:178e642f-6daf-45ce-bb8c-ae21f9a1d887</t>
  </si>
  <si>
    <t>Exchange_Manure</t>
  </si>
  <si>
    <t>Crop residues</t>
  </si>
  <si>
    <t>Diazone, Dume,Carte</t>
  </si>
  <si>
    <t>Tractor</t>
  </si>
  <si>
    <t>uuid:81b8e14d-cab8-474c-9ca0-76c3a7b4df16/secG-G2</t>
  </si>
  <si>
    <t>uuid:81b8e14d-cab8-474c-9ca0-76c3a7b4df16/secG-G5</t>
  </si>
  <si>
    <t>uuid:81b8e14d-cab8-474c-9ca0-76c3a7b4df16</t>
  </si>
  <si>
    <t>Labour</t>
  </si>
  <si>
    <t>Carte, Ninja</t>
  </si>
  <si>
    <t>uuid:5f11da2c-acd2-4c42-8443-1cffc808f655/secG-G2</t>
  </si>
  <si>
    <t>uuid:5f11da2c-acd2-4c42-8443-1cffc808f655/secG-G5</t>
  </si>
  <si>
    <t>uuid:5f11da2c-acd2-4c42-8443-1cffc808f655</t>
  </si>
  <si>
    <t>YOHANA GEWE</t>
  </si>
  <si>
    <t>3 years ago</t>
  </si>
  <si>
    <t>uuid:99f03b31-e7e0-46e8-9961-155cc1cbe0f9/secG-G2</t>
  </si>
  <si>
    <t>uuid:99f03b31-e7e0-46e8-9961-155cc1cbe0f9/secG-G5</t>
  </si>
  <si>
    <t>uuid:99f03b31-e7e0-46e8-9961-155cc1cbe0f9</t>
  </si>
  <si>
    <t>Evaline K Kaaya</t>
  </si>
  <si>
    <t>Adinani Amsi Sidame</t>
  </si>
  <si>
    <t>Endanoga</t>
  </si>
  <si>
    <t>uuid:d440ea63-461d-4b1a-a7f6-3aff8955d2be/secG-G2</t>
  </si>
  <si>
    <t>uuid:d440ea63-461d-4b1a-a7f6-3aff8955d2be/secG-G5</t>
  </si>
  <si>
    <t>uuid:d440ea63-461d-4b1a-a7f6-3aff8955d2be</t>
  </si>
  <si>
    <t>Amina Waray Amayo</t>
  </si>
  <si>
    <t>Manure</t>
  </si>
  <si>
    <t>Crop residual</t>
  </si>
  <si>
    <t>uuid:5147653b-4c53-4200-820f-39d998ceb28f/secG-G2</t>
  </si>
  <si>
    <t>uuid:5147653b-4c53-4200-820f-39d998ceb28f/secG-G5</t>
  </si>
  <si>
    <t>uuid:5147653b-4c53-4200-820f-39d998ceb28f</t>
  </si>
  <si>
    <t>Atanas Keya Humay</t>
  </si>
  <si>
    <t>uuid:19c202dd-26da-451d-a7e0-2dcec24c5133/secG-G2</t>
  </si>
  <si>
    <t>uuid:19c202dd-26da-451d-a7e0-2dcec24c5133/secG-G5</t>
  </si>
  <si>
    <t>uuid:19c202dd-26da-451d-a7e0-2dcec24c5133</t>
  </si>
  <si>
    <t>Evaline k Kaaya</t>
  </si>
  <si>
    <t>Christina Paulo Moringa</t>
  </si>
  <si>
    <t>Fields more than 3 km away from my village</t>
  </si>
  <si>
    <t>Own animals and purchase</t>
  </si>
  <si>
    <t>Maize</t>
  </si>
  <si>
    <t>uuid:f577fe1a-29b5-45d5-ba53-cf848ea8c476/secG-G2</t>
  </si>
  <si>
    <t>uuid:f577fe1a-29b5-45d5-ba53-cf848ea8c476/secG-G5</t>
  </si>
  <si>
    <t>uuid:f577fe1a-29b5-45d5-ba53-cf848ea8c476</t>
  </si>
  <si>
    <t>Dasere Qambalali Kwenga</t>
  </si>
  <si>
    <t>4 years ago</t>
  </si>
  <si>
    <t>uuid:5ad77de6-c270-4bc4-a18f-e074067645e2/secG-G2</t>
  </si>
  <si>
    <t>uuid:5ad77de6-c270-4bc4-a18f-e074067645e2/secG-G5</t>
  </si>
  <si>
    <t>uuid:5ad77de6-c270-4bc4-a18f-e074067645e2</t>
  </si>
  <si>
    <t>Eduward Tarmo Yuructa endanoga</t>
  </si>
  <si>
    <t>Karate, duduba</t>
  </si>
  <si>
    <t>uuid:de823ca2-acfb-498f-902b-e279459ba0a8/secG-G2</t>
  </si>
  <si>
    <t>uuid:de823ca2-acfb-498f-902b-e279459ba0a8/secG-G5</t>
  </si>
  <si>
    <t>uuid:de823ca2-acfb-498f-902b-e279459ba0a8</t>
  </si>
  <si>
    <t>uuid:5f9e6b1c-8fb0-4dbc-9bbd-621ed66bc6d1/secG-G2</t>
  </si>
  <si>
    <t>uuid:5f9e6b1c-8fb0-4dbc-9bbd-621ed66bc6d1/secG-G5</t>
  </si>
  <si>
    <t>uuid:5f9e6b1c-8fb0-4dbc-9bbd-621ed66bc6d1</t>
  </si>
  <si>
    <t>uuid:f6d3fe30-4686-4dc6-8697-fc161f1293f6/secG-G2</t>
  </si>
  <si>
    <t>uuid:f6d3fe30-4686-4dc6-8697-fc161f1293f6/secG-G5</t>
  </si>
  <si>
    <t>uuid:f6d3fe30-4686-4dc6-8697-fc161f1293f6</t>
  </si>
  <si>
    <t>uuid:cae37907-39ec-4318-ab1e-fb6b7c124021/secG-G2</t>
  </si>
  <si>
    <t>uuid:cae37907-39ec-4318-ab1e-fb6b7c124021/secG-G5</t>
  </si>
  <si>
    <t>uuid:cae37907-39ec-4318-ab1e-fb6b7c124021</t>
  </si>
  <si>
    <t>Joel Joram Maswa</t>
  </si>
  <si>
    <t>Super chrone</t>
  </si>
  <si>
    <t>uuid:b1aaffb9-bbb1-4b9d-81fc-eead41a3c1d4/secG-G2</t>
  </si>
  <si>
    <t>uuid:b1aaffb9-bbb1-4b9d-81fc-eead41a3c1d4/secG-G5</t>
  </si>
  <si>
    <t>uuid:b1aaffb9-bbb1-4b9d-81fc-eead41a3c1d4</t>
  </si>
  <si>
    <t>Jumanne Ally Soghore</t>
  </si>
  <si>
    <t>uuid:f8b88bea-5d28-49a0-a71d-05b3c418f841/secG-G2</t>
  </si>
  <si>
    <t>uuid:f8b88bea-5d28-49a0-a71d-05b3c418f841/secG-G5</t>
  </si>
  <si>
    <t>uuid:f8b88bea-5d28-49a0-a71d-05b3c418f841</t>
  </si>
  <si>
    <t>Evaline k kaaya</t>
  </si>
  <si>
    <t>Laurent singay Sule</t>
  </si>
  <si>
    <t>Home fields in another village</t>
  </si>
  <si>
    <t>uuid:5d894163-ae15-49bc-9f54-58136af2e2f4/secG-G2</t>
  </si>
  <si>
    <t>uuid:5d894163-ae15-49bc-9f54-58136af2e2f4/secG-G5</t>
  </si>
  <si>
    <t>uuid:5d894163-ae15-49bc-9f54-58136af2e2f4</t>
  </si>
  <si>
    <t>Super crone</t>
  </si>
  <si>
    <t>uuid:1b9beef5-6964-447a-bcaa-fc1686e9a674/secG-G2</t>
  </si>
  <si>
    <t>uuid:1b9beef5-6964-447a-bcaa-fc1686e9a674/secG-G5</t>
  </si>
  <si>
    <t>uuid:1b9beef5-6964-447a-bcaa-fc1686e9a674</t>
  </si>
  <si>
    <t>uuid:3632d6d7-efd2-41a2-bdc4-db27023f1c71/secG-G2</t>
  </si>
  <si>
    <t>uuid:3632d6d7-efd2-41a2-bdc4-db27023f1c71/secG-G5</t>
  </si>
  <si>
    <t>uuid:3632d6d7-efd2-41a2-bdc4-db27023f1c71</t>
  </si>
  <si>
    <t>Pascal Tsingay Sule</t>
  </si>
  <si>
    <t>uuid:a7a25be6-a44d-48f5-b34c-464d83691568/secG-G2</t>
  </si>
  <si>
    <t>uuid:a7a25be6-a44d-48f5-b34c-464d83691568/secG-G5</t>
  </si>
  <si>
    <t>uuid:a7a25be6-a44d-48f5-b34c-464d83691568</t>
  </si>
  <si>
    <t>Petrolina Baa Tlaa Endanoga</t>
  </si>
  <si>
    <t>uuid:c9dc3c2d-e444-4e36-872d-ee09d0553d52/secG-G2</t>
  </si>
  <si>
    <t>uuid:c9dc3c2d-e444-4e36-872d-ee09d0553d52/secG-G5</t>
  </si>
  <si>
    <t>uuid:c9dc3c2d-e444-4e36-872d-ee09d0553d52</t>
  </si>
  <si>
    <t>uuid:21758831-960a-404d-9176-1f34164314e3/secG-G2</t>
  </si>
  <si>
    <t>uuid:21758831-960a-404d-9176-1f34164314e3/secG-G5</t>
  </si>
  <si>
    <t>uuid:21758831-960a-404d-9176-1f34164314e3</t>
  </si>
  <si>
    <t>uuid:c0f99ac1-ac09-4fee-8a66-c1cf1d5dec53/secG-G2</t>
  </si>
  <si>
    <t>uuid:c0f99ac1-ac09-4fee-8a66-c1cf1d5dec53/secG-G5</t>
  </si>
  <si>
    <t>uuid:c0f99ac1-ac09-4fee-8a66-c1cf1d5dec53</t>
  </si>
  <si>
    <t>uuid:b2b18a0c-1187-45c5-aeea-20d44f669d3e/secG-G2</t>
  </si>
  <si>
    <t>uuid:b2b18a0c-1187-45c5-aeea-20d44f669d3e/secG-G5</t>
  </si>
  <si>
    <t>uuid:b2b18a0c-1187-45c5-aeea-20d44f669d3e</t>
  </si>
  <si>
    <t>uuid:16b76259-f95c-4518-9970-a683daa7dd18/secG-G2</t>
  </si>
  <si>
    <t>uuid:16b76259-f95c-4518-9970-a683daa7dd18/secG-G5</t>
  </si>
  <si>
    <t>uuid:16b76259-f95c-4518-9970-a683daa7dd18</t>
  </si>
  <si>
    <t>Sige Hewasi Baghayo</t>
  </si>
  <si>
    <t>uuid:9862610f-2a26-4598-92f3-bf04e4a29f7c/secG-G2</t>
  </si>
  <si>
    <t>uuid:9862610f-2a26-4598-92f3-bf04e4a29f7c/secG-G5</t>
  </si>
  <si>
    <t>uuid:9862610f-2a26-4598-92f3-bf04e4a29f7c</t>
  </si>
  <si>
    <t>Teopister Cosmas Temu</t>
  </si>
  <si>
    <t>uuid:e3ba587b-53da-42d1-b2a9-585036193f67/secG-G2</t>
  </si>
  <si>
    <t>uuid:e3ba587b-53da-42d1-b2a9-585036193f67/secG-G5</t>
  </si>
  <si>
    <t>uuid:e3ba587b-53da-42d1-b2a9-585036193f67</t>
  </si>
  <si>
    <t>Teresia Zuberi Tarimo Endanoga</t>
  </si>
  <si>
    <t>uuid:3d7b7a14-117f-4a8e-bba9-4f30024c16cc/secG-G2</t>
  </si>
  <si>
    <t>uuid:3d7b7a14-117f-4a8e-bba9-4f30024c16cc/secG-G5</t>
  </si>
  <si>
    <t>uuid:3d7b7a14-117f-4a8e-bba9-4f30024c16cc</t>
  </si>
  <si>
    <t>Hallu</t>
  </si>
  <si>
    <t>uuid:fbd5d3f6-bf0a-4970-adce-1822da8bd3ff/secG-G2</t>
  </si>
  <si>
    <t>uuid:fbd5d3f6-bf0a-4970-adce-1822da8bd3ff/secG-G5</t>
  </si>
  <si>
    <t>uuid:fbd5d3f6-bf0a-4970-adce-1822da8bd3ff</t>
  </si>
  <si>
    <t>2 years ago</t>
  </si>
  <si>
    <t>Transportation</t>
  </si>
  <si>
    <t>uuid:99264e43-0781-4cd7-a011-da48cd53d16b/secG-G2</t>
  </si>
  <si>
    <t>uuid:99264e43-0781-4cd7-a011-da48cd53d16b/secG-G5</t>
  </si>
  <si>
    <t>uuid:99264e43-0781-4cd7-a011-da48cd53d16b</t>
  </si>
  <si>
    <t>uuid:67597af8-4364-4fd4-bebc-8b885eaff529/secG-G2</t>
  </si>
  <si>
    <t>uuid:67597af8-4364-4fd4-bebc-8b885eaff529/secG-G5</t>
  </si>
  <si>
    <t>uuid:67597af8-4364-4fd4-bebc-8b885eaff529</t>
  </si>
  <si>
    <t>uuid:6ea00960-36b1-4509-aeb1-19a57de52d5e/secG-G2</t>
  </si>
  <si>
    <t>uuid:6ea00960-36b1-4509-aeb1-19a57de52d5e/secG-G5</t>
  </si>
  <si>
    <t>uuid:6ea00960-36b1-4509-aeb1-19a57de52d5e</t>
  </si>
  <si>
    <t>uuid:21e65fc2-3d8d-413a-9f28-d4ae471ca4e5/secG-G2</t>
  </si>
  <si>
    <t>uuid:21e65fc2-3d8d-413a-9f28-d4ae471ca4e5/secG-G5</t>
  </si>
  <si>
    <t>uuid:21e65fc2-3d8d-413a-9f28-d4ae471ca4e5</t>
  </si>
  <si>
    <t>Didemara Primary school</t>
  </si>
  <si>
    <t>uuid:b9db08f4-6f47-4ea0-9eee-42df5cf35447/secG-G2</t>
  </si>
  <si>
    <t>uuid:b9db08f4-6f47-4ea0-9eee-42df5cf35447/secG-G5</t>
  </si>
  <si>
    <t>uuid:b9db08f4-6f47-4ea0-9eee-42df5cf35447</t>
  </si>
  <si>
    <t>Stalk borer</t>
  </si>
  <si>
    <t>uuid:4fff9570-0035-4dde-b478-44f4093cb221/secG-G2</t>
  </si>
  <si>
    <t>uuid:4fff9570-0035-4dde-b478-44f4093cb221/secG-G5</t>
  </si>
  <si>
    <t>uuid:4fff9570-0035-4dde-b478-44f4093cb221</t>
  </si>
  <si>
    <t>FaridavAmsi Slaa</t>
  </si>
  <si>
    <t>uuid:6d3968ed-d988-43c0-87d9-6ae132f14bb9/secG-G2</t>
  </si>
  <si>
    <t>uuid:6d3968ed-d988-43c0-87d9-6ae132f14bb9/secG-G5</t>
  </si>
  <si>
    <t>uuid:6d3968ed-d988-43c0-87d9-6ae132f14bb9</t>
  </si>
  <si>
    <t>uuid:3a8d5762-e60c-4dbd-8ddd-a953ea10f5a6/secG-G2</t>
  </si>
  <si>
    <t>uuid:3a8d5762-e60c-4dbd-8ddd-a953ea10f5a6/secG-G5</t>
  </si>
  <si>
    <t>uuid:3a8d5762-e60c-4dbd-8ddd-a953ea10f5a6</t>
  </si>
  <si>
    <t>Exchange_Harvesting</t>
  </si>
  <si>
    <t>uuid:2665a1cc-a43b-4e5c-af19-3541dfeb140d/secG-G2</t>
  </si>
  <si>
    <t>uuid:2665a1cc-a43b-4e5c-af19-3541dfeb140d/secG-G5</t>
  </si>
  <si>
    <t>uuid:2665a1cc-a43b-4e5c-af19-3541dfeb140d</t>
  </si>
  <si>
    <t>uuid:d83de532-8b32-41c1-983d-932eeb91e46c/secG-G2</t>
  </si>
  <si>
    <t>uuid:d83de532-8b32-41c1-983d-932eeb91e46c/secG-G5</t>
  </si>
  <si>
    <t>uuid:d83de532-8b32-41c1-983d-932eeb91e46c</t>
  </si>
  <si>
    <t>Hallu Primary school</t>
  </si>
  <si>
    <t>uuid:db513604-4a95-4bac-81ba-1d236089e955/secG-G2</t>
  </si>
  <si>
    <t>uuid:db513604-4a95-4bac-81ba-1d236089e955/secG-G5</t>
  </si>
  <si>
    <t>uuid:db513604-4a95-4bac-81ba-1d236089e955</t>
  </si>
  <si>
    <t>uuid:994add44-cedb-42f9-aeed-d99f4db2bd46/secG-G2</t>
  </si>
  <si>
    <t>uuid:994add44-cedb-42f9-aeed-d99f4db2bd46/secG-G5</t>
  </si>
  <si>
    <t>uuid:994add44-cedb-42f9-aeed-d99f4db2bd46</t>
  </si>
  <si>
    <t>John Bay Tenga</t>
  </si>
  <si>
    <t>Winnowing machine</t>
  </si>
  <si>
    <t>Karate ninja</t>
  </si>
  <si>
    <t>uuid:b9d3c93e-f137-4c19-be60-81aa2674406f/secG-G2</t>
  </si>
  <si>
    <t>uuid:b9d3c93e-f137-4c19-be60-81aa2674406f/secG-G5</t>
  </si>
  <si>
    <t>uuid:b9d3c93e-f137-4c19-be60-81aa2674406f</t>
  </si>
  <si>
    <t>Power tilla</t>
  </si>
  <si>
    <t>Atican c</t>
  </si>
  <si>
    <t>uuid:e83e492a-b00f-4cc4-8e93-a888e45d1c19/secG-G2</t>
  </si>
  <si>
    <t>uuid:e83e492a-b00f-4cc4-8e93-a888e45d1c19/secG-G5</t>
  </si>
  <si>
    <t>uuid:e83e492a-b00f-4cc4-8e93-a888e45d1c19</t>
  </si>
  <si>
    <t>Mafita Maging'i Issa</t>
  </si>
  <si>
    <t>Dusban</t>
  </si>
  <si>
    <t>uuid:3f2dd737-22a1-4904-8747-1643d70397f5/secG-G2</t>
  </si>
  <si>
    <t>uuid:3f2dd737-22a1-4904-8747-1643d70397f5/secG-G5</t>
  </si>
  <si>
    <t>uuid:3f2dd737-22a1-4904-8747-1643d70397f5</t>
  </si>
  <si>
    <t>Magreti Sun Kaduwe</t>
  </si>
  <si>
    <t>uuid:617ac930-2fe1-4264-8ad0-cd3279921e70/secG-G2</t>
  </si>
  <si>
    <t>uuid:617ac930-2fe1-4264-8ad0-cd3279921e70/secG-G5</t>
  </si>
  <si>
    <t>uuid:617ac930-2fe1-4264-8ad0-cd3279921e70</t>
  </si>
  <si>
    <t>uuid:a5489a15-dedb-4543-adf3-45c1118e38b0/secG-G2</t>
  </si>
  <si>
    <t>uuid:a5489a15-dedb-4543-adf3-45c1118e38b0/secG-G5</t>
  </si>
  <si>
    <t>uuid:a5489a15-dedb-4543-adf3-45c1118e38b0</t>
  </si>
  <si>
    <t>uuid:477eff81-9e58-4785-a904-c79a8704481d/secG-G2</t>
  </si>
  <si>
    <t>uuid:477eff81-9e58-4785-a904-c79a8704481d/secG-G5</t>
  </si>
  <si>
    <t>uuid:477eff81-9e58-4785-a904-c79a8704481d</t>
  </si>
  <si>
    <t>uuid:fd24c987-66b6-4cca-b8d1-d9976404c028/secG-G2</t>
  </si>
  <si>
    <t>uuid:fd24c987-66b6-4cca-b8d1-d9976404c028/secG-G5</t>
  </si>
  <si>
    <t>uuid:fd24c987-66b6-4cca-b8d1-d9976404c028</t>
  </si>
  <si>
    <t>Samatsi</t>
  </si>
  <si>
    <t>Carte,Ninja</t>
  </si>
  <si>
    <t>uuid:8e65d609-4ef5-48b9-9005-44d6180bf425/secG-G2</t>
  </si>
  <si>
    <t>uuid:8e65d609-4ef5-48b9-9005-44d6180bf425/secG-G5</t>
  </si>
  <si>
    <t>uuid:8e65d609-4ef5-48b9-9005-44d6180bf425</t>
  </si>
  <si>
    <t>Augustine Ama</t>
  </si>
  <si>
    <t>uuid:d5992e30-edd0-41a3-bf20-9cf5decc52e6/secG-G2</t>
  </si>
  <si>
    <t>uuid:d5992e30-edd0-41a3-bf20-9cf5decc52e6/secG-G5</t>
  </si>
  <si>
    <t>uuid:d5992e30-edd0-41a3-bf20-9cf5decc52e6</t>
  </si>
  <si>
    <t>Ninja</t>
  </si>
  <si>
    <t>uuid:bb8d9614-f1ef-41e5-b57f-904cf64ebbaa/secG-G2</t>
  </si>
  <si>
    <t>uuid:bb8d9614-f1ef-41e5-b57f-904cf64ebbaa/secG-G5</t>
  </si>
  <si>
    <t>uuid:bb8d9614-f1ef-41e5-b57f-904cf64ebbaa</t>
  </si>
  <si>
    <t>Dudu bar, Burner force,Carte</t>
  </si>
  <si>
    <t>Animal draught</t>
  </si>
  <si>
    <t>uuid:fc79e685-56d5-4151-82fb-e2906132b9fe/secG-G2</t>
  </si>
  <si>
    <t>uuid:fc79e685-56d5-4151-82fb-e2906132b9fe/secG-G5</t>
  </si>
  <si>
    <t>uuid:fc79e685-56d5-4151-82fb-e2906132b9fe</t>
  </si>
  <si>
    <t>Exchange_Land</t>
  </si>
  <si>
    <t>Free from land owner</t>
  </si>
  <si>
    <t>Donation for a period</t>
  </si>
  <si>
    <t>Burner force,Carte</t>
  </si>
  <si>
    <t>uuid:05141ace-d780-4d9d-bda6-357b8fe62ca9/secG-G2</t>
  </si>
  <si>
    <t>uuid:05141ace-d780-4d9d-bda6-357b8fe62ca9/secG-G5</t>
  </si>
  <si>
    <t>uuid:05141ace-d780-4d9d-bda6-357b8fe62ca9</t>
  </si>
  <si>
    <t>uuid:0d0cb84d-a6a6-4ecc-b72e-74c18eb15361/secG-G2</t>
  </si>
  <si>
    <t>uuid:0d0cb84d-a6a6-4ecc-b72e-74c18eb15361/secG-G5</t>
  </si>
  <si>
    <t>uuid:0d0cb84d-a6a6-4ecc-b72e-74c18eb15361</t>
  </si>
  <si>
    <t>Mandi</t>
  </si>
  <si>
    <t>uuid:22cf2713-e13f-4b75-ba2a-b664b0e82f46/secG-G2</t>
  </si>
  <si>
    <t>uuid:22cf2713-e13f-4b75-ba2a-b664b0e82f46/secG-G5</t>
  </si>
  <si>
    <t>uuid:22cf2713-e13f-4b75-ba2a-b664b0e82f46</t>
  </si>
  <si>
    <t>Duduback,carte</t>
  </si>
  <si>
    <t>uuid:1e4da6d6-f077-4243-90d4-ca6e68531ecc/secG-G2</t>
  </si>
  <si>
    <t>uuid:1e4da6d6-f077-4243-90d4-ca6e68531ecc/secG-G5</t>
  </si>
  <si>
    <t>uuid:1e4da6d6-f077-4243-90d4-ca6e68531ecc</t>
  </si>
  <si>
    <t>Prophecron</t>
  </si>
  <si>
    <t>uuid:2361ef0b-0070-4385-9244-d8eafbbc9426/secG-G2</t>
  </si>
  <si>
    <t>uuid:2361ef0b-0070-4385-9244-d8eafbbc9426/secG-G5</t>
  </si>
  <si>
    <t>uuid:2361ef0b-0070-4385-9244-d8eafbbc9426</t>
  </si>
  <si>
    <t>Dudubar,ninja</t>
  </si>
  <si>
    <t>uuid:ca45f07f-5c47-4794-923f-77685972478d/secG-G2</t>
  </si>
  <si>
    <t>uuid:ca45f07f-5c47-4794-923f-77685972478d/secG-G5</t>
  </si>
  <si>
    <t>uuid:ca45f07f-5c47-4794-923f-77685972478d</t>
  </si>
  <si>
    <t xml:space="preserve">Sicrone,Ninja </t>
  </si>
  <si>
    <t>uuid:5540b164-0885-440c-9742-6aa2db6cf1c5/secG-G2</t>
  </si>
  <si>
    <t>uuid:5540b164-0885-440c-9742-6aa2db6cf1c5/secG-G5</t>
  </si>
  <si>
    <t>uuid:5540b164-0885-440c-9742-6aa2db6cf1c5</t>
  </si>
  <si>
    <t>Inot Singoyani</t>
  </si>
  <si>
    <t>uuid:4c8180c6-39de-4853-abeb-59d7459ccfa2/secG-G2</t>
  </si>
  <si>
    <t>uuid:4c8180c6-39de-4853-abeb-59d7459ccfa2/secG-G5</t>
  </si>
  <si>
    <t>uuid:4c8180c6-39de-4853-abeb-59d7459ccfa2</t>
  </si>
  <si>
    <t>Ninja,Profecnol</t>
  </si>
  <si>
    <t>uuid:50d6580d-8562-4988-bca0-686a9666b7ad/secG-G2</t>
  </si>
  <si>
    <t>uuid:50d6580d-8562-4988-bca0-686a9666b7ad/secG-G5</t>
  </si>
  <si>
    <t>uuid:50d6580d-8562-4988-bca0-686a9666b7ad</t>
  </si>
  <si>
    <t>Carte,</t>
  </si>
  <si>
    <t>uuid:2825707c-b60e-49ea-a044-b520b50f67da/secG-G2</t>
  </si>
  <si>
    <t>uuid:2825707c-b60e-49ea-a044-b520b50f67da/secG-G5</t>
  </si>
  <si>
    <t>uuid:2825707c-b60e-49ea-a044-b520b50f67da</t>
  </si>
  <si>
    <t>uuid:2f68eec6-867d-4cc7-98c3-1b7b816f4395/secG-G2</t>
  </si>
  <si>
    <t>uuid:2f68eec6-867d-4cc7-98c3-1b7b816f4395/secG-G5</t>
  </si>
  <si>
    <t>uuid:2f68eec6-867d-4cc7-98c3-1b7b816f4395</t>
  </si>
  <si>
    <t>Ninja,Carte</t>
  </si>
  <si>
    <t>uuid:e1c4c6c1-8dfe-4bb4-8fed-90f243a1c2d6/secG-G2</t>
  </si>
  <si>
    <t>uuid:e1c4c6c1-8dfe-4bb4-8fed-90f243a1c2d6/secG-G5</t>
  </si>
  <si>
    <t>uuid:e1c4c6c1-8dfe-4bb4-8fed-90f243a1c2d6</t>
  </si>
  <si>
    <t>uuid:e617349e-3278-4c32-9a14-0cae0e845f39/secG-G2</t>
  </si>
  <si>
    <t>uuid:e617349e-3278-4c32-9a14-0cae0e845f39/secG-G5</t>
  </si>
  <si>
    <t>uuid:e617349e-3278-4c32-9a14-0cae0e845f39</t>
  </si>
  <si>
    <t>Ninja, supercron</t>
  </si>
  <si>
    <t>uuid:601170c9-5402-4a16-ac6f-59221b4e4701/secG-G2</t>
  </si>
  <si>
    <t>uuid:601170c9-5402-4a16-ac6f-59221b4e4701/secG-G5</t>
  </si>
  <si>
    <t>uuid:601170c9-5402-4a16-ac6f-59221b4e4701</t>
  </si>
  <si>
    <t>Tanasia Uche</t>
  </si>
  <si>
    <t>Burnerforce</t>
  </si>
  <si>
    <t>uuid:e57aba3f-0932-4a03-81b8-d50c3f951898/secG-G2</t>
  </si>
  <si>
    <t>uuid:e57aba3f-0932-4a03-81b8-d50c3f951898/secG-G5</t>
  </si>
  <si>
    <t>uuid:e57aba3f-0932-4a03-81b8-d50c3f951898</t>
  </si>
  <si>
    <t>uuid:4e3db499-d93a-4319-896a-1daf55dfbb70/secG-G2</t>
  </si>
  <si>
    <t>uuid:4e3db499-d93a-4319-896a-1daf55dfbb70/secG-G5</t>
  </si>
  <si>
    <t>uuid:4e3db499-d93a-4319-896a-1daf55dfbb70</t>
  </si>
  <si>
    <t>ABDI Ally Labu</t>
  </si>
  <si>
    <t>uuid:651b2bfc-cc4f-4c2b-9c04-3274e1788f7e/secG-G2</t>
  </si>
  <si>
    <t>uuid:651b2bfc-cc4f-4c2b-9c04-3274e1788f7e/secG-G5</t>
  </si>
  <si>
    <t>uuid:651b2bfc-cc4f-4c2b-9c04-3274e1788f7e</t>
  </si>
  <si>
    <t>ABUBAKARI SAIDI</t>
  </si>
  <si>
    <t>uuid:b6e52458-a1a8-497b-83a0-c9925024391c/secG-G2</t>
  </si>
  <si>
    <t>uuid:b6e52458-a1a8-497b-83a0-c9925024391c/secG-G5</t>
  </si>
  <si>
    <t>uuid:b6e52458-a1a8-497b-83a0-c9925024391c</t>
  </si>
  <si>
    <t>2 3</t>
  </si>
  <si>
    <t>uuid:c366fdc2-2417-4223-853c-424d959f89e9/secG-G2</t>
  </si>
  <si>
    <t>uuid:c366fdc2-2417-4223-853c-424d959f89e9/secG-G5</t>
  </si>
  <si>
    <t>uuid:c366fdc2-2417-4223-853c-424d959f89e9</t>
  </si>
  <si>
    <t>BENADECTA IGNAS Hotti</t>
  </si>
  <si>
    <t>uuid:84fbc77d-8c49-44b3-953a-f6336535bd3c/secG-G2</t>
  </si>
  <si>
    <t>uuid:84fbc77d-8c49-44b3-953a-f6336535bd3c/secG-G5</t>
  </si>
  <si>
    <t>uuid:84fbc77d-8c49-44b3-953a-f6336535bd3c</t>
  </si>
  <si>
    <t>Banafos</t>
  </si>
  <si>
    <t>uuid:77fd219b-5968-431e-86aa-610680ef4a1b/secG-G2</t>
  </si>
  <si>
    <t>uuid:77fd219b-5968-431e-86aa-610680ef4a1b/secG-G5</t>
  </si>
  <si>
    <t>uuid:77fd219b-5968-431e-86aa-610680ef4a1b</t>
  </si>
  <si>
    <t>FRANK JOSEPH</t>
  </si>
  <si>
    <t>uuid:2ff68551-81c6-408f-a5a3-e63f11f6cb98/secG-G2</t>
  </si>
  <si>
    <t>uuid:2ff68551-81c6-408f-a5a3-e63f11f6cb98/secG-G5</t>
  </si>
  <si>
    <t>uuid:2ff68551-81c6-408f-a5a3-e63f11f6cb98</t>
  </si>
  <si>
    <t>HASANI GUNDA</t>
  </si>
  <si>
    <t>Duduba, karate, ninja</t>
  </si>
  <si>
    <t>uuid:7afcc9e0-c5b0-443e-a1c7-421e30c4cf77/secG-G2</t>
  </si>
  <si>
    <t>uuid:7afcc9e0-c5b0-443e-a1c7-421e30c4cf77/secG-G5</t>
  </si>
  <si>
    <t>uuid:7afcc9e0-c5b0-443e-a1c7-421e30c4cf77</t>
  </si>
  <si>
    <t>Iddi Salimu Isambe</t>
  </si>
  <si>
    <t>uuid:6306352e-160b-4746-a6a1-26c2d223a5c7/secG-G2</t>
  </si>
  <si>
    <t>uuid:6306352e-160b-4746-a6a1-26c2d223a5c7/secG-G5</t>
  </si>
  <si>
    <t>uuid:6306352e-160b-4746-a6a1-26c2d223a5c7</t>
  </si>
  <si>
    <t>IDDI SHABANI</t>
  </si>
  <si>
    <t>uuid:9e5a35f2-08da-4fd1-a049-7566232fe1b3/secG-G2</t>
  </si>
  <si>
    <t>uuid:9e5a35f2-08da-4fd1-a049-7566232fe1b3/secG-G5</t>
  </si>
  <si>
    <t>uuid:9e5a35f2-08da-4fd1-a049-7566232fe1b3</t>
  </si>
  <si>
    <t>Inot Sonyoyani</t>
  </si>
  <si>
    <t>uuid:8b901d22-53e8-4308-9f5f-931d3abefa99/secG-G2</t>
  </si>
  <si>
    <t>uuid:8b901d22-53e8-4308-9f5f-931d3abefa99/secG-G5</t>
  </si>
  <si>
    <t>uuid:8b901d22-53e8-4308-9f5f-931d3abefa99</t>
  </si>
  <si>
    <t>JOHN TEMBEA</t>
  </si>
  <si>
    <t>uuid:6828fab1-5caf-4539-bc82-b0868b5f8b43/secG-G2</t>
  </si>
  <si>
    <t>uuid:6828fab1-5caf-4539-bc82-b0868b5f8b43/secG-G5</t>
  </si>
  <si>
    <t>uuid:6828fab1-5caf-4539-bc82-b0868b5f8b43</t>
  </si>
  <si>
    <t>uuid:8ec8eda9-f023-418d-ac8b-8f76348d49ed/secG-G2</t>
  </si>
  <si>
    <t>uuid:8ec8eda9-f023-418d-ac8b-8f76348d49ed/secG-G5</t>
  </si>
  <si>
    <t>uuid:8ec8eda9-f023-418d-ac8b-8f76348d49ed</t>
  </si>
  <si>
    <t>uuid:9a9cf5dd-d658-4b5b-8d65-f61accfc8c10/secG-G2</t>
  </si>
  <si>
    <t>uuid:9a9cf5dd-d658-4b5b-8d65-f61accfc8c10/secG-G5</t>
  </si>
  <si>
    <t>uuid:9a9cf5dd-d658-4b5b-8d65-f61accfc8c10</t>
  </si>
  <si>
    <t>Peter John lukas</t>
  </si>
  <si>
    <t>uuid:983b6f48-fc48-4f8c-a50b-630ab5ad242f/secG-G2</t>
  </si>
  <si>
    <t>uuid:983b6f48-fc48-4f8c-a50b-630ab5ad242f/secG-G5</t>
  </si>
  <si>
    <t>uuid:983b6f48-fc48-4f8c-a50b-630ab5ad242f</t>
  </si>
  <si>
    <t>uuid:f10f70b5-9cc4-4c5f-8ade-b367cf8bafe3/secG-G2</t>
  </si>
  <si>
    <t>uuid:f10f70b5-9cc4-4c5f-8ade-b367cf8bafe3/secG-G5</t>
  </si>
  <si>
    <t>uuid:f10f70b5-9cc4-4c5f-8ade-b367cf8bafe3</t>
  </si>
  <si>
    <t>Rehemac Iddy Hotti</t>
  </si>
  <si>
    <t>uuid:d08f0057-af22-45bd-952a-860f20be069a/secG-G2</t>
  </si>
  <si>
    <t>uuid:d08f0057-af22-45bd-952a-860f20be069a/secG-G5</t>
  </si>
  <si>
    <t>uuid:d08f0057-af22-45bd-952a-860f20be069a</t>
  </si>
  <si>
    <t>SAIDI JUMA SELEMAN</t>
  </si>
  <si>
    <t>Supercron</t>
  </si>
  <si>
    <t>uuid:0e255fd7-83ff-424f-a9ae-67ed44f1f275/secG-G2</t>
  </si>
  <si>
    <t>uuid:0e255fd7-83ff-424f-a9ae-67ed44f1f275/secG-G5</t>
  </si>
  <si>
    <t>uuid:0e255fd7-83ff-424f-a9ae-67ed44f1f275</t>
  </si>
  <si>
    <t>Stalk borres</t>
  </si>
  <si>
    <t>uuid:0ba199f7-c93a-455a-8d56-34503c73ae8c/secG-G2</t>
  </si>
  <si>
    <t>uuid:0ba199f7-c93a-455a-8d56-34503c73ae8c/secG-G5</t>
  </si>
  <si>
    <t>uuid:0ba199f7-c93a-455a-8d56-34503c73ae8c</t>
  </si>
  <si>
    <t>Shed</t>
  </si>
  <si>
    <t>uuid:ab057f49-0610-4937-bd1d-924b0b85df6e/secG-G2</t>
  </si>
  <si>
    <t>uuid:ab057f49-0610-4937-bd1d-924b0b85df6e/secG-G5</t>
  </si>
  <si>
    <t>uuid:ab057f49-0610-4937-bd1d-924b0b85df6e</t>
  </si>
  <si>
    <t>Zuhura Issa Kijuu</t>
  </si>
  <si>
    <t>uuid:5d14d550-a5b7-497e-afa6-c407ae289348/secG-G2</t>
  </si>
  <si>
    <t>uuid:5d14d550-a5b7-497e-afa6-c407ae289348/secG-G5</t>
  </si>
  <si>
    <t>uuid:5d14d550-a5b7-497e-afa6-c407ae289348</t>
  </si>
  <si>
    <t>Sabilo</t>
  </si>
  <si>
    <t>uuid:1d7b2d0b-e4bc-46e7-8b36-62016704a439/secG-G2</t>
  </si>
  <si>
    <t>uuid:1d7b2d0b-e4bc-46e7-8b36-62016704a439/secG-G5</t>
  </si>
  <si>
    <t>uuid:1d7b2d0b-e4bc-46e7-8b36-62016704a439</t>
  </si>
  <si>
    <t>uuid:d9bc6480-59ba-4448-a7c3-949888d35dc2/secG-G2</t>
  </si>
  <si>
    <t>uuid:d9bc6480-59ba-4448-a7c3-949888d35dc2/secG-G5</t>
  </si>
  <si>
    <t>uuid:d9bc6480-59ba-4448-a7c3-949888d35dc2</t>
  </si>
  <si>
    <t>Ezekiel Mngumi</t>
  </si>
  <si>
    <t>Carate</t>
  </si>
  <si>
    <t>uuid:aa02834c-1db6-462b-976b-bc344ded7c62/secG-G2</t>
  </si>
  <si>
    <t>uuid:aa02834c-1db6-462b-976b-bc344ded7c62/secG-G5</t>
  </si>
  <si>
    <t>uuid:aa02834c-1db6-462b-976b-bc344ded7c62</t>
  </si>
  <si>
    <t>Gabriel Siikay</t>
  </si>
  <si>
    <t>Snowcron</t>
  </si>
  <si>
    <t>uuid:f9121779-ea03-40d3-bf45-3e03af428256/secG-G2</t>
  </si>
  <si>
    <t>uuid:f9121779-ea03-40d3-bf45-3e03af428256/secG-G5</t>
  </si>
  <si>
    <t>uuid:f9121779-ea03-40d3-bf45-3e03af428256</t>
  </si>
  <si>
    <t>Fields about 1 km away from my village</t>
  </si>
  <si>
    <t>uuid:94f95e82-b18d-4485-a30b-835bef5a13f9/secG-G2</t>
  </si>
  <si>
    <t>uuid:94f95e82-b18d-4485-a30b-835bef5a13f9/secG-G5</t>
  </si>
  <si>
    <t>uuid:94f95e82-b18d-4485-a30b-835bef5a13f9</t>
  </si>
  <si>
    <t>Carate kong fu</t>
  </si>
  <si>
    <t>uuid:e1f1ea0a-89d1-4042-9e61-697dc7e22c1e/secG-G2</t>
  </si>
  <si>
    <t>uuid:e1f1ea0a-89d1-4042-9e61-697dc7e22c1e/secG-G5</t>
  </si>
  <si>
    <t>uuid:e1f1ea0a-89d1-4042-9e61-697dc7e22c1e</t>
  </si>
  <si>
    <t>uuid:c121ec86-df5f-4827-b2b1-ae849312cea0/secG-G2</t>
  </si>
  <si>
    <t>uuid:c121ec86-df5f-4827-b2b1-ae849312cea0/secG-G5</t>
  </si>
  <si>
    <t>uuid:c121ec86-df5f-4827-b2b1-ae849312cea0</t>
  </si>
  <si>
    <t>uuid:43b59892-a17b-4d89-b538-dfb34f9a59a9/secG-G2</t>
  </si>
  <si>
    <t>uuid:43b59892-a17b-4d89-b538-dfb34f9a59a9/secG-G5</t>
  </si>
  <si>
    <t>uuid:43b59892-a17b-4d89-b538-dfb34f9a59a9</t>
  </si>
  <si>
    <t>uuid:aeae3d0d-a2de-414c-9f49-3383dc612f30/secG-G2</t>
  </si>
  <si>
    <t>uuid:aeae3d0d-a2de-414c-9f49-3383dc612f30/secG-G5</t>
  </si>
  <si>
    <t>uuid:aeae3d0d-a2de-414c-9f49-3383dc612f30</t>
  </si>
  <si>
    <t>Tenure</t>
  </si>
  <si>
    <t>uuid:f5ed25ca-b1be-43f1-9d2b-2b497909719b/secG-G2</t>
  </si>
  <si>
    <t>uuid:f5ed25ca-b1be-43f1-9d2b-2b497909719b/secG-G5</t>
  </si>
  <si>
    <t>uuid:f5ed25ca-b1be-43f1-9d2b-2b497909719b</t>
  </si>
  <si>
    <t>Pascali Ng'andia</t>
  </si>
  <si>
    <t>uuid:df259da4-f0fc-43eb-9abd-37831fcef431/secG-G2</t>
  </si>
  <si>
    <t>uuid:df259da4-f0fc-43eb-9abd-37831fcef431/secG-G5</t>
  </si>
  <si>
    <t>uuid:df259da4-f0fc-43eb-9abd-37831fcef431</t>
  </si>
  <si>
    <t>Ninja, Super cross,Dudu pack</t>
  </si>
  <si>
    <t>uuid:b0eb20f5-8cdb-487a-884d-14c4ae616d2c/secG-G2</t>
  </si>
  <si>
    <t>uuid:b0eb20f5-8cdb-487a-884d-14c4ae616d2c/secG-G5</t>
  </si>
  <si>
    <t>uuid:b0eb20f5-8cdb-487a-884d-14c4ae616d2c</t>
  </si>
  <si>
    <t>uuid:863abf04-cb73-4964-b862-ab77e5de7633/secG-G2</t>
  </si>
  <si>
    <t>uuid:863abf04-cb73-4964-b862-ab77e5de7633/secG-G5</t>
  </si>
  <si>
    <t>uuid:863abf04-cb73-4964-b862-ab77e5de7633</t>
  </si>
  <si>
    <t>uuid:d0b5dae2-36cf-4a35-b2a9-7956586a911c/secG-G2</t>
  </si>
  <si>
    <t>uuid:d0b5dae2-36cf-4a35-b2a9-7956586a911c/secG-G5</t>
  </si>
  <si>
    <t>uuid:d0b5dae2-36cf-4a35-b2a9-7956586a911c</t>
  </si>
  <si>
    <t>uuid:32dc215a-45e8-4419-bd4c-719f69492056/secG-G2</t>
  </si>
  <si>
    <t>uuid:32dc215a-45e8-4419-bd4c-719f69492056/secG-G5</t>
  </si>
  <si>
    <t>uuid:32dc215a-45e8-4419-bd4c-719f69492056</t>
  </si>
  <si>
    <t>uuid:39bfc944-c23f-4d08-ae94-9e4d04bd4f5e/secG-G2</t>
  </si>
  <si>
    <t>uuid:39bfc944-c23f-4d08-ae94-9e4d04bd4f5e/secG-G5</t>
  </si>
  <si>
    <t>uuid:39bfc944-c23f-4d08-ae94-9e4d04bd4f5e</t>
  </si>
  <si>
    <t>Carate, Kung Fu, Suracron 720 EC</t>
  </si>
  <si>
    <t>uuid:9176a4c1-887a-47ca-a251-d60d60153183/secG-G2</t>
  </si>
  <si>
    <t>uuid:9176a4c1-887a-47ca-a251-d60d60153183/secG-G5</t>
  </si>
  <si>
    <t>uuid:9176a4c1-887a-47ca-a251-d60d60153183</t>
  </si>
  <si>
    <t>uuid:ca8b2723-2f6c-4a38-a40f-2579d6acdc84/secG-G2</t>
  </si>
  <si>
    <t>uuid:ca8b2723-2f6c-4a38-a40f-2579d6acdc84/secG-G5</t>
  </si>
  <si>
    <t>uuid:ca8b2723-2f6c-4a38-a40f-2579d6acdc84</t>
  </si>
  <si>
    <t>Zendekia Mbombo</t>
  </si>
  <si>
    <t>Carte, Kung Fu</t>
  </si>
  <si>
    <t>uuid:39060775-d3a4-42cb-856c-aaf36d6442d4/secG-G2</t>
  </si>
  <si>
    <t>uuid:39060775-d3a4-42cb-856c-aaf36d6442d4/secG-G5</t>
  </si>
  <si>
    <t>uuid:39060775-d3a4-42cb-856c-aaf36d6442d4</t>
  </si>
  <si>
    <t>uuid:a2219805-2ce7-455d-bb7f-f498bd6984ac/secG-G2</t>
  </si>
  <si>
    <t>uuid:a2219805-2ce7-455d-bb7f-f498bd6984ac/secG-G5</t>
  </si>
  <si>
    <t>uuid:a2219805-2ce7-455d-bb7f-f498bd6984ac</t>
  </si>
  <si>
    <t>uuid:0a39b077-4d0f-4da2-9f85-62cbf2838023/secG-G2</t>
  </si>
  <si>
    <t>uuid:0a39b077-4d0f-4da2-9f85-62cbf2838023/secG-G5</t>
  </si>
  <si>
    <t>uuid:0a39b077-4d0f-4da2-9f85-62cbf2838023</t>
  </si>
  <si>
    <t>Ezekieli Lurenti</t>
  </si>
  <si>
    <t>uuid:91f4a16b-1f6e-436d-b882-bd7cd40038e2/secG-G2</t>
  </si>
  <si>
    <t>uuid:91f4a16b-1f6e-436d-b882-bd7cd40038e2/secG-G5</t>
  </si>
  <si>
    <t>uuid:91f4a16b-1f6e-436d-b882-bd7cd40038e2</t>
  </si>
  <si>
    <t>uuid:3f77198e-4439-4f97-850d-5870f0e95056/secG-G2</t>
  </si>
  <si>
    <t>uuid:3f77198e-4439-4f97-850d-5870f0e95056/secG-G5</t>
  </si>
  <si>
    <t>uuid:3f77198e-4439-4f97-850d-5870f0e95056</t>
  </si>
  <si>
    <t>uuid:c157599c-9ba1-46dd-8e01-b9936e607d44/secG-G2</t>
  </si>
  <si>
    <t>uuid:c157599c-9ba1-46dd-8e01-b9936e607d44/secG-G5</t>
  </si>
  <si>
    <t>uuid:c157599c-9ba1-46dd-8e01-b9936e607d44</t>
  </si>
  <si>
    <t>Runner force, Unga lincon,</t>
  </si>
  <si>
    <t>uuid:c7ee9f74-1648-46fb-bdd3-f3ef098c68f4/secG-G2</t>
  </si>
  <si>
    <t>uuid:c7ee9f74-1648-46fb-bdd3-f3ef098c68f4/secG-G5</t>
  </si>
  <si>
    <t>uuid:c7ee9f74-1648-46fb-bdd3-f3ef098c68f4</t>
  </si>
  <si>
    <t>Spacron,Carte, Serecro, Farmerzep</t>
  </si>
  <si>
    <t>uuid:af8bb017-38ba-4267-bd41-a838c2f76108/secG-G2</t>
  </si>
  <si>
    <t>uuid:af8bb017-38ba-4267-bd41-a838c2f76108/secG-G5</t>
  </si>
  <si>
    <t>uuid:af8bb017-38ba-4267-bd41-a838c2f76108</t>
  </si>
  <si>
    <t>Linus naghali</t>
  </si>
  <si>
    <t>Exchange_Labour</t>
  </si>
  <si>
    <t>uuid:8c05e1ea-e44b-4e80-8971-7ccadbb8b818/secG-G2</t>
  </si>
  <si>
    <t>uuid:8c05e1ea-e44b-4e80-8971-7ccadbb8b818/secG-G5</t>
  </si>
  <si>
    <t>uuid:8c05e1ea-e44b-4e80-8971-7ccadbb8b818</t>
  </si>
  <si>
    <t>uuid:93835c5c-d290-40df-b503-44749c0c71db/secG-G2</t>
  </si>
  <si>
    <t>uuid:93835c5c-d290-40df-b503-44749c0c71db/secG-G5</t>
  </si>
  <si>
    <t>uuid:93835c5c-d290-40df-b503-44749c0c71db</t>
  </si>
  <si>
    <t>Farmer thep, Carte</t>
  </si>
  <si>
    <t>uuid:d55840e1-e98a-4a2f-940f-fe1a1e03049c/secG-G2</t>
  </si>
  <si>
    <t>uuid:d55840e1-e98a-4a2f-940f-fe1a1e03049c/secG-G5</t>
  </si>
  <si>
    <t>uuid:d55840e1-e98a-4a2f-940f-fe1a1e03049c</t>
  </si>
  <si>
    <t>uuid:9c2de300-7b79-49f9-832a-fb5e79d813e3/secG-G2</t>
  </si>
  <si>
    <t>uuid:9c2de300-7b79-49f9-832a-fb5e79d813e3/secG-G5</t>
  </si>
  <si>
    <t>uuid:9c2de300-7b79-49f9-832a-fb5e79d813e3</t>
  </si>
  <si>
    <t>Fields about 1 to 3 km away from my village</t>
  </si>
  <si>
    <t>uuid:487bf899-f356-400a-b6b2-9e1f43e20bec/secG-G2</t>
  </si>
  <si>
    <t>uuid:487bf899-f356-400a-b6b2-9e1f43e20bec/secG-G5</t>
  </si>
  <si>
    <t>uuid:487bf899-f356-400a-b6b2-9e1f43e20bec</t>
  </si>
  <si>
    <t>Paulo Gambre</t>
  </si>
  <si>
    <t>uuid:5134cd69-44b5-4774-afc8-bd9592d961a8/secG-G2</t>
  </si>
  <si>
    <t>uuid:5134cd69-44b5-4774-afc8-bd9592d961a8/secG-G5</t>
  </si>
  <si>
    <t>uuid:5134cd69-44b5-4774-afc8-bd9592d961a8</t>
  </si>
  <si>
    <t>uuid:14f2766e-eace-46c1-b46c-5482165aa6b0/secG-G2</t>
  </si>
  <si>
    <t>uuid:14f2766e-eace-46c1-b46c-5482165aa6b0/secG-G5</t>
  </si>
  <si>
    <t>uuid:14f2766e-eace-46c1-b46c-5482165aa6b0</t>
  </si>
  <si>
    <t>uuid:1a391e4c-6a41-449a-8a40-c3d746322933/secG-G2</t>
  </si>
  <si>
    <t>uuid:1a391e4c-6a41-449a-8a40-c3d746322933/secG-G5</t>
  </si>
  <si>
    <t>uuid:1a391e4c-6a41-449a-8a40-c3d746322933</t>
  </si>
  <si>
    <t>michael</t>
  </si>
  <si>
    <t>uuid:06d4762a-427d-4072-8851-16fc9194d548/secG-G2</t>
  </si>
  <si>
    <t>uuid:06d4762a-427d-4072-8851-16fc9194d548/secG-G5</t>
  </si>
  <si>
    <t>uuid:06d4762a-427d-4072-8851-16fc9194d548</t>
  </si>
  <si>
    <t>uuid:854c9f14-3c8e-40a6-9f5a-71d3666d37dd/secG-G2</t>
  </si>
  <si>
    <t>uuid:854c9f14-3c8e-40a6-9f5a-71d3666d37dd/secG-G5</t>
  </si>
  <si>
    <t>uuid:854c9f14-3c8e-40a6-9f5a-71d3666d37dd</t>
  </si>
  <si>
    <t>Dudubar,Carte</t>
  </si>
  <si>
    <t>uuid:ebf83f8a-4214-40de-adc9-96118c28ba84/secG-G2</t>
  </si>
  <si>
    <t>uuid:ebf83f8a-4214-40de-adc9-96118c28ba84/secG-G5</t>
  </si>
  <si>
    <t>uuid:ebf83f8a-4214-40de-adc9-96118c28ba84</t>
  </si>
  <si>
    <t>Anna Nadeev Qwendo</t>
  </si>
  <si>
    <t>Seloto</t>
  </si>
  <si>
    <t>uuid:299f12e5-ca57-4962-916c-8642430d8f45/secG-G2</t>
  </si>
  <si>
    <t>uuid:299f12e5-ca57-4962-916c-8642430d8f45/secG-G5</t>
  </si>
  <si>
    <t>uuid:299f12e5-ca57-4962-916c-8642430d8f45</t>
  </si>
  <si>
    <t>uuid:eace33fa-ce2d-4a5a-829e-9e4c62063d81/secG-G2</t>
  </si>
  <si>
    <t>uuid:eace33fa-ce2d-4a5a-829e-9e4c62063d81/secG-G5</t>
  </si>
  <si>
    <t>uuid:eace33fa-ce2d-4a5a-829e-9e4c62063d81</t>
  </si>
  <si>
    <t>uuid:70e1e0c8-ea65-44c1-a28f-da5018cfb2cf/secG-G2</t>
  </si>
  <si>
    <t>uuid:70e1e0c8-ea65-44c1-a28f-da5018cfb2cf/secG-G5</t>
  </si>
  <si>
    <t>uuid:70e1e0c8-ea65-44c1-a28f-da5018cfb2cf</t>
  </si>
  <si>
    <t>Exchange_Ploughing</t>
  </si>
  <si>
    <t>uuid:6d8254eb-de53-42a8-9500-c10399611d38/secG-G2</t>
  </si>
  <si>
    <t>uuid:6d8254eb-de53-42a8-9500-c10399611d38/secG-G5</t>
  </si>
  <si>
    <t>uuid:6d8254eb-de53-42a8-9500-c10399611d38</t>
  </si>
  <si>
    <t>uuid:f4cbec6a-ca98-4987-a09a-cb5e1f1076a2/secG-G2</t>
  </si>
  <si>
    <t>uuid:f4cbec6a-ca98-4987-a09a-cb5e1f1076a2/secG-G5</t>
  </si>
  <si>
    <t>uuid:f4cbec6a-ca98-4987-a09a-cb5e1f1076a2</t>
  </si>
  <si>
    <t>uuid:e23c4190-b9fd-4c53-acb8-aab0322c12fd/secG-G2</t>
  </si>
  <si>
    <t>uuid:e23c4190-b9fd-4c53-acb8-aab0322c12fd/secG-G5</t>
  </si>
  <si>
    <t>uuid:e23c4190-b9fd-4c53-acb8-aab0322c12fd</t>
  </si>
  <si>
    <t>uuid:4320cd48-6f79-41b2-ba4d-f7312511bc9e/secG-G2</t>
  </si>
  <si>
    <t>uuid:4320cd48-6f79-41b2-ba4d-f7312511bc9e/secG-G5</t>
  </si>
  <si>
    <t>uuid:4320cd48-6f79-41b2-ba4d-f7312511bc9e</t>
  </si>
  <si>
    <t>Kwasema Mulki Thehema</t>
  </si>
  <si>
    <t>uuid:b659b7c2-a24e-4bfe-9101-507fb58cd9e5/secG-G2</t>
  </si>
  <si>
    <t>uuid:b659b7c2-a24e-4bfe-9101-507fb58cd9e5/secG-G5</t>
  </si>
  <si>
    <t>uuid:b659b7c2-a24e-4bfe-9101-507fb58cd9e5</t>
  </si>
  <si>
    <t>uuid:e333688f-8d9a-48c4-93d5-bbae90550703/secG-G2</t>
  </si>
  <si>
    <t>uuid:e333688f-8d9a-48c4-93d5-bbae90550703/secG-G5</t>
  </si>
  <si>
    <t>uuid:e333688f-8d9a-48c4-93d5-bbae90550703</t>
  </si>
  <si>
    <t>Martin leonce</t>
  </si>
  <si>
    <t>uuid:b0bf1e46-7407-46b8-a12a-648aed1fb9e6/secG-G2</t>
  </si>
  <si>
    <t>uuid:b0bf1e46-7407-46b8-a12a-648aed1fb9e6/secG-G5</t>
  </si>
  <si>
    <t>uuid:b0bf1e46-7407-46b8-a12a-648aed1fb9e6</t>
  </si>
  <si>
    <t>uuid:75cbb65a-4079-47cf-b5d8-e5e5abaf3c85/secG-G2</t>
  </si>
  <si>
    <t>uuid:75cbb65a-4079-47cf-b5d8-e5e5abaf3c85/secG-G5</t>
  </si>
  <si>
    <t>uuid:75cbb65a-4079-47cf-b5d8-e5e5abaf3c85</t>
  </si>
  <si>
    <t>uuid:96829a32-b185-4f84-8d4f-fca52d55684b/secG-G2</t>
  </si>
  <si>
    <t>uuid:96829a32-b185-4f84-8d4f-fca52d55684b/secG-G5</t>
  </si>
  <si>
    <t>uuid:96829a32-b185-4f84-8d4f-fca52d55684b</t>
  </si>
  <si>
    <t>uuid:7d568ac4-fe14-4163-8fec-f29bc35094aa/secG-G2</t>
  </si>
  <si>
    <t>uuid:7d568ac4-fe14-4163-8fec-f29bc35094aa/secG-G5</t>
  </si>
  <si>
    <t>uuid:7d568ac4-fe14-4163-8fec-f29bc35094aa</t>
  </si>
  <si>
    <t>BAKARI Juma Yusufu</t>
  </si>
  <si>
    <t>uuid:95c37d6d-85c3-49e8-9d6b-b30d9d79ce9b/secG-G2</t>
  </si>
  <si>
    <t>uuid:95c37d6d-85c3-49e8-9d6b-b30d9d79ce9b/secG-G5</t>
  </si>
  <si>
    <t>uuid:95c37d6d-85c3-49e8-9d6b-b30d9d79ce9b</t>
  </si>
  <si>
    <t>Darabe Wema Tsikho</t>
  </si>
  <si>
    <t>uuid:75baff59-52c5-4e3e-b3e3-5d92152e2cf8/secG-G2</t>
  </si>
  <si>
    <t>uuid:75baff59-52c5-4e3e-b3e3-5d92152e2cf8/secG-G5</t>
  </si>
  <si>
    <t>uuid:75baff59-52c5-4e3e-b3e3-5d92152e2cf8</t>
  </si>
  <si>
    <t>Hamisi Omary Ladia</t>
  </si>
  <si>
    <t>uuid:576bd490-54f6-49e1-984c-5ecba1c24485/secG-G2</t>
  </si>
  <si>
    <t>uuid:576bd490-54f6-49e1-984c-5ecba1c24485/secG-G5</t>
  </si>
  <si>
    <t>uuid:576bd490-54f6-49e1-984c-5ecba1c24485</t>
  </si>
  <si>
    <t>uuid:95ffd41c-a7b8-428b-8216-3e13d639f1cb/secG-G2</t>
  </si>
  <si>
    <t>uuid:95ffd41c-a7b8-428b-8216-3e13d639f1cb/secG-G5</t>
  </si>
  <si>
    <t>uuid:95ffd41c-a7b8-428b-8216-3e13d639f1cb</t>
  </si>
  <si>
    <t>Julias Tabau Mollel</t>
  </si>
  <si>
    <t>uuid:fd3b5f18-db49-48e7-aa0e-87da7384217f/secG-G2</t>
  </si>
  <si>
    <t>uuid:fd3b5f18-db49-48e7-aa0e-87da7384217f/secG-G5</t>
  </si>
  <si>
    <t>uuid:fd3b5f18-db49-48e7-aa0e-87da7384217f</t>
  </si>
  <si>
    <t>uuid:9b8a8e43-876f-4c84-a109-3b48d2077889/secG-G2</t>
  </si>
  <si>
    <t>uuid:9b8a8e43-876f-4c84-a109-3b48d2077889/secG-G5</t>
  </si>
  <si>
    <t>uuid:9b8a8e43-876f-4c84-a109-3b48d2077889</t>
  </si>
  <si>
    <t>uuid:b40e5b36-d344-4758-afca-f2eec5c5f754/secG-G2</t>
  </si>
  <si>
    <t>uuid:b40e5b36-d344-4758-afca-f2eec5c5f754/secG-G5</t>
  </si>
  <si>
    <t>uuid:b40e5b36-d344-4758-afca-f2eec5c5f754</t>
  </si>
  <si>
    <t>MUSTAFA HASSANI ALLY</t>
  </si>
  <si>
    <t>uuid:cdc2ef68-bf8b-495d-9e19-4c6c80a24af4/secG-G2</t>
  </si>
  <si>
    <t>uuid:cdc2ef68-bf8b-495d-9e19-4c6c80a24af4/secG-G5</t>
  </si>
  <si>
    <t>uuid:cdc2ef68-bf8b-495d-9e19-4c6c80a24af4</t>
  </si>
  <si>
    <t>uuid:b5ea103f-89fc-4ee6-af6e-7c82a8350d25/secG-G2</t>
  </si>
  <si>
    <t>uuid:b5ea103f-89fc-4ee6-af6e-7c82a8350d25/secG-G5</t>
  </si>
  <si>
    <t>uuid:b5ea103f-89fc-4ee6-af6e-7c82a8350d25</t>
  </si>
  <si>
    <t>uuid:9dbc93db-ae08-4133-807e-498a5c8f8318/secG-G2</t>
  </si>
  <si>
    <t>uuid:9dbc93db-ae08-4133-807e-498a5c8f8318/secG-G5</t>
  </si>
  <si>
    <t>uuid:9dbc93db-ae08-4133-807e-498a5c8f8318</t>
  </si>
  <si>
    <t>uuid:31ff75db-e1a4-4df1-ba88-ded957f4fa80/secG-G2</t>
  </si>
  <si>
    <t>uuid:31ff75db-e1a4-4df1-ba88-ded957f4fa80/secG-G5</t>
  </si>
  <si>
    <t>uuid:31ff75db-e1a4-4df1-ba88-ded957f4fa80</t>
  </si>
  <si>
    <t>saidi Swalehe Hadaa</t>
  </si>
  <si>
    <t>uuid:3648ab9d-516f-40e2-b514-effbb73ad345/secG-G2</t>
  </si>
  <si>
    <t>uuid:3648ab9d-516f-40e2-b514-effbb73ad345/secG-G5</t>
  </si>
  <si>
    <t>uuid:3648ab9d-516f-40e2-b514-effbb73ad345</t>
  </si>
  <si>
    <t>uuid:cea93993-854e-4519-907f-c56faca61ae7/secG-G2</t>
  </si>
  <si>
    <t>uuid:cea93993-854e-4519-907f-c56faca61ae7/secG-G5</t>
  </si>
  <si>
    <t>uuid:cea93993-854e-4519-907f-c56faca61ae7</t>
  </si>
  <si>
    <t>Abas Mohamdi Bura</t>
  </si>
  <si>
    <t>Abas Mohamedi/Tahani Safari</t>
  </si>
  <si>
    <t>uuid:2943d35a-d670-4658-83ae-a80640461249/secG-G2</t>
  </si>
  <si>
    <t>uuid:2943d35a-d670-4658-83ae-a80640461249/secG-G5</t>
  </si>
  <si>
    <t>uuid:2943d35a-d670-4658-83ae-a80640461249</t>
  </si>
  <si>
    <t>Inot songoyani</t>
  </si>
  <si>
    <t>Abel Maiko Bura</t>
  </si>
  <si>
    <t>Exchange_Weeding</t>
  </si>
  <si>
    <t>uuid:2a0cb5d4-efcd-43c6-bed9-9cdd80435f29/secG-G2</t>
  </si>
  <si>
    <t>uuid:2a0cb5d4-efcd-43c6-bed9-9cdd80435f29/secG-G5</t>
  </si>
  <si>
    <t>uuid:2a0cb5d4-efcd-43c6-bed9-9cdd80435f29</t>
  </si>
  <si>
    <t>Aleandry Daniel Sarwat</t>
  </si>
  <si>
    <t>Aleandry Daniel Sarwati</t>
  </si>
  <si>
    <t>uuid:b2944227-fadc-4283-a164-ea280b05e105/secG-G2</t>
  </si>
  <si>
    <t>uuid:b2944227-fadc-4283-a164-ea280b05e105/secG-G5</t>
  </si>
  <si>
    <t>uuid:b2944227-fadc-4283-a164-ea280b05e105</t>
  </si>
  <si>
    <t>Amsi Gurtu Akonaay</t>
  </si>
  <si>
    <t>uuid:2ef605ea-7b87-4c5e-9f4d-9d88388fb133/secG-G2</t>
  </si>
  <si>
    <t>uuid:2ef605ea-7b87-4c5e-9f4d-9d88388fb133/secG-G5</t>
  </si>
  <si>
    <t>uuid:2ef605ea-7b87-4c5e-9f4d-9d88388fb133</t>
  </si>
  <si>
    <t>Andrea Istory</t>
  </si>
  <si>
    <t>uuid:33432f6c-20a0-4ef7-b0bb-72b98e6a9dcf/secG-G2</t>
  </si>
  <si>
    <t>uuid:33432f6c-20a0-4ef7-b0bb-72b98e6a9dcf/secG-G5</t>
  </si>
  <si>
    <t>uuid:33432f6c-20a0-4ef7-b0bb-72b98e6a9dcf</t>
  </si>
  <si>
    <t>uuid:0bb792e5-f637-4627-8840-3708f2989049/secG-G2</t>
  </si>
  <si>
    <t>uuid:0bb792e5-f637-4627-8840-3708f2989049/secG-G5</t>
  </si>
  <si>
    <t>uuid:0bb792e5-f637-4627-8840-3708f2989049</t>
  </si>
  <si>
    <t>Daho Slaa Baa</t>
  </si>
  <si>
    <t>uuid:1758969f-1d4e-4549-bd8a-759ea32ba308/secG-G2</t>
  </si>
  <si>
    <t>uuid:1758969f-1d4e-4549-bd8a-759ea32ba308/secG-G5</t>
  </si>
  <si>
    <t>uuid:1758969f-1d4e-4549-bd8a-759ea32ba308</t>
  </si>
  <si>
    <t>Dodo Matambo Baghayo</t>
  </si>
  <si>
    <t>uuid:77a639b6-a9c8-400f-8790-a9392b97726e/secG-G2</t>
  </si>
  <si>
    <t>uuid:77a639b6-a9c8-400f-8790-a9392b97726e/secG-G5</t>
  </si>
  <si>
    <t>uuid:77a639b6-a9c8-400f-8790-a9392b97726e</t>
  </si>
  <si>
    <t>G</t>
  </si>
  <si>
    <t>E</t>
  </si>
  <si>
    <t>Fu</t>
  </si>
  <si>
    <t>Ka</t>
  </si>
  <si>
    <t>uuid:c9dda6e6-2c48-428f-85d2-d03d9f574226/secG-G2</t>
  </si>
  <si>
    <t>uuid:c9dda6e6-2c48-428f-85d2-d03d9f574226/secG-G5</t>
  </si>
  <si>
    <t>uuid:c9dda6e6-2c48-428f-85d2-d03d9f574226</t>
  </si>
  <si>
    <t>Fabiola Mathias</t>
  </si>
  <si>
    <t>uuid:0c2d270f-8bf6-40da-a3db-880e7ded87d1/secG-G2</t>
  </si>
  <si>
    <t>uuid:0c2d270f-8bf6-40da-a3db-880e7ded87d1/secG-G5</t>
  </si>
  <si>
    <t>uuid:0c2d270f-8bf6-40da-a3db-880e7ded87d1</t>
  </si>
  <si>
    <t>Francis Maiko Bura</t>
  </si>
  <si>
    <t>uuid:12a43db4-d789-46f4-ba91-deb024c9a219/secG-G2</t>
  </si>
  <si>
    <t>uuid:12a43db4-d789-46f4-ba91-deb024c9a219/secG-G5</t>
  </si>
  <si>
    <t>uuid:12a43db4-d789-46f4-ba91-deb024c9a219</t>
  </si>
  <si>
    <t>Hadija Tulway Ngaida</t>
  </si>
  <si>
    <t>Use as fuelwood</t>
  </si>
  <si>
    <t>Karate,</t>
  </si>
  <si>
    <t>uuid:77b2d571-bfb1-499f-845e-d8b8df93cf52/secG-G2</t>
  </si>
  <si>
    <t>uuid:77b2d571-bfb1-499f-845e-d8b8df93cf52/secG-G5</t>
  </si>
  <si>
    <t>uuid:77b2d571-bfb1-499f-845e-d8b8df93cf52</t>
  </si>
  <si>
    <t>Halifa Juma Kapera Endanoga</t>
  </si>
  <si>
    <t>uuid:5fac5e16-f5b4-4877-ab24-71e3a3776528/secG-G2</t>
  </si>
  <si>
    <t>uuid:5fac5e16-f5b4-4877-ab24-71e3a3776528/secG-G5</t>
  </si>
  <si>
    <t>uuid:5fac5e16-f5b4-4877-ab24-71e3a3776528</t>
  </si>
  <si>
    <t>Huseni Saidi Haray</t>
  </si>
  <si>
    <t>uuid:eaabe75c-55ce-4728-ac7b-4715433bea56/secG-G2</t>
  </si>
  <si>
    <t>uuid:eaabe75c-55ce-4728-ac7b-4715433bea56/secG-G5</t>
  </si>
  <si>
    <t>uuid:eaabe75c-55ce-4728-ac7b-4715433bea56</t>
  </si>
  <si>
    <t>Ibrahim Israel</t>
  </si>
  <si>
    <t>uuid:f0f05bd7-e2f7-453d-8199-f1027748c7bc/secG-G2</t>
  </si>
  <si>
    <t>uuid:f0f05bd7-e2f7-453d-8199-f1027748c7bc/secG-G5</t>
  </si>
  <si>
    <t>uuid:f0f05bd7-e2f7-453d-8199-f1027748c7bc</t>
  </si>
  <si>
    <t>Ibrahimu Petro</t>
  </si>
  <si>
    <t>uuid:bb53b97e-c286-4250-86d4-0106334a4f06/secG-G2</t>
  </si>
  <si>
    <t>uuid:bb53b97e-c286-4250-86d4-0106334a4f06/secG-G5</t>
  </si>
  <si>
    <t>uuid:bb53b97e-c286-4250-86d4-0106334a4f06</t>
  </si>
  <si>
    <t>uuid:ea7bf8b8-f35d-41e2-b443-f4404576061a/secG-G2</t>
  </si>
  <si>
    <t>uuid:ea7bf8b8-f35d-41e2-b443-f4404576061a/secG-G5</t>
  </si>
  <si>
    <t>uuid:ea7bf8b8-f35d-41e2-b443-f4404576061a</t>
  </si>
  <si>
    <t>Maiko Naasi Bim endanoga</t>
  </si>
  <si>
    <t>uuid:2a784bdf-c2f1-432c-8e0a-6b9475884fca/secG-G2</t>
  </si>
  <si>
    <t>uuid:2a784bdf-c2f1-432c-8e0a-6b9475884fca/secG-G5</t>
  </si>
  <si>
    <t>uuid:2a784bdf-c2f1-432c-8e0a-6b9475884fca</t>
  </si>
  <si>
    <t>Maria Bai Tara</t>
  </si>
  <si>
    <t>uuid:22ce7635-028b-4e7a-b7b4-73a3eb9350eb/secG-G2</t>
  </si>
  <si>
    <t>uuid:22ce7635-028b-4e7a-b7b4-73a3eb9350eb/secG-G5</t>
  </si>
  <si>
    <t>uuid:22ce7635-028b-4e7a-b7b4-73a3eb9350eb</t>
  </si>
  <si>
    <t>Marta Qamara</t>
  </si>
  <si>
    <t>uuid:163d57c6-9bdb-432d-9e63-8938fc4c73c2/secG-G2</t>
  </si>
  <si>
    <t>uuid:163d57c6-9bdb-432d-9e63-8938fc4c73c2/secG-G5</t>
  </si>
  <si>
    <t>uuid:163d57c6-9bdb-432d-9e63-8938fc4c73c2</t>
  </si>
  <si>
    <t>Paulo Ingi slaa</t>
  </si>
  <si>
    <t>Paulo Ingi Slaa</t>
  </si>
  <si>
    <t>Hole</t>
  </si>
  <si>
    <t>Supercrone</t>
  </si>
  <si>
    <t>uuid:f7f08c97-0816-48b8-950e-6b48b7c40ce2/secG-G2</t>
  </si>
  <si>
    <t>uuid:f7f08c97-0816-48b8-950e-6b48b7c40ce2/secG-G5</t>
  </si>
  <si>
    <t>uuid:f7f08c97-0816-48b8-950e-6b48b7c40ce2</t>
  </si>
  <si>
    <t>Ninger</t>
  </si>
  <si>
    <t>uuid:662ca341-8bea-4bd7-ae16-7bcaa5dc1417/secG-G2</t>
  </si>
  <si>
    <t>uuid:662ca341-8bea-4bd7-ae16-7bcaa5dc1417/secG-G5</t>
  </si>
  <si>
    <t>uuid:662ca341-8bea-4bd7-ae16-7bcaa5dc1417</t>
  </si>
  <si>
    <t>DELETE</t>
  </si>
  <si>
    <t>Phillipo Joseph Marangi</t>
  </si>
  <si>
    <t>Sumu,</t>
  </si>
  <si>
    <t>uuid:c3ec8d15-143f-4a6c-9443-4cac503cb849/secG-G2</t>
  </si>
  <si>
    <t>uuid:c3ec8d15-143f-4a6c-9443-4cac503cb849/secG-G5</t>
  </si>
  <si>
    <t>uuid:c3ec8d15-143f-4a6c-9443-4cac503cb849</t>
  </si>
  <si>
    <t>Priscah Hamisi</t>
  </si>
  <si>
    <t>Kung fu, Carte,</t>
  </si>
  <si>
    <t>uuid:020c3d34-39b4-4bd1-aaf3-cc5af918ca16/secG-G2</t>
  </si>
  <si>
    <t>uuid:020c3d34-39b4-4bd1-aaf3-cc5af918ca16/secG-G5</t>
  </si>
  <si>
    <t>uuid:020c3d34-39b4-4bd1-aaf3-cc5af918ca16</t>
  </si>
  <si>
    <t>Salimu Shabani Salimu</t>
  </si>
  <si>
    <t>Ft</t>
  </si>
  <si>
    <t>Karate duduba , ninja</t>
  </si>
  <si>
    <t>uuid:200bffa7-7869-4c33-a899-5509626b7ab6/secG-G2</t>
  </si>
  <si>
    <t>uuid:200bffa7-7869-4c33-a899-5509626b7ab6/secG-G5</t>
  </si>
  <si>
    <t>uuid:200bffa7-7869-4c33-a899-5509626b7ab6</t>
  </si>
  <si>
    <t>Simon Gwandu</t>
  </si>
  <si>
    <t>Ninger, carate,</t>
  </si>
  <si>
    <t>uuid:e4b2a436-88ea-4d04-a4a5-1069eff5b94b/secG-G2</t>
  </si>
  <si>
    <t>uuid:e4b2a436-88ea-4d04-a4a5-1069eff5b94b/secG-G5</t>
  </si>
  <si>
    <t>uuid:e4b2a436-88ea-4d04-a4a5-1069eff5b94b</t>
  </si>
  <si>
    <t>Simon Surumbu</t>
  </si>
  <si>
    <t>Carte, Linkonil, Akkrimactin 1.8EC, Kung fu 5EC, Rustall 375 EC, Utracy 5EC</t>
  </si>
  <si>
    <t>uuid:f470963a-a38e-45fc-9d0e-cc122cbc6b3a/secG-G2</t>
  </si>
  <si>
    <t>uuid:f470963a-a38e-45fc-9d0e-cc122cbc6b3a/secG-G5</t>
  </si>
  <si>
    <t>uuid:f470963a-a38e-45fc-9d0e-cc122cbc6b3a</t>
  </si>
  <si>
    <t>Sophia Salum Banda</t>
  </si>
  <si>
    <t>uuid:d74e293a-450b-4c11-a9fb-1d6be89181aa/secG-G2</t>
  </si>
  <si>
    <t>uuid:d74e293a-450b-4c11-a9fb-1d6be89181aa/secG-G5</t>
  </si>
  <si>
    <t>uuid:d74e293a-450b-4c11-a9fb-1d6be89181aa</t>
  </si>
  <si>
    <t>Tatu Sii Nino</t>
  </si>
  <si>
    <t>uuid:290e1402-ecad-433c-98df-c3b6b8940697/secG-G2</t>
  </si>
  <si>
    <t>uuid:290e1402-ecad-433c-98df-c3b6b8940697/secG-G5</t>
  </si>
  <si>
    <t>uuid:290e1402-ecad-433c-98df-c3b6b8940697</t>
  </si>
  <si>
    <t>Higher yeidl under FP? Why? Error?</t>
  </si>
  <si>
    <t>Inot check this as the 2 rows are duplicated</t>
  </si>
  <si>
    <t>VVVVVVVV</t>
  </si>
  <si>
    <t>FName</t>
  </si>
  <si>
    <t>OtherNAME</t>
  </si>
  <si>
    <t>IP1</t>
  </si>
  <si>
    <t>IP2</t>
  </si>
  <si>
    <t>FP1</t>
  </si>
  <si>
    <t>FP2</t>
  </si>
  <si>
    <t>Av_IP</t>
  </si>
  <si>
    <t>Av_FP</t>
  </si>
  <si>
    <t>X1Y1</t>
  </si>
  <si>
    <t>FP better than IP. IP affected by shade and Sisal fence</t>
  </si>
  <si>
    <t>Rule</t>
  </si>
  <si>
    <t>Comments_Harvest</t>
  </si>
  <si>
    <t>FP better. Planted on different dates and used different seeds. Drop</t>
  </si>
  <si>
    <t>IP degraded. Soils should show this</t>
  </si>
  <si>
    <t>FP better because it’s a neigbours field that looked more fertile</t>
  </si>
  <si>
    <t>Fert</t>
  </si>
  <si>
    <t>DAP</t>
  </si>
  <si>
    <t>Minjingu</t>
  </si>
  <si>
    <t>TMVI</t>
  </si>
  <si>
    <t>Control</t>
  </si>
  <si>
    <t>KITALE H04</t>
  </si>
  <si>
    <t>DK 8031</t>
  </si>
  <si>
    <t>FP</t>
  </si>
  <si>
    <t>IP</t>
  </si>
  <si>
    <t>GrainYield</t>
  </si>
  <si>
    <t>n</t>
  </si>
  <si>
    <t>Practice</t>
  </si>
  <si>
    <t>BERMI</t>
  </si>
  <si>
    <t>Survey</t>
  </si>
  <si>
    <t>Hosea Wilsoni Dighay</t>
  </si>
  <si>
    <t>Danieli Baha Qwendo</t>
  </si>
  <si>
    <t>Ally Juma Selemani</t>
  </si>
  <si>
    <t>Adelina Charles Hamandi</t>
  </si>
  <si>
    <t>Maulidi Asuthumani Mtinda</t>
  </si>
  <si>
    <t>Sinorina Paulo Hamsi</t>
  </si>
  <si>
    <t>Joseph Safari Kwatlema</t>
  </si>
  <si>
    <t>Deonice Mara Kidifa</t>
  </si>
  <si>
    <t>Alfread Gwandu Daata</t>
  </si>
  <si>
    <t>Joseph Migire Dawite</t>
  </si>
  <si>
    <t>Scolastika Maiko Kwanga</t>
  </si>
  <si>
    <t>Adelina Dodi Gitene</t>
  </si>
  <si>
    <t>Adolf Petro Wema</t>
  </si>
  <si>
    <t>Tahani Safari Surumbe</t>
  </si>
  <si>
    <t>Rehema Isa Iddi</t>
  </si>
  <si>
    <t>Abas mohamedi Bura</t>
  </si>
  <si>
    <t>Albert Edward Shoyo</t>
  </si>
  <si>
    <t>Lomnyaki Ngoiseye Paroliani</t>
  </si>
  <si>
    <t>Leonard Bendera</t>
  </si>
  <si>
    <t>Lengoje Tukay</t>
  </si>
  <si>
    <t>Lea Adamu Mkumbo</t>
  </si>
  <si>
    <t>John Joseph Akonaay</t>
  </si>
  <si>
    <t>John Nikodemu Matias</t>
  </si>
  <si>
    <t>Datho Slaa Baha</t>
  </si>
  <si>
    <t>Starslause Nikodemu Matias</t>
  </si>
  <si>
    <t>Wilifred Wilibrord Slaa</t>
  </si>
  <si>
    <t>Paulo Lekaki Lawala</t>
  </si>
  <si>
    <t>Tsakwa Hamsi Slaa</t>
  </si>
  <si>
    <t>Sesilia Mamu</t>
  </si>
  <si>
    <t>Victoria Petro Akonaay</t>
  </si>
  <si>
    <t>Antony Leonce Sarwart</t>
  </si>
  <si>
    <t>Patrice Yake Matle</t>
  </si>
  <si>
    <t>Bertelemeo Akonaay Panga</t>
  </si>
  <si>
    <t>Frenk Nahamo karikari</t>
  </si>
  <si>
    <t>Phabian Michael Deli</t>
  </si>
  <si>
    <t>Ana Bay Ahhamay</t>
  </si>
  <si>
    <t>Aziza iddi karikari</t>
  </si>
  <si>
    <t>Bernadera Ignes Hoti</t>
  </si>
  <si>
    <t>Petro Kalist Hhayuma</t>
  </si>
  <si>
    <t>Selestiani Bilauri</t>
  </si>
  <si>
    <t>Marko Julias Yuda</t>
  </si>
  <si>
    <t>Bura Shamba Hitto</t>
  </si>
  <si>
    <t>Eludega Maiko Kwanga</t>
  </si>
  <si>
    <t>Samweli Sarga Gehai</t>
  </si>
  <si>
    <t>Regina Andrea Gwambu</t>
  </si>
  <si>
    <t>Philip Maiko Tluway</t>
  </si>
  <si>
    <t>Bura Domu Gwandu</t>
  </si>
  <si>
    <t>Paskali Ami Hirafai</t>
  </si>
  <si>
    <t>Pius Mulki Tsere</t>
  </si>
  <si>
    <t>Fabiola Martias Malde</t>
  </si>
  <si>
    <t>Paulina Silvini Lulu</t>
  </si>
  <si>
    <t>Paskali Ng'adi Masaku</t>
  </si>
  <si>
    <t>Fausta selestiani Panga</t>
  </si>
  <si>
    <t>Matias Dominic Patrice</t>
  </si>
  <si>
    <t>Simon Sikai Tango</t>
  </si>
  <si>
    <t>Nikodemu Nangalo Akonaay</t>
  </si>
  <si>
    <t>Rehema Iddi Hassan</t>
  </si>
  <si>
    <t>Masiweti Jacob Sabida</t>
  </si>
  <si>
    <t>Hamsi Hurtu Akonaay</t>
  </si>
  <si>
    <t>Petro lohay Akweso</t>
  </si>
  <si>
    <t>Batazari Petro Domeli</t>
  </si>
  <si>
    <t>Dotha Gitian Kwaru</t>
  </si>
  <si>
    <t>Sadikia Bombo Sarme</t>
  </si>
  <si>
    <t>Iddi Shabani Mgoro</t>
  </si>
  <si>
    <t>Josphat Juliani Josphati</t>
  </si>
  <si>
    <t>Fikira Mohamedi Amma</t>
  </si>
  <si>
    <t>John Maiko Tluway</t>
  </si>
  <si>
    <t>Paulo Joakim Kamara</t>
  </si>
  <si>
    <t>Joseph Nahamo Karikari</t>
  </si>
  <si>
    <t>Gabrieli Sikai Sige</t>
  </si>
  <si>
    <t>Marki Tiodori Sule</t>
  </si>
  <si>
    <t>Lazaro Maikani Mollel</t>
  </si>
  <si>
    <t>Martini Leonce Mwale</t>
  </si>
  <si>
    <t>Victor Boay Matay (Primary school)</t>
  </si>
  <si>
    <t>Primary school Orngadida</t>
  </si>
  <si>
    <t>Gabriel Leonce Sarwati</t>
  </si>
  <si>
    <t>Wilium Izraeli Barani</t>
  </si>
  <si>
    <t>Jonesia Kinanawa Kisima</t>
  </si>
  <si>
    <t>Shabani Hussen Mbisha</t>
  </si>
  <si>
    <t>Gabreli Leonce Sarwati</t>
  </si>
  <si>
    <t>Patrice Sisti Axweso</t>
  </si>
  <si>
    <t>Asteri Hermani Daho</t>
  </si>
  <si>
    <t>Benjamini Abrahamu lemaya</t>
  </si>
  <si>
    <t>Rozalia Harweri Ombay</t>
  </si>
  <si>
    <t>John Tipe Lohay</t>
  </si>
  <si>
    <t>Wema Ako Visent</t>
  </si>
  <si>
    <t>Rukia Mohamedi Bakari</t>
  </si>
  <si>
    <t>Sebastiani Ally Seneda</t>
  </si>
  <si>
    <t>Lucia Lulu Awe</t>
  </si>
  <si>
    <t>Doho Langai Mayo</t>
  </si>
  <si>
    <t>Hassan Hamisi Ngunda</t>
  </si>
  <si>
    <t>Hibambi Derom Kwanga</t>
  </si>
  <si>
    <t>Row Labels</t>
  </si>
  <si>
    <t>Grand Total</t>
  </si>
  <si>
    <t>435-46BT</t>
  </si>
  <si>
    <t>46BT</t>
  </si>
  <si>
    <t>Africa Rising</t>
  </si>
  <si>
    <t>Babati</t>
  </si>
  <si>
    <t>F1</t>
  </si>
  <si>
    <t>0-15</t>
  </si>
  <si>
    <t>I1</t>
  </si>
  <si>
    <t>592-435BT</t>
  </si>
  <si>
    <t>435BT</t>
  </si>
  <si>
    <t>Abas Mohamedi</t>
  </si>
  <si>
    <t>645-551BT</t>
  </si>
  <si>
    <t>551BT</t>
  </si>
  <si>
    <t>716-647BT</t>
  </si>
  <si>
    <t>647BT</t>
  </si>
  <si>
    <t>Tsamasi</t>
  </si>
  <si>
    <t>457-94BT</t>
  </si>
  <si>
    <t>94BT</t>
  </si>
  <si>
    <t>15-50</t>
  </si>
  <si>
    <t>285-283B</t>
  </si>
  <si>
    <t>283B</t>
  </si>
  <si>
    <t>ENDANACHAN</t>
  </si>
  <si>
    <t>200-113B</t>
  </si>
  <si>
    <t>113B</t>
  </si>
  <si>
    <t>Abel Michael</t>
  </si>
  <si>
    <t>606-469BT</t>
  </si>
  <si>
    <t>469BT</t>
  </si>
  <si>
    <t>253-219B</t>
  </si>
  <si>
    <t>219B</t>
  </si>
  <si>
    <t>550-337BT</t>
  </si>
  <si>
    <t>337BT</t>
  </si>
  <si>
    <t xml:space="preserve">Endanoga </t>
  </si>
  <si>
    <t>227-167B</t>
  </si>
  <si>
    <t>167B</t>
  </si>
  <si>
    <t>663-23BT</t>
  </si>
  <si>
    <t>23BT</t>
  </si>
  <si>
    <t>594-439BT</t>
  </si>
  <si>
    <t>439BT</t>
  </si>
  <si>
    <t>203-119B</t>
  </si>
  <si>
    <t>119B</t>
  </si>
  <si>
    <t>560-363BT</t>
  </si>
  <si>
    <t>363BT</t>
  </si>
  <si>
    <t>684-585BT</t>
  </si>
  <si>
    <t>585BT</t>
  </si>
  <si>
    <t>563-371BT</t>
  </si>
  <si>
    <t>371BT</t>
  </si>
  <si>
    <t>338-43B</t>
  </si>
  <si>
    <t>43B</t>
  </si>
  <si>
    <t>492-193BT</t>
  </si>
  <si>
    <t>193BT</t>
  </si>
  <si>
    <t>Endanachani</t>
  </si>
  <si>
    <t>353-79B</t>
  </si>
  <si>
    <t>79B</t>
  </si>
  <si>
    <t>468-135BT</t>
  </si>
  <si>
    <t>135BT</t>
  </si>
  <si>
    <t>526-277BT</t>
  </si>
  <si>
    <t>277BT</t>
  </si>
  <si>
    <t>675-577BT</t>
  </si>
  <si>
    <t>577BT</t>
  </si>
  <si>
    <t>330-27B</t>
  </si>
  <si>
    <t>27B</t>
  </si>
  <si>
    <t>587-423BT</t>
  </si>
  <si>
    <t>423BT</t>
  </si>
  <si>
    <t>319-3B</t>
  </si>
  <si>
    <t>3B</t>
  </si>
  <si>
    <t>546-327BT</t>
  </si>
  <si>
    <t>327BT</t>
  </si>
  <si>
    <t>540-311BT</t>
  </si>
  <si>
    <t>311BT</t>
  </si>
  <si>
    <t>659-184BT</t>
  </si>
  <si>
    <t>184BT</t>
  </si>
  <si>
    <t>501-218BT</t>
  </si>
  <si>
    <t>218BT</t>
  </si>
  <si>
    <t>241-195B</t>
  </si>
  <si>
    <t>195B</t>
  </si>
  <si>
    <t>616-491BT</t>
  </si>
  <si>
    <t>491BT</t>
  </si>
  <si>
    <t>209-131B</t>
  </si>
  <si>
    <t>131B</t>
  </si>
  <si>
    <t>688-593BT</t>
  </si>
  <si>
    <t>593BT</t>
  </si>
  <si>
    <t>648-559BT</t>
  </si>
  <si>
    <t>559BT</t>
  </si>
  <si>
    <t>646-555BT</t>
  </si>
  <si>
    <t>555BT</t>
  </si>
  <si>
    <t>199-111B</t>
  </si>
  <si>
    <t>111B</t>
  </si>
  <si>
    <t>197-107B</t>
  </si>
  <si>
    <t>107B</t>
  </si>
  <si>
    <t>273-259B</t>
  </si>
  <si>
    <t>259B</t>
  </si>
  <si>
    <t>Bruno Qalimi</t>
  </si>
  <si>
    <t>359-91B</t>
  </si>
  <si>
    <t>91B</t>
  </si>
  <si>
    <t>439-52BT</t>
  </si>
  <si>
    <t>52BT</t>
  </si>
  <si>
    <t>522-267BT</t>
  </si>
  <si>
    <t>267BT</t>
  </si>
  <si>
    <t>665-50BT</t>
  </si>
  <si>
    <t>50BT</t>
  </si>
  <si>
    <t>485-175BT</t>
  </si>
  <si>
    <t>175BT</t>
  </si>
  <si>
    <t>674-579BT</t>
  </si>
  <si>
    <t>579BT</t>
  </si>
  <si>
    <t>343-53B</t>
  </si>
  <si>
    <t>53B</t>
  </si>
  <si>
    <t>320-7B</t>
  </si>
  <si>
    <t>7B</t>
  </si>
  <si>
    <t>701-619BT</t>
  </si>
  <si>
    <t>619BT</t>
  </si>
  <si>
    <t>205-123B</t>
  </si>
  <si>
    <t>123B</t>
  </si>
  <si>
    <t>275-263B</t>
  </si>
  <si>
    <t>263B</t>
  </si>
  <si>
    <t>460-111BT</t>
  </si>
  <si>
    <t>111BT</t>
  </si>
  <si>
    <t>702-622BT</t>
  </si>
  <si>
    <t>622BT</t>
  </si>
  <si>
    <t>334-35B</t>
  </si>
  <si>
    <t>35B</t>
  </si>
  <si>
    <t>661-158BT</t>
  </si>
  <si>
    <t>158BT</t>
  </si>
  <si>
    <t>Rwasi</t>
  </si>
  <si>
    <t>Elbariki Sa</t>
  </si>
  <si>
    <t>233-179B</t>
  </si>
  <si>
    <t>179B</t>
  </si>
  <si>
    <t>Elizabeth Mhindi</t>
  </si>
  <si>
    <t>480-163BT</t>
  </si>
  <si>
    <t>163BT</t>
  </si>
  <si>
    <t>F2</t>
  </si>
  <si>
    <t>268-249B</t>
  </si>
  <si>
    <t>249B</t>
  </si>
  <si>
    <t>604-465BT</t>
  </si>
  <si>
    <t>465BT</t>
  </si>
  <si>
    <t>499-207BT</t>
  </si>
  <si>
    <t>207BT</t>
  </si>
  <si>
    <t>251-215B</t>
  </si>
  <si>
    <t>215B</t>
  </si>
  <si>
    <t>257-227B</t>
  </si>
  <si>
    <t>227B</t>
  </si>
  <si>
    <t>531-289BT</t>
  </si>
  <si>
    <t>289BT</t>
  </si>
  <si>
    <t>459-98BT</t>
  </si>
  <si>
    <t>98BT</t>
  </si>
  <si>
    <t>261- 235B</t>
  </si>
  <si>
    <t>235B</t>
  </si>
  <si>
    <t>490-190BT</t>
  </si>
  <si>
    <t>190BT</t>
  </si>
  <si>
    <t>Fedrich Dawida</t>
  </si>
  <si>
    <t>255-223B</t>
  </si>
  <si>
    <t>223B</t>
  </si>
  <si>
    <t>690-597BT</t>
  </si>
  <si>
    <t>597BT</t>
  </si>
  <si>
    <t>340-47B</t>
  </si>
  <si>
    <t>47B</t>
  </si>
  <si>
    <t>235-183B</t>
  </si>
  <si>
    <t>183B</t>
  </si>
  <si>
    <t>544-323BT</t>
  </si>
  <si>
    <t>323BT</t>
  </si>
  <si>
    <t>245-203B</t>
  </si>
  <si>
    <t>203B</t>
  </si>
  <si>
    <t>469-136BT</t>
  </si>
  <si>
    <t>136BT</t>
  </si>
  <si>
    <t>699-615BT</t>
  </si>
  <si>
    <t>615BT</t>
  </si>
  <si>
    <t>500-208BT</t>
  </si>
  <si>
    <t>208BT</t>
  </si>
  <si>
    <t>598-447BT</t>
  </si>
  <si>
    <t>447BT</t>
  </si>
  <si>
    <t>458-95BT</t>
  </si>
  <si>
    <t>95BT</t>
  </si>
  <si>
    <t>602-457BT</t>
  </si>
  <si>
    <t>457BT</t>
  </si>
  <si>
    <t>653-281BT</t>
  </si>
  <si>
    <t>281BT</t>
  </si>
  <si>
    <t>505-230BT</t>
  </si>
  <si>
    <t>230BT</t>
  </si>
  <si>
    <t>660-176BT</t>
  </si>
  <si>
    <t>176BT</t>
  </si>
  <si>
    <t>541-315BT</t>
  </si>
  <si>
    <t>315BT</t>
  </si>
  <si>
    <t>718-650BT</t>
  </si>
  <si>
    <t>650BT</t>
  </si>
  <si>
    <t>569-383BT</t>
  </si>
  <si>
    <t>383BT</t>
  </si>
  <si>
    <t>511-243BT</t>
  </si>
  <si>
    <t>243BT</t>
  </si>
  <si>
    <t>421-3BT</t>
  </si>
  <si>
    <t>3BT</t>
  </si>
  <si>
    <t>Fi</t>
  </si>
  <si>
    <t>634-529BT</t>
  </si>
  <si>
    <t>529BT</t>
  </si>
  <si>
    <t>Hitambe P/school</t>
  </si>
  <si>
    <t>664-33BT</t>
  </si>
  <si>
    <t>33BT</t>
  </si>
  <si>
    <t>524-273BT</t>
  </si>
  <si>
    <t>273BT</t>
  </si>
  <si>
    <t>621-503BT</t>
  </si>
  <si>
    <t>503BT</t>
  </si>
  <si>
    <t>517-259BT</t>
  </si>
  <si>
    <t>259BT</t>
  </si>
  <si>
    <t>Iddi Salimu Shabani</t>
  </si>
  <si>
    <t>680-567BT</t>
  </si>
  <si>
    <t>567BT</t>
  </si>
  <si>
    <t>281-275B</t>
  </si>
  <si>
    <t>275B</t>
  </si>
  <si>
    <t>213-139B</t>
  </si>
  <si>
    <t>139B</t>
  </si>
  <si>
    <t>614-487BT</t>
  </si>
  <si>
    <t>487BT</t>
  </si>
  <si>
    <t>223-159B</t>
  </si>
  <si>
    <t>159B</t>
  </si>
  <si>
    <t>269-251B</t>
  </si>
  <si>
    <t>251B</t>
  </si>
  <si>
    <t>529-285BT</t>
  </si>
  <si>
    <t>285BT</t>
  </si>
  <si>
    <t>243-199B</t>
  </si>
  <si>
    <t>199B</t>
  </si>
  <si>
    <t>556-349BT</t>
  </si>
  <si>
    <t>349BT</t>
  </si>
  <si>
    <t>342-51B</t>
  </si>
  <si>
    <t>51B</t>
  </si>
  <si>
    <t>711-636BT</t>
  </si>
  <si>
    <t>636BT</t>
  </si>
  <si>
    <t>440-56BT</t>
  </si>
  <si>
    <t>56BT</t>
  </si>
  <si>
    <t>558-353BT</t>
  </si>
  <si>
    <t>353BT</t>
  </si>
  <si>
    <t>471-138BT</t>
  </si>
  <si>
    <t>138BT</t>
  </si>
  <si>
    <t>465-126BT</t>
  </si>
  <si>
    <t>126BT</t>
  </si>
  <si>
    <t>Organdida</t>
  </si>
  <si>
    <t>434-44BT</t>
  </si>
  <si>
    <t>44BT</t>
  </si>
  <si>
    <t>619-499BT</t>
  </si>
  <si>
    <t>499BT</t>
  </si>
  <si>
    <t>350-67B</t>
  </si>
  <si>
    <t>67B</t>
  </si>
  <si>
    <t>612-483BT</t>
  </si>
  <si>
    <t>483BT</t>
  </si>
  <si>
    <t>272-257B</t>
  </si>
  <si>
    <t>257B</t>
  </si>
  <si>
    <t>279-271B</t>
  </si>
  <si>
    <t>271B</t>
  </si>
  <si>
    <t>503-227BT</t>
  </si>
  <si>
    <t>227BT</t>
  </si>
  <si>
    <t>579-405BT</t>
  </si>
  <si>
    <t>405BT</t>
  </si>
  <si>
    <t>608-473BT</t>
  </si>
  <si>
    <t>473BT</t>
  </si>
  <si>
    <t>639-543BT</t>
  </si>
  <si>
    <t>543BT</t>
  </si>
  <si>
    <t>239-191B</t>
  </si>
  <si>
    <t>191B</t>
  </si>
  <si>
    <t>452-85BT</t>
  </si>
  <si>
    <t>85BT</t>
  </si>
  <si>
    <t>357-87B</t>
  </si>
  <si>
    <t>87B</t>
  </si>
  <si>
    <t>195-103B</t>
  </si>
  <si>
    <t>103B</t>
  </si>
  <si>
    <t>548-333BT</t>
  </si>
  <si>
    <t>333BT</t>
  </si>
  <si>
    <t>387BT</t>
  </si>
  <si>
    <t>575-387BT</t>
  </si>
  <si>
    <t>456-93BT</t>
  </si>
  <si>
    <t>93BT</t>
  </si>
  <si>
    <t>695-607BT</t>
  </si>
  <si>
    <t>607BT</t>
  </si>
  <si>
    <t>479-162BT</t>
  </si>
  <si>
    <t>162BT</t>
  </si>
  <si>
    <t>219-151B</t>
  </si>
  <si>
    <t>151B</t>
  </si>
  <si>
    <t>696-609BT</t>
  </si>
  <si>
    <t>609BT</t>
  </si>
  <si>
    <t>584-417BT</t>
  </si>
  <si>
    <t>417BT</t>
  </si>
  <si>
    <t>586-421BT</t>
  </si>
  <si>
    <t>421BT</t>
  </si>
  <si>
    <t>449-79BT</t>
  </si>
  <si>
    <t>79BT</t>
  </si>
  <si>
    <t>322-11B</t>
  </si>
  <si>
    <t>11B</t>
  </si>
  <si>
    <t>332-31B</t>
  </si>
  <si>
    <t>31B</t>
  </si>
  <si>
    <t>473-140BT</t>
  </si>
  <si>
    <t>140BT</t>
  </si>
  <si>
    <t>698-613BT</t>
  </si>
  <si>
    <t>613BT</t>
  </si>
  <si>
    <t>535-297BT</t>
  </si>
  <si>
    <t>297BT</t>
  </si>
  <si>
    <t>632-525BT</t>
  </si>
  <si>
    <t>525BT</t>
  </si>
  <si>
    <t>508-233BT</t>
  </si>
  <si>
    <t>233BT</t>
  </si>
  <si>
    <t>470-137BT</t>
  </si>
  <si>
    <t>137BT</t>
  </si>
  <si>
    <t>Mapita Issa</t>
  </si>
  <si>
    <t>355-83B</t>
  </si>
  <si>
    <t>83B</t>
  </si>
  <si>
    <t>641-477BT</t>
  </si>
  <si>
    <t>477BT</t>
  </si>
  <si>
    <t>686-589BT</t>
  </si>
  <si>
    <t>589BT</t>
  </si>
  <si>
    <t>462-114BT</t>
  </si>
  <si>
    <t>114BT</t>
  </si>
  <si>
    <t>200BT</t>
  </si>
  <si>
    <t>657-200BT</t>
  </si>
  <si>
    <t>476-150BT</t>
  </si>
  <si>
    <t>150BT</t>
  </si>
  <si>
    <t>207-127B</t>
  </si>
  <si>
    <t>127B</t>
  </si>
  <si>
    <t>193-99B</t>
  </si>
  <si>
    <t>99B</t>
  </si>
  <si>
    <t>581-409BT</t>
  </si>
  <si>
    <t>409BT</t>
  </si>
  <si>
    <t>432-31BT</t>
  </si>
  <si>
    <t>31BT</t>
  </si>
  <si>
    <t>336-39B</t>
  </si>
  <si>
    <t>39B</t>
  </si>
  <si>
    <t>347-61B</t>
  </si>
  <si>
    <t>61B</t>
  </si>
  <si>
    <t>483-172BT</t>
  </si>
  <si>
    <t>172BT</t>
  </si>
  <si>
    <t>710-634BT</t>
  </si>
  <si>
    <t>634BT</t>
  </si>
  <si>
    <t>445-66BT</t>
  </si>
  <si>
    <t>66BT</t>
  </si>
  <si>
    <t>717-648BT</t>
  </si>
  <si>
    <t>648BT</t>
  </si>
  <si>
    <t>249-211B</t>
  </si>
  <si>
    <t>211B</t>
  </si>
  <si>
    <t>282-277B</t>
  </si>
  <si>
    <t>277B</t>
  </si>
  <si>
    <t>589-427BT</t>
  </si>
  <si>
    <t>427BT</t>
  </si>
  <si>
    <t>565-375BT</t>
  </si>
  <si>
    <t>375BT</t>
  </si>
  <si>
    <t>259-231B</t>
  </si>
  <si>
    <t>231B</t>
  </si>
  <si>
    <t>624-507BT</t>
  </si>
  <si>
    <t>507BT</t>
  </si>
  <si>
    <t>426-13BT</t>
  </si>
  <si>
    <t>13BT</t>
  </si>
  <si>
    <t>687-591BT</t>
  </si>
  <si>
    <t>591BT</t>
  </si>
  <si>
    <t>700-617BT</t>
  </si>
  <si>
    <t>617BT</t>
  </si>
  <si>
    <t>240-193B</t>
  </si>
  <si>
    <t>193B</t>
  </si>
  <si>
    <t>519-263BT</t>
  </si>
  <si>
    <t>263BT</t>
  </si>
  <si>
    <t>567-379BT</t>
  </si>
  <si>
    <t>379BT</t>
  </si>
  <si>
    <t>574-393BT</t>
  </si>
  <si>
    <t>393BT</t>
  </si>
  <si>
    <t>654-254BT</t>
  </si>
  <si>
    <t>254BT</t>
  </si>
  <si>
    <t>644-553BT</t>
  </si>
  <si>
    <t>553BT</t>
  </si>
  <si>
    <t>348-63B</t>
  </si>
  <si>
    <t>63B</t>
  </si>
  <si>
    <t>263-239B</t>
  </si>
  <si>
    <t>239B</t>
  </si>
  <si>
    <t>693-603BT</t>
  </si>
  <si>
    <t>603BT</t>
  </si>
  <si>
    <t>194-101B</t>
  </si>
  <si>
    <t>101B</t>
  </si>
  <si>
    <t>Paulo Ingi</t>
  </si>
  <si>
    <t>225-163B</t>
  </si>
  <si>
    <t>163B</t>
  </si>
  <si>
    <t>692-601BT</t>
  </si>
  <si>
    <t>601BT</t>
  </si>
  <si>
    <t>496-203BT</t>
  </si>
  <si>
    <t>203BT</t>
  </si>
  <si>
    <t>467-133BT</t>
  </si>
  <si>
    <t>133BT</t>
  </si>
  <si>
    <t>683-583BT</t>
  </si>
  <si>
    <t>583BT</t>
  </si>
  <si>
    <t>237-187B</t>
  </si>
  <si>
    <t>187B</t>
  </si>
  <si>
    <t>229-171B</t>
  </si>
  <si>
    <t>171B</t>
  </si>
  <si>
    <t>690-595</t>
  </si>
  <si>
    <t>595BT</t>
  </si>
  <si>
    <t>265BT</t>
  </si>
  <si>
    <t>521-265BT</t>
  </si>
  <si>
    <t>685-587BT</t>
  </si>
  <si>
    <t>587BT</t>
  </si>
  <si>
    <t xml:space="preserve">Philibert hassan </t>
  </si>
  <si>
    <t>713-642BT</t>
  </si>
  <si>
    <t>642BT</t>
  </si>
  <si>
    <t>625-513BT</t>
  </si>
  <si>
    <t>513BT</t>
  </si>
  <si>
    <t>451-82BT</t>
  </si>
  <si>
    <t>82BT</t>
  </si>
  <si>
    <t>552-341BT</t>
  </si>
  <si>
    <t>341BT</t>
  </si>
  <si>
    <t>720-652BT</t>
  </si>
  <si>
    <t>652BT</t>
  </si>
  <si>
    <t>442-58BT</t>
  </si>
  <si>
    <t>58BT</t>
  </si>
  <si>
    <t>554-345BT</t>
  </si>
  <si>
    <t>345BT</t>
  </si>
  <si>
    <t>677-573BT</t>
  </si>
  <si>
    <t>573BT</t>
  </si>
  <si>
    <t>537-303BT</t>
  </si>
  <si>
    <t>303BT</t>
  </si>
  <si>
    <t>637-537BT</t>
  </si>
  <si>
    <t>537BT</t>
  </si>
  <si>
    <t>328-23B</t>
  </si>
  <si>
    <t>23B</t>
  </si>
  <si>
    <t>577-401BT</t>
  </si>
  <si>
    <t>401BT</t>
  </si>
  <si>
    <t>542-319BT</t>
  </si>
  <si>
    <t>319BT</t>
  </si>
  <si>
    <t>681-565BT</t>
  </si>
  <si>
    <t>565BT</t>
  </si>
  <si>
    <t>Salimu Shaban</t>
  </si>
  <si>
    <t>583-413BT</t>
  </si>
  <si>
    <t>413BT</t>
  </si>
  <si>
    <t>265-243B</t>
  </si>
  <si>
    <t>243B</t>
  </si>
  <si>
    <t>617-495BT</t>
  </si>
  <si>
    <t>495BT</t>
  </si>
  <si>
    <t>682-563BT</t>
  </si>
  <si>
    <t>563BT</t>
  </si>
  <si>
    <t>691-599BT</t>
  </si>
  <si>
    <t>599BT</t>
  </si>
  <si>
    <t>694-605BT</t>
  </si>
  <si>
    <t>605BT</t>
  </si>
  <si>
    <t>446-67BT</t>
  </si>
  <si>
    <t>67BT</t>
  </si>
  <si>
    <t>215-143B</t>
  </si>
  <si>
    <t>143B</t>
  </si>
  <si>
    <t>324-15B</t>
  </si>
  <si>
    <t>15B</t>
  </si>
  <si>
    <t>221-155B</t>
  </si>
  <si>
    <t>155B</t>
  </si>
  <si>
    <t>211-135B</t>
  </si>
  <si>
    <t>135B</t>
  </si>
  <si>
    <t>217-147B</t>
  </si>
  <si>
    <t>147B</t>
  </si>
  <si>
    <t>601-453BT</t>
  </si>
  <si>
    <t>453BT</t>
  </si>
  <si>
    <t>498-205BT</t>
  </si>
  <si>
    <t>205BT</t>
  </si>
  <si>
    <t>450-81BT</t>
  </si>
  <si>
    <t>81BT</t>
  </si>
  <si>
    <t>423-5BT</t>
  </si>
  <si>
    <t>5BT</t>
  </si>
  <si>
    <t>512-247BT</t>
  </si>
  <si>
    <t>247BT</t>
  </si>
  <si>
    <t>636-533BT</t>
  </si>
  <si>
    <t>533BT</t>
  </si>
  <si>
    <t>201-115B</t>
  </si>
  <si>
    <t>115B</t>
  </si>
  <si>
    <t>Tsaqwa Amsi</t>
  </si>
  <si>
    <t>722-106BT</t>
  </si>
  <si>
    <t>106BT</t>
  </si>
  <si>
    <t>339-45B</t>
  </si>
  <si>
    <t>45B</t>
  </si>
  <si>
    <t>673-581BT</t>
  </si>
  <si>
    <t>581BT</t>
  </si>
  <si>
    <t>697-611BT</t>
  </si>
  <si>
    <t>611BT</t>
  </si>
  <si>
    <t>427-16BT</t>
  </si>
  <si>
    <t>16BT</t>
  </si>
  <si>
    <t>484-174BT</t>
  </si>
  <si>
    <t>174BT</t>
  </si>
  <si>
    <t>283-279B</t>
  </si>
  <si>
    <t>279B</t>
  </si>
  <si>
    <t>714-644BT</t>
  </si>
  <si>
    <t>644BT</t>
  </si>
  <si>
    <t>477-151BT</t>
  </si>
  <si>
    <t>151BT</t>
  </si>
  <si>
    <t>231-175B</t>
  </si>
  <si>
    <t>175B</t>
  </si>
  <si>
    <t>247-207B</t>
  </si>
  <si>
    <t>207B</t>
  </si>
  <si>
    <t>630-521BT</t>
  </si>
  <si>
    <t>521BT</t>
  </si>
  <si>
    <t>668-105BT</t>
  </si>
  <si>
    <t>105BT</t>
  </si>
  <si>
    <t>596-443BT</t>
  </si>
  <si>
    <t>443BT</t>
  </si>
  <si>
    <t>Code</t>
  </si>
  <si>
    <t>Number</t>
  </si>
  <si>
    <t>TrtCode</t>
  </si>
  <si>
    <t>Project</t>
  </si>
  <si>
    <t>Country</t>
  </si>
  <si>
    <t>Trt</t>
  </si>
  <si>
    <t>Depth</t>
  </si>
  <si>
    <t>Absorbance</t>
  </si>
  <si>
    <t>FP_tN</t>
  </si>
  <si>
    <t>FP_SOC</t>
  </si>
  <si>
    <t>FP_CN</t>
  </si>
  <si>
    <t>IP_tN</t>
  </si>
  <si>
    <t>IP_SOC</t>
  </si>
  <si>
    <t>IP_CN</t>
  </si>
  <si>
    <t>Paulo Ingii</t>
  </si>
  <si>
    <t>Eduward Tarmo Yuructa</t>
  </si>
  <si>
    <t>IP_Yld</t>
  </si>
  <si>
    <t>FP_Yld</t>
  </si>
  <si>
    <t>Active C_FP</t>
  </si>
  <si>
    <t>Active C_IP</t>
  </si>
  <si>
    <t>Delta_C</t>
  </si>
  <si>
    <t>Delta_Yld</t>
  </si>
  <si>
    <t>max</t>
  </si>
  <si>
    <t>min</t>
  </si>
  <si>
    <t>LandForm</t>
  </si>
  <si>
    <t>SlopeDEM</t>
  </si>
  <si>
    <t>SlopePos</t>
  </si>
  <si>
    <t>TPI</t>
  </si>
  <si>
    <t>WI</t>
  </si>
  <si>
    <t>Plains</t>
  </si>
  <si>
    <t>Toeslope</t>
  </si>
  <si>
    <t>Flat</t>
  </si>
  <si>
    <t>Open slopes</t>
  </si>
  <si>
    <t>Midslope drainages</t>
  </si>
  <si>
    <t>Valley</t>
  </si>
  <si>
    <t>Upper slope</t>
  </si>
  <si>
    <t>Midslope</t>
  </si>
  <si>
    <t>Valleys</t>
  </si>
  <si>
    <t>Upper slopes</t>
  </si>
  <si>
    <t>High ridges</t>
  </si>
  <si>
    <t>Ridge</t>
  </si>
  <si>
    <t>Midslope ridges</t>
  </si>
  <si>
    <t>Streams</t>
  </si>
  <si>
    <t>IP 2017</t>
  </si>
  <si>
    <t>LL</t>
  </si>
  <si>
    <t>UL</t>
  </si>
  <si>
    <t>FP_recall (2016)</t>
  </si>
  <si>
    <t>Wealth_I</t>
  </si>
  <si>
    <t>InFlow</t>
  </si>
  <si>
    <t>OutFlow</t>
  </si>
  <si>
    <t>Bootstrap Yield from variety trials</t>
  </si>
  <si>
    <t>Yield</t>
  </si>
  <si>
    <t>low</t>
  </si>
  <si>
    <t>high</t>
  </si>
  <si>
    <t>Minjingu Mazao</t>
  </si>
  <si>
    <t>Average yield and standard deviation for coupon farmers</t>
  </si>
  <si>
    <t>Modified farmer practice</t>
  </si>
  <si>
    <t>Improved practice (+ fertilizer)</t>
  </si>
  <si>
    <t>Farmers practice</t>
  </si>
  <si>
    <t>FP 2017</t>
  </si>
  <si>
    <t>FP 2016</t>
  </si>
  <si>
    <t>IP 2016</t>
  </si>
  <si>
    <t>Slope</t>
  </si>
  <si>
    <t>seloto</t>
  </si>
  <si>
    <r>
      <t>Hitema secondary school(</t>
    </r>
    <r>
      <rPr>
        <sz val="10"/>
        <color rgb="FFFF0000"/>
        <rFont val="Arial"/>
        <family val="2"/>
      </rPr>
      <t>Leonce sirili Sule</t>
    </r>
    <r>
      <rPr>
        <sz val="10"/>
        <rFont val="Arial"/>
        <family val="2"/>
      </rPr>
      <t>)</t>
    </r>
  </si>
  <si>
    <t>FP_ActiveC</t>
  </si>
  <si>
    <t>IP_ActiveC</t>
  </si>
  <si>
    <t>FP_TC</t>
  </si>
  <si>
    <t>IP_TC</t>
  </si>
  <si>
    <t>DH_Class</t>
  </si>
  <si>
    <t>Flow</t>
  </si>
  <si>
    <t>Land</t>
  </si>
  <si>
    <t>Landtot</t>
  </si>
  <si>
    <t>Livestock</t>
  </si>
  <si>
    <t>Wealth</t>
  </si>
  <si>
    <t>Flows1</t>
  </si>
  <si>
    <t>WealthClass</t>
  </si>
  <si>
    <t>Low</t>
  </si>
  <si>
    <t>Medium</t>
  </si>
  <si>
    <t>High</t>
  </si>
  <si>
    <t>LivestockClass</t>
  </si>
  <si>
    <t>very low</t>
  </si>
  <si>
    <t>OR_Flows</t>
  </si>
  <si>
    <t>Cdiff</t>
  </si>
  <si>
    <t>YldDiff</t>
  </si>
  <si>
    <t>GM_Mz</t>
  </si>
  <si>
    <t>GM_PP</t>
  </si>
  <si>
    <t>GM_Bean</t>
  </si>
  <si>
    <t>Cost_Manu</t>
  </si>
  <si>
    <t>GrossMargin</t>
  </si>
  <si>
    <t>GM_2016_Recall</t>
  </si>
  <si>
    <t>OffField feed</t>
  </si>
  <si>
    <t>InField feed</t>
  </si>
  <si>
    <t>CR_Uses</t>
  </si>
  <si>
    <t>Average of Av_FP</t>
  </si>
  <si>
    <t>CR_Uses_O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</si>
</sst>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4"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9"/>
      <color indexed="81"/>
      <name val="Tahoma"/>
      <family val="2"/>
    </font>
    <font>
      <b/>
      <sz val="9"/>
      <color indexed="81"/>
      <name val="Tahoma"/>
      <family val="2"/>
    </font>
    <font>
      <sz val="10"/>
      <name val="Arial"/>
      <family val="2"/>
    </font>
    <font>
      <sz val="10"/>
      <color rgb="FFFF0000"/>
      <name val="Arial"/>
      <family val="2"/>
    </font>
    <font>
      <sz val="11"/>
      <color theme="1"/>
      <name val="Times New Roman"/>
      <family val="1"/>
    </font>
    <font>
      <sz val="11"/>
      <color theme="1"/>
      <name val="Calibri"/>
      <family val="2"/>
      <scheme val="minor"/>
    </font>
    <font>
      <sz val="10"/>
      <name val="Arial"/>
      <family val="2"/>
    </font>
    <font>
      <sz val="11"/>
      <name val="Verdana"/>
      <family val="2"/>
    </font>
    <font>
      <b/>
      <sz val="9"/>
      <color rgb="FF000000"/>
      <name val="Tahoma"/>
      <family val="2"/>
    </font>
    <font>
      <sz val="9"/>
      <color rgb="FF000000"/>
      <name val="Tahoma"/>
      <family val="2"/>
    </font>
  </fonts>
  <fills count="19">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
      <patternFill patternType="solid">
        <fgColor theme="5" tint="-0.249977111117893"/>
        <bgColor indexed="64"/>
      </patternFill>
    </fill>
    <fill>
      <patternFill patternType="solid">
        <fgColor theme="7" tint="0.39997558519241921"/>
        <bgColor indexed="64"/>
      </patternFill>
    </fill>
    <fill>
      <patternFill patternType="solid">
        <fgColor rgb="FF92D050"/>
        <bgColor indexed="64"/>
      </patternFill>
    </fill>
    <fill>
      <patternFill patternType="solid">
        <fgColor theme="6" tint="-0.499984740745262"/>
        <bgColor indexed="64"/>
      </patternFill>
    </fill>
    <fill>
      <patternFill patternType="solid">
        <fgColor rgb="FF7030A0"/>
        <bgColor indexed="64"/>
      </patternFill>
    </fill>
    <fill>
      <patternFill patternType="solid">
        <fgColor theme="4" tint="0.79998168889431442"/>
        <bgColor indexed="64"/>
      </patternFill>
    </fill>
    <fill>
      <patternFill patternType="solid">
        <fgColor theme="7" tint="0.79998168889431442"/>
        <bgColor indexed="64"/>
      </patternFill>
    </fill>
  </fills>
  <borders count="1">
    <border>
      <left/>
      <right/>
      <top/>
      <bottom/>
      <diagonal/>
    </border>
  </borders>
  <cellStyleXfs count="4">
    <xf numFmtId="0" fontId="0" fillId="0" borderId="0"/>
    <xf numFmtId="0" fontId="6" fillId="0" borderId="0"/>
    <xf numFmtId="0" fontId="9" fillId="0" borderId="0"/>
    <xf numFmtId="0" fontId="10" fillId="0" borderId="0"/>
  </cellStyleXfs>
  <cellXfs count="68">
    <xf numFmtId="0" fontId="0" fillId="0" borderId="0" xfId="0"/>
    <xf numFmtId="0" fontId="0" fillId="4" borderId="0" xfId="0" applyFill="1"/>
    <xf numFmtId="0" fontId="0" fillId="5" borderId="0" xfId="0" applyFill="1"/>
    <xf numFmtId="0" fontId="1" fillId="2" borderId="0" xfId="0" applyFont="1" applyFill="1"/>
    <xf numFmtId="0" fontId="0" fillId="6" borderId="0" xfId="0" applyFill="1"/>
    <xf numFmtId="0" fontId="0" fillId="0" borderId="0" xfId="0" applyAlignment="1">
      <alignment horizontal="right"/>
    </xf>
    <xf numFmtId="0" fontId="0" fillId="8" borderId="0" xfId="0" applyFill="1"/>
    <xf numFmtId="0" fontId="1" fillId="8" borderId="0" xfId="0" applyFont="1" applyFill="1"/>
    <xf numFmtId="0" fontId="0" fillId="9" borderId="0" xfId="0" applyFill="1"/>
    <xf numFmtId="0" fontId="1" fillId="3" borderId="0" xfId="0" applyFont="1" applyFill="1"/>
    <xf numFmtId="0" fontId="2" fillId="0" borderId="0" xfId="0" applyFont="1"/>
    <xf numFmtId="0" fontId="0" fillId="11" borderId="0" xfId="0" applyFill="1"/>
    <xf numFmtId="0" fontId="0" fillId="2" borderId="0" xfId="0" applyFill="1"/>
    <xf numFmtId="0" fontId="3" fillId="0" borderId="0" xfId="0" applyFont="1"/>
    <xf numFmtId="0" fontId="1" fillId="0" borderId="0" xfId="0" applyFont="1"/>
    <xf numFmtId="0" fontId="0" fillId="3" borderId="0" xfId="0" applyFill="1"/>
    <xf numFmtId="0" fontId="0" fillId="7" borderId="0" xfId="0" applyFill="1"/>
    <xf numFmtId="0" fontId="0" fillId="10" borderId="0" xfId="0" applyFill="1"/>
    <xf numFmtId="0" fontId="6" fillId="0" borderId="0" xfId="0" applyFont="1"/>
    <xf numFmtId="0" fontId="3" fillId="3" borderId="0" xfId="0" applyFont="1" applyFill="1"/>
    <xf numFmtId="0" fontId="1" fillId="7" borderId="0" xfId="0" applyFont="1" applyFill="1"/>
    <xf numFmtId="2" fontId="0" fillId="0" borderId="0" xfId="0" applyNumberFormat="1"/>
    <xf numFmtId="0" fontId="2" fillId="9" borderId="0" xfId="0" applyFont="1" applyFill="1"/>
    <xf numFmtId="2" fontId="0" fillId="9" borderId="0" xfId="0" applyNumberFormat="1" applyFill="1"/>
    <xf numFmtId="0" fontId="0" fillId="12" borderId="0" xfId="0" applyFill="1"/>
    <xf numFmtId="0" fontId="0" fillId="13" borderId="0" xfId="0" applyFill="1"/>
    <xf numFmtId="0" fontId="0" fillId="14" borderId="0" xfId="0" applyFill="1"/>
    <xf numFmtId="0" fontId="0" fillId="15" borderId="0" xfId="0" applyFill="1"/>
    <xf numFmtId="0" fontId="0" fillId="16" borderId="0" xfId="0" applyFill="1"/>
    <xf numFmtId="0" fontId="6" fillId="0" borderId="0" xfId="1"/>
    <xf numFmtId="0" fontId="6" fillId="3" borderId="0" xfId="1" applyFill="1"/>
    <xf numFmtId="22" fontId="6" fillId="0" borderId="0" xfId="1" applyNumberFormat="1"/>
    <xf numFmtId="14" fontId="6" fillId="0" borderId="0" xfId="1" applyNumberFormat="1"/>
    <xf numFmtId="0" fontId="6" fillId="7" borderId="0" xfId="1" applyFill="1"/>
    <xf numFmtId="0" fontId="6" fillId="2" borderId="0" xfId="1" applyFill="1"/>
    <xf numFmtId="22" fontId="6" fillId="2" borderId="0" xfId="1" applyNumberFormat="1" applyFill="1"/>
    <xf numFmtId="14" fontId="6" fillId="2" borderId="0" xfId="1" applyNumberFormat="1" applyFill="1"/>
    <xf numFmtId="22" fontId="6" fillId="7" borderId="0" xfId="1" applyNumberFormat="1" applyFill="1"/>
    <xf numFmtId="14" fontId="6" fillId="7" borderId="0" xfId="1" applyNumberFormat="1" applyFill="1"/>
    <xf numFmtId="0" fontId="6" fillId="4" borderId="0" xfId="1" applyFill="1"/>
    <xf numFmtId="0" fontId="6" fillId="13" borderId="0" xfId="1" applyFill="1"/>
    <xf numFmtId="0" fontId="7" fillId="0" borderId="0" xfId="1" applyFont="1"/>
    <xf numFmtId="2" fontId="1" fillId="0" borderId="0" xfId="0" applyNumberFormat="1" applyFont="1"/>
    <xf numFmtId="2" fontId="6" fillId="0" borderId="0" xfId="1" applyNumberFormat="1"/>
    <xf numFmtId="2" fontId="6" fillId="16" borderId="0" xfId="1" applyNumberFormat="1" applyFill="1"/>
    <xf numFmtId="0" fontId="8" fillId="0" borderId="0" xfId="0" applyFont="1"/>
    <xf numFmtId="0" fontId="0" fillId="0" borderId="0" xfId="0" pivotButton="1"/>
    <xf numFmtId="0" fontId="0" fillId="0" borderId="0" xfId="0" applyAlignment="1">
      <alignment horizontal="left"/>
    </xf>
    <xf numFmtId="164" fontId="0" fillId="0" borderId="0" xfId="0" applyNumberFormat="1"/>
    <xf numFmtId="164" fontId="1" fillId="0" borderId="0" xfId="0" applyNumberFormat="1" applyFont="1"/>
    <xf numFmtId="2" fontId="0" fillId="2" borderId="0" xfId="0" applyNumberFormat="1" applyFill="1"/>
    <xf numFmtId="0" fontId="9" fillId="0" borderId="0" xfId="2"/>
    <xf numFmtId="0" fontId="9" fillId="0" borderId="0" xfId="2" quotePrefix="1"/>
    <xf numFmtId="0" fontId="11" fillId="0" borderId="0" xfId="3" applyFont="1"/>
    <xf numFmtId="0" fontId="10" fillId="0" borderId="0" xfId="3"/>
    <xf numFmtId="2" fontId="10" fillId="0" borderId="0" xfId="3" applyNumberFormat="1"/>
    <xf numFmtId="2" fontId="6" fillId="2" borderId="0" xfId="1" applyNumberFormat="1" applyFill="1"/>
    <xf numFmtId="0" fontId="6" fillId="6" borderId="0" xfId="1" applyFill="1"/>
    <xf numFmtId="22" fontId="6" fillId="6" borderId="0" xfId="1" applyNumberFormat="1" applyFill="1"/>
    <xf numFmtId="14" fontId="6" fillId="6" borderId="0" xfId="1" applyNumberFormat="1" applyFill="1"/>
    <xf numFmtId="2" fontId="6" fillId="6" borderId="0" xfId="1" applyNumberFormat="1" applyFill="1"/>
    <xf numFmtId="0" fontId="6" fillId="17" borderId="0" xfId="1" applyFill="1"/>
    <xf numFmtId="2" fontId="6" fillId="3" borderId="0" xfId="1" applyNumberFormat="1" applyFill="1"/>
    <xf numFmtId="2" fontId="6" fillId="7" borderId="0" xfId="1" applyNumberFormat="1" applyFill="1"/>
    <xf numFmtId="1" fontId="6" fillId="3" borderId="0" xfId="1" applyNumberFormat="1" applyFill="1"/>
    <xf numFmtId="0" fontId="7" fillId="6" borderId="0" xfId="1" applyFont="1" applyFill="1"/>
    <xf numFmtId="0" fontId="7" fillId="17" borderId="0" xfId="1" applyFont="1" applyFill="1"/>
    <xf numFmtId="0" fontId="6" fillId="18" borderId="0" xfId="1" applyFill="1"/>
  </cellXfs>
  <cellStyles count="4">
    <cellStyle name="Normal" xfId="0" builtinId="0"/>
    <cellStyle name="Normal 2" xfId="1" xr:uid="{00000000-0005-0000-0000-000002000000}"/>
    <cellStyle name="Normal 3" xfId="3" xr:uid="{00000000-0005-0000-0000-000003000000}"/>
    <cellStyle name="Normal 5" xfId="2"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9.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hartsheet" Target="chartsheets/sheet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Sheet2!$K$2:$K$206</c:f>
              <c:numCache>
                <c:formatCode>0.0</c:formatCode>
                <c:ptCount val="205"/>
                <c:pt idx="0">
                  <c:v>6.3412939092600542</c:v>
                </c:pt>
                <c:pt idx="3">
                  <c:v>9.1511340106900931</c:v>
                </c:pt>
                <c:pt idx="4">
                  <c:v>13.945554476019279</c:v>
                </c:pt>
                <c:pt idx="7">
                  <c:v>29.06548824223945</c:v>
                </c:pt>
                <c:pt idx="8">
                  <c:v>29.25291368513669</c:v>
                </c:pt>
                <c:pt idx="9">
                  <c:v>34.500379555113788</c:v>
                </c:pt>
                <c:pt idx="10">
                  <c:v>38.517417055905945</c:v>
                </c:pt>
                <c:pt idx="11">
                  <c:v>39.794211970915427</c:v>
                </c:pt>
                <c:pt idx="12">
                  <c:v>41.198754806502066</c:v>
                </c:pt>
                <c:pt idx="13">
                  <c:v>46.728885009081537</c:v>
                </c:pt>
                <c:pt idx="14">
                  <c:v>48.565397505813927</c:v>
                </c:pt>
                <c:pt idx="15">
                  <c:v>53.838956036018736</c:v>
                </c:pt>
                <c:pt idx="16">
                  <c:v>71.185895917017049</c:v>
                </c:pt>
                <c:pt idx="17">
                  <c:v>72.990879761159732</c:v>
                </c:pt>
                <c:pt idx="18">
                  <c:v>76.620787229891377</c:v>
                </c:pt>
                <c:pt idx="19">
                  <c:v>79.172605616755433</c:v>
                </c:pt>
                <c:pt idx="20">
                  <c:v>79.374854336206639</c:v>
                </c:pt>
                <c:pt idx="21">
                  <c:v>80.69695571454713</c:v>
                </c:pt>
                <c:pt idx="22">
                  <c:v>84.77312419920338</c:v>
                </c:pt>
                <c:pt idx="23">
                  <c:v>86.65551071932623</c:v>
                </c:pt>
                <c:pt idx="24">
                  <c:v>89.206737254179131</c:v>
                </c:pt>
                <c:pt idx="25">
                  <c:v>91.213902566181972</c:v>
                </c:pt>
                <c:pt idx="26">
                  <c:v>95.470797118604068</c:v>
                </c:pt>
                <c:pt idx="27">
                  <c:v>98.13603012616403</c:v>
                </c:pt>
                <c:pt idx="28">
                  <c:v>108.74113738142275</c:v>
                </c:pt>
                <c:pt idx="29">
                  <c:v>113.30630359179413</c:v>
                </c:pt>
                <c:pt idx="30">
                  <c:v>114.67480685183814</c:v>
                </c:pt>
                <c:pt idx="31">
                  <c:v>116.37025262944309</c:v>
                </c:pt>
                <c:pt idx="32">
                  <c:v>119.26212524697208</c:v>
                </c:pt>
                <c:pt idx="33">
                  <c:v>120.10482534901254</c:v>
                </c:pt>
                <c:pt idx="34">
                  <c:v>126.25095939577233</c:v>
                </c:pt>
                <c:pt idx="35">
                  <c:v>127.47513527697215</c:v>
                </c:pt>
                <c:pt idx="36">
                  <c:v>129.61097753041764</c:v>
                </c:pt>
                <c:pt idx="37">
                  <c:v>133.02335568728293</c:v>
                </c:pt>
                <c:pt idx="38">
                  <c:v>133.68714601507389</c:v>
                </c:pt>
                <c:pt idx="39">
                  <c:v>145.62949034461792</c:v>
                </c:pt>
                <c:pt idx="40">
                  <c:v>157.25029749836568</c:v>
                </c:pt>
                <c:pt idx="41">
                  <c:v>158.08985369520698</c:v>
                </c:pt>
                <c:pt idx="42">
                  <c:v>160.95575771923316</c:v>
                </c:pt>
                <c:pt idx="43">
                  <c:v>162.36652381181702</c:v>
                </c:pt>
                <c:pt idx="44">
                  <c:v>168.75049838686394</c:v>
                </c:pt>
                <c:pt idx="45">
                  <c:v>177.84000152369043</c:v>
                </c:pt>
                <c:pt idx="46">
                  <c:v>177.88667091467318</c:v>
                </c:pt>
                <c:pt idx="47">
                  <c:v>179.88372217450674</c:v>
                </c:pt>
                <c:pt idx="48">
                  <c:v>181.51844753695775</c:v>
                </c:pt>
                <c:pt idx="49">
                  <c:v>183.38970382568857</c:v>
                </c:pt>
                <c:pt idx="50">
                  <c:v>184.07203736697673</c:v>
                </c:pt>
                <c:pt idx="51">
                  <c:v>186.67733631560014</c:v>
                </c:pt>
                <c:pt idx="52">
                  <c:v>191.78298588258733</c:v>
                </c:pt>
                <c:pt idx="53">
                  <c:v>193.17728431847667</c:v>
                </c:pt>
                <c:pt idx="54">
                  <c:v>197.36017962614568</c:v>
                </c:pt>
                <c:pt idx="55">
                  <c:v>200.28557084545082</c:v>
                </c:pt>
                <c:pt idx="56">
                  <c:v>205.72017308152266</c:v>
                </c:pt>
                <c:pt idx="57">
                  <c:v>207.05817873887941</c:v>
                </c:pt>
                <c:pt idx="58">
                  <c:v>207.05817873887941</c:v>
                </c:pt>
                <c:pt idx="59">
                  <c:v>209.60793566716438</c:v>
                </c:pt>
                <c:pt idx="60">
                  <c:v>209.90886554915275</c:v>
                </c:pt>
                <c:pt idx="61">
                  <c:v>211.3031639850426</c:v>
                </c:pt>
                <c:pt idx="62">
                  <c:v>212.51342587661244</c:v>
                </c:pt>
                <c:pt idx="63">
                  <c:v>213.65638483627274</c:v>
                </c:pt>
                <c:pt idx="64">
                  <c:v>214.7151153272018</c:v>
                </c:pt>
                <c:pt idx="65">
                  <c:v>215.03214306402631</c:v>
                </c:pt>
                <c:pt idx="66">
                  <c:v>223.76160274104882</c:v>
                </c:pt>
                <c:pt idx="67">
                  <c:v>224.66245065830302</c:v>
                </c:pt>
                <c:pt idx="68">
                  <c:v>224.66245065830302</c:v>
                </c:pt>
                <c:pt idx="69">
                  <c:v>230.03665430731459</c:v>
                </c:pt>
                <c:pt idx="70">
                  <c:v>232.87391247503351</c:v>
                </c:pt>
                <c:pt idx="71">
                  <c:v>233.61193895927704</c:v>
                </c:pt>
                <c:pt idx="72">
                  <c:v>235.59135813147066</c:v>
                </c:pt>
                <c:pt idx="73">
                  <c:v>236.42062888236151</c:v>
                </c:pt>
                <c:pt idx="74">
                  <c:v>237.79483426694605</c:v>
                </c:pt>
                <c:pt idx="75">
                  <c:v>239.72910281049883</c:v>
                </c:pt>
                <c:pt idx="76">
                  <c:v>241.00471607792554</c:v>
                </c:pt>
                <c:pt idx="77">
                  <c:v>246.67458230236457</c:v>
                </c:pt>
                <c:pt idx="78">
                  <c:v>248.03682234772918</c:v>
                </c:pt>
                <c:pt idx="79">
                  <c:v>249.41135641267942</c:v>
                </c:pt>
                <c:pt idx="80">
                  <c:v>250.34352018995361</c:v>
                </c:pt>
                <c:pt idx="81">
                  <c:v>250.80185698562588</c:v>
                </c:pt>
                <c:pt idx="82">
                  <c:v>252.91336196692504</c:v>
                </c:pt>
                <c:pt idx="83">
                  <c:v>253.01896277748352</c:v>
                </c:pt>
                <c:pt idx="84">
                  <c:v>253.25475489831277</c:v>
                </c:pt>
                <c:pt idx="85">
                  <c:v>256.84934752251172</c:v>
                </c:pt>
                <c:pt idx="86">
                  <c:v>256.84934752251172</c:v>
                </c:pt>
                <c:pt idx="87">
                  <c:v>259.87984713720471</c:v>
                </c:pt>
                <c:pt idx="88">
                  <c:v>260.04836903940566</c:v>
                </c:pt>
                <c:pt idx="89">
                  <c:v>260.8022192736409</c:v>
                </c:pt>
                <c:pt idx="90">
                  <c:v>261.80792280765667</c:v>
                </c:pt>
                <c:pt idx="91">
                  <c:v>264.55943926316434</c:v>
                </c:pt>
                <c:pt idx="92">
                  <c:v>267.07510142062972</c:v>
                </c:pt>
                <c:pt idx="93">
                  <c:v>267.07510142062972</c:v>
                </c:pt>
                <c:pt idx="94">
                  <c:v>271.43823040193337</c:v>
                </c:pt>
                <c:pt idx="95">
                  <c:v>272.89504776358655</c:v>
                </c:pt>
                <c:pt idx="96">
                  <c:v>274.18974685744104</c:v>
                </c:pt>
                <c:pt idx="97">
                  <c:v>274.18974685744104</c:v>
                </c:pt>
                <c:pt idx="98">
                  <c:v>275.20611451181998</c:v>
                </c:pt>
                <c:pt idx="99">
                  <c:v>279.0873032684915</c:v>
                </c:pt>
                <c:pt idx="100">
                  <c:v>279.38600561398783</c:v>
                </c:pt>
                <c:pt idx="101">
                  <c:v>281.01808577952613</c:v>
                </c:pt>
                <c:pt idx="102">
                  <c:v>281.10845090769016</c:v>
                </c:pt>
                <c:pt idx="103">
                  <c:v>284.93883565271835</c:v>
                </c:pt>
                <c:pt idx="104">
                  <c:v>289.32308736273313</c:v>
                </c:pt>
                <c:pt idx="105">
                  <c:v>293.31897595454723</c:v>
                </c:pt>
                <c:pt idx="106">
                  <c:v>293.45036204599444</c:v>
                </c:pt>
                <c:pt idx="107">
                  <c:v>296.42998988780295</c:v>
                </c:pt>
                <c:pt idx="108">
                  <c:v>297.49886705671486</c:v>
                </c:pt>
                <c:pt idx="109">
                  <c:v>300.26037463283114</c:v>
                </c:pt>
                <c:pt idx="110">
                  <c:v>300.2854611248269</c:v>
                </c:pt>
                <c:pt idx="111">
                  <c:v>300.32915318476392</c:v>
                </c:pt>
                <c:pt idx="112">
                  <c:v>301.6024837174395</c:v>
                </c:pt>
                <c:pt idx="113">
                  <c:v>303.32686075376108</c:v>
                </c:pt>
                <c:pt idx="114">
                  <c:v>304.09075937785911</c:v>
                </c:pt>
                <c:pt idx="115">
                  <c:v>305.83218609577881</c:v>
                </c:pt>
                <c:pt idx="116">
                  <c:v>309.19793903789679</c:v>
                </c:pt>
                <c:pt idx="117">
                  <c:v>311.69265136909911</c:v>
                </c:pt>
                <c:pt idx="118">
                  <c:v>311.75152886791551</c:v>
                </c:pt>
                <c:pt idx="119">
                  <c:v>311.75152886791551</c:v>
                </c:pt>
                <c:pt idx="120">
                  <c:v>312.82513443133035</c:v>
                </c:pt>
                <c:pt idx="121">
                  <c:v>317.00502553349799</c:v>
                </c:pt>
                <c:pt idx="122">
                  <c:v>321.96588818799074</c:v>
                </c:pt>
                <c:pt idx="123">
                  <c:v>322.34128482882488</c:v>
                </c:pt>
                <c:pt idx="124">
                  <c:v>322.84703885621667</c:v>
                </c:pt>
                <c:pt idx="125">
                  <c:v>327.84431773984028</c:v>
                </c:pt>
                <c:pt idx="126">
                  <c:v>328.34986276303766</c:v>
                </c:pt>
                <c:pt idx="127">
                  <c:v>328.42423259977534</c:v>
                </c:pt>
                <c:pt idx="128">
                  <c:v>329.54469884000144</c:v>
                </c:pt>
                <c:pt idx="129">
                  <c:v>331.21282947155476</c:v>
                </c:pt>
                <c:pt idx="130">
                  <c:v>332.0746750701914</c:v>
                </c:pt>
                <c:pt idx="131">
                  <c:v>332.34959195945368</c:v>
                </c:pt>
                <c:pt idx="132">
                  <c:v>336.15062674724533</c:v>
                </c:pt>
                <c:pt idx="133">
                  <c:v>338.85038356187079</c:v>
                </c:pt>
                <c:pt idx="134">
                  <c:v>339.84101699812226</c:v>
                </c:pt>
                <c:pt idx="135">
                  <c:v>342.94387954233508</c:v>
                </c:pt>
                <c:pt idx="136">
                  <c:v>343.47766918056078</c:v>
                </c:pt>
                <c:pt idx="137">
                  <c:v>343.83334765054559</c:v>
                </c:pt>
                <c:pt idx="138">
                  <c:v>344.32939073946693</c:v>
                </c:pt>
                <c:pt idx="139">
                  <c:v>347.6575602827287</c:v>
                </c:pt>
                <c:pt idx="140">
                  <c:v>349.7371323374249</c:v>
                </c:pt>
                <c:pt idx="141">
                  <c:v>350.44415435084073</c:v>
                </c:pt>
                <c:pt idx="142">
                  <c:v>354.21875366373445</c:v>
                </c:pt>
                <c:pt idx="143">
                  <c:v>358.11099875042441</c:v>
                </c:pt>
                <c:pt idx="144">
                  <c:v>360.60633680956835</c:v>
                </c:pt>
                <c:pt idx="145">
                  <c:v>361.88739506112773</c:v>
                </c:pt>
                <c:pt idx="146">
                  <c:v>363.31130398402144</c:v>
                </c:pt>
                <c:pt idx="147">
                  <c:v>367.29042955314293</c:v>
                </c:pt>
                <c:pt idx="148">
                  <c:v>367.93050512832872</c:v>
                </c:pt>
                <c:pt idx="149">
                  <c:v>369.95031282762386</c:v>
                </c:pt>
                <c:pt idx="150">
                  <c:v>373.24433925571651</c:v>
                </c:pt>
                <c:pt idx="151">
                  <c:v>376.9167979979033</c:v>
                </c:pt>
                <c:pt idx="152">
                  <c:v>382.05211184491145</c:v>
                </c:pt>
                <c:pt idx="153">
                  <c:v>383.87340202968664</c:v>
                </c:pt>
                <c:pt idx="154">
                  <c:v>386.66987723629484</c:v>
                </c:pt>
                <c:pt idx="155">
                  <c:v>387.76831489195655</c:v>
                </c:pt>
                <c:pt idx="156">
                  <c:v>390.91281359849768</c:v>
                </c:pt>
                <c:pt idx="157">
                  <c:v>395.02965944063055</c:v>
                </c:pt>
                <c:pt idx="158">
                  <c:v>396.7448559583695</c:v>
                </c:pt>
                <c:pt idx="159">
                  <c:v>401.12717291857291</c:v>
                </c:pt>
                <c:pt idx="160">
                  <c:v>402.13526203854667</c:v>
                </c:pt>
                <c:pt idx="161">
                  <c:v>404.8867784940544</c:v>
                </c:pt>
                <c:pt idx="162">
                  <c:v>409.38566737821543</c:v>
                </c:pt>
                <c:pt idx="163">
                  <c:v>413.14252088335769</c:v>
                </c:pt>
                <c:pt idx="164">
                  <c:v>413.47643718904555</c:v>
                </c:pt>
                <c:pt idx="165">
                  <c:v>414.51708608833121</c:v>
                </c:pt>
                <c:pt idx="166">
                  <c:v>417.72550681369495</c:v>
                </c:pt>
                <c:pt idx="167">
                  <c:v>424.28889715580522</c:v>
                </c:pt>
                <c:pt idx="168">
                  <c:v>425.82156364242962</c:v>
                </c:pt>
                <c:pt idx="169">
                  <c:v>425.96863985475915</c:v>
                </c:pt>
                <c:pt idx="170">
                  <c:v>433.96489105138988</c:v>
                </c:pt>
                <c:pt idx="171">
                  <c:v>434.39091372739068</c:v>
                </c:pt>
                <c:pt idx="172">
                  <c:v>436.69076811457319</c:v>
                </c:pt>
                <c:pt idx="173">
                  <c:v>443.484020909663</c:v>
                </c:pt>
                <c:pt idx="174">
                  <c:v>444.63520316124055</c:v>
                </c:pt>
                <c:pt idx="175">
                  <c:v>444.83467367713882</c:v>
                </c:pt>
                <c:pt idx="176">
                  <c:v>449.36824376881202</c:v>
                </c:pt>
                <c:pt idx="177">
                  <c:v>449.36824376881202</c:v>
                </c:pt>
                <c:pt idx="178">
                  <c:v>457.07052649984234</c:v>
                </c:pt>
                <c:pt idx="179">
                  <c:v>457.16559114869972</c:v>
                </c:pt>
                <c:pt idx="180">
                  <c:v>462.50512873591418</c:v>
                </c:pt>
                <c:pt idx="181">
                  <c:v>466.24371358405176</c:v>
                </c:pt>
                <c:pt idx="182">
                  <c:v>466.45977775285326</c:v>
                </c:pt>
                <c:pt idx="183">
                  <c:v>470.2676992796512</c:v>
                </c:pt>
                <c:pt idx="184">
                  <c:v>484.20066962021053</c:v>
                </c:pt>
                <c:pt idx="185">
                  <c:v>487.43227215928391</c:v>
                </c:pt>
                <c:pt idx="186">
                  <c:v>488.38056072237833</c:v>
                </c:pt>
                <c:pt idx="187">
                  <c:v>491.77961188423967</c:v>
                </c:pt>
                <c:pt idx="188">
                  <c:v>493.95374885860213</c:v>
                </c:pt>
                <c:pt idx="189">
                  <c:v>495.68682152580686</c:v>
                </c:pt>
                <c:pt idx="190">
                  <c:v>499.18358680588392</c:v>
                </c:pt>
                <c:pt idx="191">
                  <c:v>504.54756103433351</c:v>
                </c:pt>
                <c:pt idx="192">
                  <c:v>505.88190018039694</c:v>
                </c:pt>
                <c:pt idx="193">
                  <c:v>509.28001623321745</c:v>
                </c:pt>
                <c:pt idx="195">
                  <c:v>522.23171518844038</c:v>
                </c:pt>
                <c:pt idx="196">
                  <c:v>530.17947174405651</c:v>
                </c:pt>
                <c:pt idx="197">
                  <c:v>538.96329641911655</c:v>
                </c:pt>
                <c:pt idx="198">
                  <c:v>538.96329641911655</c:v>
                </c:pt>
                <c:pt idx="199">
                  <c:v>557.59594177472889</c:v>
                </c:pt>
                <c:pt idx="200">
                  <c:v>558.96739124750331</c:v>
                </c:pt>
                <c:pt idx="201">
                  <c:v>588.81602542495318</c:v>
                </c:pt>
                <c:pt idx="202">
                  <c:v>592.87783827657358</c:v>
                </c:pt>
                <c:pt idx="203">
                  <c:v>596.11717215183614</c:v>
                </c:pt>
              </c:numCache>
            </c:numRef>
          </c:xVal>
          <c:yVal>
            <c:numRef>
              <c:f>Sheet2!$M$2:$M$206</c:f>
              <c:numCache>
                <c:formatCode>General</c:formatCode>
                <c:ptCount val="205"/>
                <c:pt idx="0">
                  <c:v>0.81499999999999995</c:v>
                </c:pt>
                <c:pt idx="1">
                  <c:v>1.4450000000000001</c:v>
                </c:pt>
                <c:pt idx="2">
                  <c:v>1.5229999999999999</c:v>
                </c:pt>
                <c:pt idx="3">
                  <c:v>0.56399999999999995</c:v>
                </c:pt>
                <c:pt idx="5">
                  <c:v>1.4650000000000001</c:v>
                </c:pt>
                <c:pt idx="6">
                  <c:v>1.486</c:v>
                </c:pt>
                <c:pt idx="7">
                  <c:v>0.64300000000000002</c:v>
                </c:pt>
                <c:pt idx="9">
                  <c:v>0.46100000000000002</c:v>
                </c:pt>
                <c:pt idx="10">
                  <c:v>1.153</c:v>
                </c:pt>
                <c:pt idx="11">
                  <c:v>0.71799999999999997</c:v>
                </c:pt>
                <c:pt idx="12">
                  <c:v>0.70099999999999996</c:v>
                </c:pt>
                <c:pt idx="13">
                  <c:v>0.48699999999999999</c:v>
                </c:pt>
                <c:pt idx="14">
                  <c:v>0.83099999999999996</c:v>
                </c:pt>
                <c:pt idx="15">
                  <c:v>0.88900000000000001</c:v>
                </c:pt>
                <c:pt idx="16">
                  <c:v>0.84299999999999997</c:v>
                </c:pt>
                <c:pt idx="17">
                  <c:v>0.90100000000000002</c:v>
                </c:pt>
                <c:pt idx="18">
                  <c:v>0.74299999999999999</c:v>
                </c:pt>
                <c:pt idx="19">
                  <c:v>0.75649999999999995</c:v>
                </c:pt>
                <c:pt idx="20">
                  <c:v>0.76400000000000001</c:v>
                </c:pt>
                <c:pt idx="21">
                  <c:v>0.74199999999999999</c:v>
                </c:pt>
                <c:pt idx="22">
                  <c:v>0.61</c:v>
                </c:pt>
                <c:pt idx="23">
                  <c:v>1.208</c:v>
                </c:pt>
                <c:pt idx="24">
                  <c:v>1.7310000000000001</c:v>
                </c:pt>
                <c:pt idx="25">
                  <c:v>0.625</c:v>
                </c:pt>
                <c:pt idx="26">
                  <c:v>0.56200000000000006</c:v>
                </c:pt>
                <c:pt idx="27">
                  <c:v>1.65</c:v>
                </c:pt>
                <c:pt idx="29">
                  <c:v>0.88600000000000001</c:v>
                </c:pt>
                <c:pt idx="30">
                  <c:v>0.68700000000000006</c:v>
                </c:pt>
                <c:pt idx="31">
                  <c:v>0.627</c:v>
                </c:pt>
                <c:pt idx="32">
                  <c:v>1.712</c:v>
                </c:pt>
                <c:pt idx="33">
                  <c:v>0.79600000000000004</c:v>
                </c:pt>
                <c:pt idx="34">
                  <c:v>0.85300000000000009</c:v>
                </c:pt>
                <c:pt idx="35">
                  <c:v>1.611</c:v>
                </c:pt>
                <c:pt idx="36">
                  <c:v>0.64200000000000002</c:v>
                </c:pt>
                <c:pt idx="37">
                  <c:v>0.55100000000000005</c:v>
                </c:pt>
                <c:pt idx="38">
                  <c:v>1.4339999999999999</c:v>
                </c:pt>
                <c:pt idx="39">
                  <c:v>0.88</c:v>
                </c:pt>
                <c:pt idx="40">
                  <c:v>0.75600000000000001</c:v>
                </c:pt>
                <c:pt idx="42">
                  <c:v>1.4670000000000001</c:v>
                </c:pt>
                <c:pt idx="43">
                  <c:v>1.976</c:v>
                </c:pt>
                <c:pt idx="44">
                  <c:v>1.472</c:v>
                </c:pt>
                <c:pt idx="45">
                  <c:v>1.1919999999999999</c:v>
                </c:pt>
                <c:pt idx="46">
                  <c:v>0.73199999999999998</c:v>
                </c:pt>
                <c:pt idx="47">
                  <c:v>1.085</c:v>
                </c:pt>
                <c:pt idx="48">
                  <c:v>1.1180000000000001</c:v>
                </c:pt>
                <c:pt idx="51">
                  <c:v>1.522</c:v>
                </c:pt>
                <c:pt idx="52">
                  <c:v>1.089</c:v>
                </c:pt>
                <c:pt idx="53">
                  <c:v>0.70799999999999996</c:v>
                </c:pt>
                <c:pt idx="54">
                  <c:v>0.98399999999999999</c:v>
                </c:pt>
                <c:pt idx="57">
                  <c:v>1.4359999999999999</c:v>
                </c:pt>
                <c:pt idx="58">
                  <c:v>1.3420000000000001</c:v>
                </c:pt>
                <c:pt idx="59">
                  <c:v>1.5620000000000001</c:v>
                </c:pt>
                <c:pt idx="60">
                  <c:v>1.0009999999999999</c:v>
                </c:pt>
                <c:pt idx="61">
                  <c:v>1.7030000000000001</c:v>
                </c:pt>
                <c:pt idx="62">
                  <c:v>0.86199999999999999</c:v>
                </c:pt>
                <c:pt idx="63">
                  <c:v>1.1100000000000001</c:v>
                </c:pt>
                <c:pt idx="64">
                  <c:v>1.29</c:v>
                </c:pt>
                <c:pt idx="65">
                  <c:v>1.2470000000000001</c:v>
                </c:pt>
                <c:pt idx="66">
                  <c:v>1.3754999999999999</c:v>
                </c:pt>
                <c:pt idx="67">
                  <c:v>0.81</c:v>
                </c:pt>
                <c:pt idx="68">
                  <c:v>1.3480000000000001</c:v>
                </c:pt>
                <c:pt idx="69">
                  <c:v>1.1399999999999999</c:v>
                </c:pt>
                <c:pt idx="70">
                  <c:v>1.627</c:v>
                </c:pt>
                <c:pt idx="71">
                  <c:v>1.155</c:v>
                </c:pt>
                <c:pt idx="72">
                  <c:v>1.466</c:v>
                </c:pt>
                <c:pt idx="73">
                  <c:v>1.599</c:v>
                </c:pt>
                <c:pt idx="74">
                  <c:v>1.359</c:v>
                </c:pt>
                <c:pt idx="75">
                  <c:v>1.9370000000000001</c:v>
                </c:pt>
                <c:pt idx="77">
                  <c:v>1.119</c:v>
                </c:pt>
                <c:pt idx="78">
                  <c:v>1.3355000000000001</c:v>
                </c:pt>
                <c:pt idx="79">
                  <c:v>1.3580000000000001</c:v>
                </c:pt>
                <c:pt idx="80">
                  <c:v>1.4810000000000001</c:v>
                </c:pt>
                <c:pt idx="81">
                  <c:v>1.1040000000000001</c:v>
                </c:pt>
                <c:pt idx="82">
                  <c:v>0.82199999999999995</c:v>
                </c:pt>
                <c:pt idx="83">
                  <c:v>1.343</c:v>
                </c:pt>
                <c:pt idx="84">
                  <c:v>1.5629999999999999</c:v>
                </c:pt>
                <c:pt idx="85">
                  <c:v>1.329</c:v>
                </c:pt>
                <c:pt idx="86">
                  <c:v>1.532</c:v>
                </c:pt>
                <c:pt idx="87">
                  <c:v>0.91300000000000003</c:v>
                </c:pt>
                <c:pt idx="88">
                  <c:v>0.80900000000000005</c:v>
                </c:pt>
                <c:pt idx="89">
                  <c:v>1.6164999999999998</c:v>
                </c:pt>
                <c:pt idx="90">
                  <c:v>0.98199999999999998</c:v>
                </c:pt>
                <c:pt idx="91">
                  <c:v>1.2290000000000001</c:v>
                </c:pt>
                <c:pt idx="93">
                  <c:v>1.056</c:v>
                </c:pt>
                <c:pt idx="95">
                  <c:v>1.524</c:v>
                </c:pt>
                <c:pt idx="96">
                  <c:v>1.1240000000000001</c:v>
                </c:pt>
                <c:pt idx="97">
                  <c:v>1.0580000000000001</c:v>
                </c:pt>
                <c:pt idx="98">
                  <c:v>1.0409999999999999</c:v>
                </c:pt>
                <c:pt idx="100">
                  <c:v>1.2070000000000001</c:v>
                </c:pt>
                <c:pt idx="101">
                  <c:v>1.68</c:v>
                </c:pt>
                <c:pt idx="103">
                  <c:v>1.6240000000000001</c:v>
                </c:pt>
                <c:pt idx="104">
                  <c:v>1.0009999999999999</c:v>
                </c:pt>
                <c:pt idx="105">
                  <c:v>1.484</c:v>
                </c:pt>
                <c:pt idx="106">
                  <c:v>0.89700000000000002</c:v>
                </c:pt>
                <c:pt idx="108">
                  <c:v>1.133</c:v>
                </c:pt>
                <c:pt idx="109">
                  <c:v>1.163</c:v>
                </c:pt>
                <c:pt idx="110">
                  <c:v>1.234</c:v>
                </c:pt>
                <c:pt idx="111">
                  <c:v>1.3720000000000001</c:v>
                </c:pt>
                <c:pt idx="112">
                  <c:v>1.2734999999999999</c:v>
                </c:pt>
                <c:pt idx="113">
                  <c:v>1.202</c:v>
                </c:pt>
                <c:pt idx="114">
                  <c:v>1.27</c:v>
                </c:pt>
                <c:pt idx="115">
                  <c:v>1.181</c:v>
                </c:pt>
                <c:pt idx="116">
                  <c:v>2.68</c:v>
                </c:pt>
                <c:pt idx="117">
                  <c:v>1.71</c:v>
                </c:pt>
                <c:pt idx="118">
                  <c:v>1.323</c:v>
                </c:pt>
                <c:pt idx="119">
                  <c:v>1.4390000000000001</c:v>
                </c:pt>
                <c:pt idx="120">
                  <c:v>0.95599999999999996</c:v>
                </c:pt>
                <c:pt idx="121">
                  <c:v>1.1399999999999999</c:v>
                </c:pt>
                <c:pt idx="122">
                  <c:v>1.623</c:v>
                </c:pt>
                <c:pt idx="123">
                  <c:v>1.1739999999999999</c:v>
                </c:pt>
                <c:pt idx="124">
                  <c:v>1.464</c:v>
                </c:pt>
                <c:pt idx="125">
                  <c:v>1.4890000000000001</c:v>
                </c:pt>
                <c:pt idx="127">
                  <c:v>1.236</c:v>
                </c:pt>
                <c:pt idx="128">
                  <c:v>1.198</c:v>
                </c:pt>
                <c:pt idx="129">
                  <c:v>1.452</c:v>
                </c:pt>
                <c:pt idx="130">
                  <c:v>1.117</c:v>
                </c:pt>
                <c:pt idx="131">
                  <c:v>1.4390000000000001</c:v>
                </c:pt>
                <c:pt idx="132">
                  <c:v>1.083</c:v>
                </c:pt>
                <c:pt idx="133">
                  <c:v>1.661</c:v>
                </c:pt>
                <c:pt idx="134">
                  <c:v>1.4239999999999999</c:v>
                </c:pt>
                <c:pt idx="135">
                  <c:v>1.7629999999999999</c:v>
                </c:pt>
                <c:pt idx="136">
                  <c:v>0.997</c:v>
                </c:pt>
                <c:pt idx="137">
                  <c:v>1.37</c:v>
                </c:pt>
                <c:pt idx="138">
                  <c:v>2</c:v>
                </c:pt>
                <c:pt idx="139">
                  <c:v>1.4930000000000001</c:v>
                </c:pt>
                <c:pt idx="140">
                  <c:v>1.2689999999999999</c:v>
                </c:pt>
                <c:pt idx="141">
                  <c:v>1.3740000000000001</c:v>
                </c:pt>
                <c:pt idx="142">
                  <c:v>1.9690000000000001</c:v>
                </c:pt>
                <c:pt idx="143">
                  <c:v>1.5169999999999999</c:v>
                </c:pt>
                <c:pt idx="144">
                  <c:v>1.8540000000000001</c:v>
                </c:pt>
                <c:pt idx="145">
                  <c:v>1.5309999999999999</c:v>
                </c:pt>
                <c:pt idx="146">
                  <c:v>2.0019999999999998</c:v>
                </c:pt>
                <c:pt idx="147">
                  <c:v>1.5880000000000001</c:v>
                </c:pt>
                <c:pt idx="148">
                  <c:v>1.5589999999999999</c:v>
                </c:pt>
                <c:pt idx="149">
                  <c:v>1.171</c:v>
                </c:pt>
                <c:pt idx="150">
                  <c:v>1.111</c:v>
                </c:pt>
                <c:pt idx="151">
                  <c:v>1.2130000000000001</c:v>
                </c:pt>
                <c:pt idx="152">
                  <c:v>1.6505000000000001</c:v>
                </c:pt>
                <c:pt idx="153">
                  <c:v>1.593</c:v>
                </c:pt>
                <c:pt idx="154">
                  <c:v>1.1639999999999999</c:v>
                </c:pt>
                <c:pt idx="155">
                  <c:v>1.1619999999999999</c:v>
                </c:pt>
                <c:pt idx="156">
                  <c:v>1.399</c:v>
                </c:pt>
                <c:pt idx="157">
                  <c:v>1.151</c:v>
                </c:pt>
                <c:pt idx="158">
                  <c:v>1.506</c:v>
                </c:pt>
                <c:pt idx="159">
                  <c:v>1.5229999999999999</c:v>
                </c:pt>
                <c:pt idx="160">
                  <c:v>2.1419999999999999</c:v>
                </c:pt>
                <c:pt idx="161">
                  <c:v>1.5669999999999999</c:v>
                </c:pt>
                <c:pt idx="162">
                  <c:v>1.7490000000000001</c:v>
                </c:pt>
                <c:pt idx="163">
                  <c:v>1.516</c:v>
                </c:pt>
                <c:pt idx="164">
                  <c:v>1.6579999999999999</c:v>
                </c:pt>
                <c:pt idx="165">
                  <c:v>1.339</c:v>
                </c:pt>
                <c:pt idx="166">
                  <c:v>1.6459999999999999</c:v>
                </c:pt>
                <c:pt idx="167">
                  <c:v>1.488</c:v>
                </c:pt>
                <c:pt idx="168">
                  <c:v>1.2529999999999999</c:v>
                </c:pt>
                <c:pt idx="169">
                  <c:v>1.462</c:v>
                </c:pt>
                <c:pt idx="170">
                  <c:v>1.472</c:v>
                </c:pt>
                <c:pt idx="171">
                  <c:v>1.3169999999999999</c:v>
                </c:pt>
                <c:pt idx="173">
                  <c:v>1.1539999999999999</c:v>
                </c:pt>
                <c:pt idx="174">
                  <c:v>1.8720000000000001</c:v>
                </c:pt>
                <c:pt idx="175">
                  <c:v>1.7689999999999999</c:v>
                </c:pt>
                <c:pt idx="176">
                  <c:v>1.262</c:v>
                </c:pt>
                <c:pt idx="177">
                  <c:v>2.3410000000000002</c:v>
                </c:pt>
                <c:pt idx="178">
                  <c:v>1.796</c:v>
                </c:pt>
                <c:pt idx="179">
                  <c:v>1.85</c:v>
                </c:pt>
                <c:pt idx="180">
                  <c:v>1.476</c:v>
                </c:pt>
                <c:pt idx="181">
                  <c:v>1.9</c:v>
                </c:pt>
                <c:pt idx="182">
                  <c:v>1.8160000000000001</c:v>
                </c:pt>
                <c:pt idx="183">
                  <c:v>2.2480000000000002</c:v>
                </c:pt>
                <c:pt idx="184">
                  <c:v>2.056</c:v>
                </c:pt>
                <c:pt idx="185">
                  <c:v>1.6080000000000001</c:v>
                </c:pt>
                <c:pt idx="186">
                  <c:v>2.0819999999999999</c:v>
                </c:pt>
                <c:pt idx="187">
                  <c:v>1.6890000000000001</c:v>
                </c:pt>
                <c:pt idx="188">
                  <c:v>1.387</c:v>
                </c:pt>
                <c:pt idx="189">
                  <c:v>2.4119999999999999</c:v>
                </c:pt>
                <c:pt idx="190">
                  <c:v>1.9890000000000001</c:v>
                </c:pt>
                <c:pt idx="191">
                  <c:v>1.2410000000000001</c:v>
                </c:pt>
                <c:pt idx="192">
                  <c:v>1.86</c:v>
                </c:pt>
                <c:pt idx="193">
                  <c:v>1.9259999999999999</c:v>
                </c:pt>
                <c:pt idx="194">
                  <c:v>0.498</c:v>
                </c:pt>
                <c:pt idx="195">
                  <c:v>2.1869999999999998</c:v>
                </c:pt>
                <c:pt idx="196">
                  <c:v>2.2250000000000001</c:v>
                </c:pt>
                <c:pt idx="197">
                  <c:v>2.1040000000000001</c:v>
                </c:pt>
                <c:pt idx="198">
                  <c:v>1.671</c:v>
                </c:pt>
                <c:pt idx="201">
                  <c:v>1.3049999999999999</c:v>
                </c:pt>
                <c:pt idx="202">
                  <c:v>2.153</c:v>
                </c:pt>
                <c:pt idx="203">
                  <c:v>2.403</c:v>
                </c:pt>
                <c:pt idx="204">
                  <c:v>0.61199999999999999</c:v>
                </c:pt>
              </c:numCache>
            </c:numRef>
          </c:yVal>
          <c:smooth val="0"/>
          <c:extLst>
            <c:ext xmlns:c16="http://schemas.microsoft.com/office/drawing/2014/chart" uri="{C3380CC4-5D6E-409C-BE32-E72D297353CC}">
              <c16:uniqueId val="{00000000-073D-4773-B12D-A7D5A0C8A4C5}"/>
            </c:ext>
          </c:extLst>
        </c:ser>
        <c:dLbls>
          <c:showLegendKey val="0"/>
          <c:showVal val="0"/>
          <c:showCatName val="0"/>
          <c:showSerName val="0"/>
          <c:showPercent val="0"/>
          <c:showBubbleSize val="0"/>
        </c:dLbls>
        <c:axId val="1917439760"/>
        <c:axId val="1917440304"/>
      </c:scatterChart>
      <c:valAx>
        <c:axId val="191743976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40304"/>
        <c:crosses val="autoZero"/>
        <c:crossBetween val="midCat"/>
      </c:valAx>
      <c:valAx>
        <c:axId val="191744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3976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multiLvlStrRef>
              <c:f>OtherFigs!$B$2:$C$10</c:f>
              <c:multiLvlStrCache>
                <c:ptCount val="9"/>
                <c:lvl>
                  <c:pt idx="0">
                    <c:v>Control</c:v>
                  </c:pt>
                  <c:pt idx="1">
                    <c:v>DAP</c:v>
                  </c:pt>
                  <c:pt idx="2">
                    <c:v>Minjingu</c:v>
                  </c:pt>
                  <c:pt idx="3">
                    <c:v>Control</c:v>
                  </c:pt>
                  <c:pt idx="4">
                    <c:v>DAP</c:v>
                  </c:pt>
                  <c:pt idx="5">
                    <c:v>Minjingu</c:v>
                  </c:pt>
                  <c:pt idx="6">
                    <c:v>Control</c:v>
                  </c:pt>
                  <c:pt idx="7">
                    <c:v>DAP</c:v>
                  </c:pt>
                  <c:pt idx="8">
                    <c:v>Minjingu</c:v>
                  </c:pt>
                </c:lvl>
                <c:lvl>
                  <c:pt idx="0">
                    <c:v>DK 8031</c:v>
                  </c:pt>
                  <c:pt idx="3">
                    <c:v>KITALE H04</c:v>
                  </c:pt>
                  <c:pt idx="6">
                    <c:v>TMVI</c:v>
                  </c:pt>
                </c:lvl>
              </c:multiLvlStrCache>
            </c:multiLvlStrRef>
          </c:cat>
          <c:val>
            <c:numRef>
              <c:f>OtherFigs!$D$2:$D$10</c:f>
              <c:numCache>
                <c:formatCode>General</c:formatCode>
                <c:ptCount val="9"/>
                <c:pt idx="0">
                  <c:v>2.5547487321346245</c:v>
                </c:pt>
                <c:pt idx="1">
                  <c:v>3.2393960350391895</c:v>
                </c:pt>
                <c:pt idx="2">
                  <c:v>4.0191332411249432</c:v>
                </c:pt>
                <c:pt idx="3">
                  <c:v>2.8336791147994473</c:v>
                </c:pt>
                <c:pt idx="4">
                  <c:v>4.1585984324573539</c:v>
                </c:pt>
                <c:pt idx="5">
                  <c:v>6.0096818810511774</c:v>
                </c:pt>
                <c:pt idx="6">
                  <c:v>2.4659981558321813</c:v>
                </c:pt>
                <c:pt idx="7">
                  <c:v>4.7988704472106978</c:v>
                </c:pt>
                <c:pt idx="8">
                  <c:v>3.9874366067312135</c:v>
                </c:pt>
              </c:numCache>
            </c:numRef>
          </c:val>
          <c:extLst>
            <c:ext xmlns:c16="http://schemas.microsoft.com/office/drawing/2014/chart" uri="{C3380CC4-5D6E-409C-BE32-E72D297353CC}">
              <c16:uniqueId val="{00000000-022B-4E77-829D-7CFBEBF26F8A}"/>
            </c:ext>
          </c:extLst>
        </c:ser>
        <c:dLbls>
          <c:showLegendKey val="0"/>
          <c:showVal val="0"/>
          <c:showCatName val="0"/>
          <c:showSerName val="0"/>
          <c:showPercent val="0"/>
          <c:showBubbleSize val="0"/>
        </c:dLbls>
        <c:gapWidth val="55"/>
        <c:overlap val="-27"/>
        <c:axId val="1917444656"/>
        <c:axId val="1917446832"/>
      </c:barChart>
      <c:catAx>
        <c:axId val="191744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7446832"/>
        <c:crosses val="autoZero"/>
        <c:auto val="1"/>
        <c:lblAlgn val="ctr"/>
        <c:lblOffset val="100"/>
        <c:noMultiLvlLbl val="0"/>
      </c:catAx>
      <c:valAx>
        <c:axId val="191744683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grain yield (t/ha)</a:t>
                </a:r>
              </a:p>
            </c:rich>
          </c:tx>
          <c:layout>
            <c:manualLayout>
              <c:xMode val="edge"/>
              <c:yMode val="edge"/>
              <c:x val="1.9826517967781909E-2"/>
              <c:y val="0.2696012153245495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744465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dLbl>
              <c:idx val="0"/>
              <c:tx>
                <c:rich>
                  <a:bodyPr/>
                  <a:lstStyle/>
                  <a:p>
                    <a:r>
                      <a:rPr lang="en-US"/>
                      <a:t>21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173A-45FA-80D5-CC4916D22F0B}"/>
                </c:ext>
              </c:extLst>
            </c:dLbl>
            <c:dLbl>
              <c:idx val="1"/>
              <c:tx>
                <c:rich>
                  <a:bodyPr/>
                  <a:lstStyle/>
                  <a:p>
                    <a:r>
                      <a:rPr lang="en-US"/>
                      <a:t>21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173A-45FA-80D5-CC4916D22F0B}"/>
                </c:ext>
              </c:extLst>
            </c:dLbl>
            <c:dLbl>
              <c:idx val="2"/>
              <c:tx>
                <c:rich>
                  <a:bodyPr/>
                  <a:lstStyle/>
                  <a:p>
                    <a:r>
                      <a:rPr lang="en-US"/>
                      <a:t>26</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173A-45FA-80D5-CC4916D22F0B}"/>
                </c:ext>
              </c:extLst>
            </c:dLbl>
            <c:dLbl>
              <c:idx val="3"/>
              <c:tx>
                <c:rich>
                  <a:bodyPr/>
                  <a:lstStyle/>
                  <a:p>
                    <a:r>
                      <a:rPr lang="en-US"/>
                      <a:t>26</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173A-45FA-80D5-CC4916D22F0B}"/>
                </c:ext>
              </c:extLst>
            </c:dLbl>
            <c:dLbl>
              <c:idx val="4"/>
              <c:tx>
                <c:rich>
                  <a:bodyPr/>
                  <a:lstStyle/>
                  <a:p>
                    <a:r>
                      <a:rPr lang="en-US"/>
                      <a:t>15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173A-45FA-80D5-CC4916D22F0B}"/>
                </c:ext>
              </c:extLst>
            </c:dLbl>
            <c:dLbl>
              <c:idx val="5"/>
              <c:tx>
                <c:rich>
                  <a:bodyPr/>
                  <a:lstStyle/>
                  <a:p>
                    <a:r>
                      <a:rPr lang="en-US"/>
                      <a:t>15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173A-45FA-80D5-CC4916D22F0B}"/>
                </c:ext>
              </c:extLst>
            </c:dLbl>
            <c:dLbl>
              <c:idx val="6"/>
              <c:tx>
                <c:rich>
                  <a:bodyPr/>
                  <a:lstStyle/>
                  <a:p>
                    <a:r>
                      <a:rPr lang="en-US"/>
                      <a:t>2</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173A-45FA-80D5-CC4916D22F0B}"/>
                </c:ext>
              </c:extLst>
            </c:dLbl>
            <c:dLbl>
              <c:idx val="7"/>
              <c:tx>
                <c:rich>
                  <a:bodyPr/>
                  <a:lstStyle/>
                  <a:p>
                    <a:r>
                      <a:rPr lang="en-US"/>
                      <a:t>2</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173A-45FA-80D5-CC4916D22F0B}"/>
                </c:ext>
              </c:extLst>
            </c:dLbl>
            <c:dLbl>
              <c:idx val="8"/>
              <c:tx>
                <c:rich>
                  <a:bodyPr/>
                  <a:lstStyle/>
                  <a:p>
                    <a:r>
                      <a:rPr lang="en-US"/>
                      <a:t>23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173A-45FA-80D5-CC4916D22F0B}"/>
                </c:ext>
              </c:extLst>
            </c:dLbl>
            <c:dLbl>
              <c:idx val="9"/>
              <c:tx>
                <c:rich>
                  <a:bodyPr/>
                  <a:lstStyle/>
                  <a:p>
                    <a:r>
                      <a:rPr lang="en-US"/>
                      <a:t>23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173A-45FA-80D5-CC4916D22F0B}"/>
                </c:ext>
              </c:extLst>
            </c:dLbl>
            <c:dLbl>
              <c:idx val="10"/>
              <c:tx>
                <c:rich>
                  <a:bodyPr/>
                  <a:lstStyle/>
                  <a:p>
                    <a:r>
                      <a:rPr lang="en-US"/>
                      <a:t>19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173A-45FA-80D5-CC4916D22F0B}"/>
                </c:ext>
              </c:extLst>
            </c:dLbl>
            <c:dLbl>
              <c:idx val="11"/>
              <c:tx>
                <c:rich>
                  <a:bodyPr/>
                  <a:lstStyle/>
                  <a:p>
                    <a:r>
                      <a:rPr lang="en-US"/>
                      <a:t>19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173A-45FA-80D5-CC4916D22F0B}"/>
                </c:ext>
              </c:extLst>
            </c:dLbl>
            <c:dLbl>
              <c:idx val="12"/>
              <c:tx>
                <c:rich>
                  <a:bodyPr/>
                  <a:lstStyle/>
                  <a:p>
                    <a:r>
                      <a:rPr lang="en-US"/>
                      <a:t>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173A-45FA-80D5-CC4916D22F0B}"/>
                </c:ext>
              </c:extLst>
            </c:dLbl>
            <c:dLbl>
              <c:idx val="13"/>
              <c:tx>
                <c:rich>
                  <a:bodyPr/>
                  <a:lstStyle/>
                  <a:p>
                    <a:r>
                      <a:rPr lang="en-US"/>
                      <a:t>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173A-45FA-80D5-CC4916D22F0B}"/>
                </c:ext>
              </c:extLst>
            </c:dLbl>
            <c:dLbl>
              <c:idx val="14"/>
              <c:tx>
                <c:rich>
                  <a:bodyPr/>
                  <a:lstStyle/>
                  <a:p>
                    <a:r>
                      <a:rPr lang="en-US"/>
                      <a:t>29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E-173A-45FA-80D5-CC4916D22F0B}"/>
                </c:ext>
              </c:extLst>
            </c:dLbl>
            <c:dLbl>
              <c:idx val="15"/>
              <c:tx>
                <c:rich>
                  <a:bodyPr/>
                  <a:lstStyle/>
                  <a:p>
                    <a:r>
                      <a:rPr lang="en-US"/>
                      <a:t>29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F-173A-45FA-80D5-CC4916D22F0B}"/>
                </c:ext>
              </c:extLst>
            </c:dLbl>
            <c:dLbl>
              <c:idx val="16"/>
              <c:tx>
                <c:rich>
                  <a:bodyPr/>
                  <a:lstStyle/>
                  <a:p>
                    <a:r>
                      <a:rPr lang="en-US"/>
                      <a:t>19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0-173A-45FA-80D5-CC4916D22F0B}"/>
                </c:ext>
              </c:extLst>
            </c:dLbl>
            <c:dLbl>
              <c:idx val="17"/>
              <c:tx>
                <c:rich>
                  <a:bodyPr/>
                  <a:lstStyle/>
                  <a:p>
                    <a:r>
                      <a:rPr lang="en-US"/>
                      <a:t>19</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1-173A-45FA-80D5-CC4916D22F0B}"/>
                </c:ext>
              </c:extLst>
            </c:dLbl>
            <c:dLbl>
              <c:idx val="18"/>
              <c:layout>
                <c:manualLayout>
                  <c:x val="-2.911208151382824E-3"/>
                  <c:y val="3.4188034188033559E-3"/>
                </c:manualLayout>
              </c:layout>
              <c:tx>
                <c:rich>
                  <a:bodyPr/>
                  <a:lstStyle/>
                  <a:p>
                    <a:r>
                      <a:rPr lang="en-US"/>
                      <a:t>43</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2-173A-45FA-80D5-CC4916D22F0B}"/>
                </c:ext>
              </c:extLst>
            </c:dLbl>
            <c:dLbl>
              <c:idx val="19"/>
              <c:tx>
                <c:rich>
                  <a:bodyPr/>
                  <a:lstStyle/>
                  <a:p>
                    <a:r>
                      <a:rPr lang="en-US"/>
                      <a:t>45</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3-173A-45FA-80D5-CC4916D22F0B}"/>
                </c:ext>
              </c:extLst>
            </c:dLbl>
            <c:dLbl>
              <c:idx val="20"/>
              <c:tx>
                <c:rich>
                  <a:bodyPr/>
                  <a:lstStyle/>
                  <a:p>
                    <a:r>
                      <a:rPr lang="en-US"/>
                      <a:t>11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173A-45FA-80D5-CC4916D22F0B}"/>
                </c:ext>
              </c:extLst>
            </c:dLbl>
            <c:dLbl>
              <c:idx val="21"/>
              <c:tx>
                <c:rich>
                  <a:bodyPr/>
                  <a:lstStyle/>
                  <a:p>
                    <a:r>
                      <a:rPr lang="en-US"/>
                      <a:t>11</a:t>
                    </a:r>
                  </a:p>
                </c:rich>
              </c:tx>
              <c:dLblPos val="outEnd"/>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173A-45FA-80D5-CC4916D22F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OtherFigs!$B$14:$C$35</c:f>
              <c:multiLvlStrCache>
                <c:ptCount val="22"/>
                <c:lvl>
                  <c:pt idx="0">
                    <c:v>FP</c:v>
                  </c:pt>
                  <c:pt idx="1">
                    <c:v>IP</c:v>
                  </c:pt>
                  <c:pt idx="2">
                    <c:v>FP</c:v>
                  </c:pt>
                  <c:pt idx="3">
                    <c:v>IP</c:v>
                  </c:pt>
                  <c:pt idx="4">
                    <c:v>FP</c:v>
                  </c:pt>
                  <c:pt idx="5">
                    <c:v>IP</c:v>
                  </c:pt>
                  <c:pt idx="6">
                    <c:v>FP</c:v>
                  </c:pt>
                  <c:pt idx="7">
                    <c:v>IP</c:v>
                  </c:pt>
                  <c:pt idx="8">
                    <c:v>FP</c:v>
                  </c:pt>
                  <c:pt idx="9">
                    <c:v>IP</c:v>
                  </c:pt>
                  <c:pt idx="10">
                    <c:v>FP</c:v>
                  </c:pt>
                  <c:pt idx="11">
                    <c:v>IP</c:v>
                  </c:pt>
                  <c:pt idx="12">
                    <c:v>FP</c:v>
                  </c:pt>
                  <c:pt idx="13">
                    <c:v>IP</c:v>
                  </c:pt>
                  <c:pt idx="14">
                    <c:v>FP</c:v>
                  </c:pt>
                  <c:pt idx="15">
                    <c:v>IP</c:v>
                  </c:pt>
                  <c:pt idx="16">
                    <c:v>FP</c:v>
                  </c:pt>
                  <c:pt idx="17">
                    <c:v>IP</c:v>
                  </c:pt>
                  <c:pt idx="18">
                    <c:v>FP</c:v>
                  </c:pt>
                  <c:pt idx="19">
                    <c:v>IP</c:v>
                  </c:pt>
                  <c:pt idx="20">
                    <c:v>FP</c:v>
                  </c:pt>
                  <c:pt idx="21">
                    <c:v>IP</c:v>
                  </c:pt>
                </c:lvl>
                <c:lvl>
                  <c:pt idx="0">
                    <c:v>Ayamango</c:v>
                  </c:pt>
                  <c:pt idx="2">
                    <c:v>Duru</c:v>
                  </c:pt>
                  <c:pt idx="4">
                    <c:v>Endagwe</c:v>
                  </c:pt>
                  <c:pt idx="6">
                    <c:v>Endanachan</c:v>
                  </c:pt>
                  <c:pt idx="8">
                    <c:v>Endanoga</c:v>
                  </c:pt>
                  <c:pt idx="10">
                    <c:v>Hallu</c:v>
                  </c:pt>
                  <c:pt idx="12">
                    <c:v>Mandi</c:v>
                  </c:pt>
                  <c:pt idx="14">
                    <c:v>Orngadida</c:v>
                  </c:pt>
                  <c:pt idx="16">
                    <c:v>Sabilo</c:v>
                  </c:pt>
                  <c:pt idx="18">
                    <c:v>Samatsi</c:v>
                  </c:pt>
                  <c:pt idx="20">
                    <c:v>Seloto</c:v>
                  </c:pt>
                </c:lvl>
              </c:multiLvlStrCache>
            </c:multiLvlStrRef>
          </c:cat>
          <c:val>
            <c:numRef>
              <c:f>OtherFigs!$D$14:$D$35</c:f>
              <c:numCache>
                <c:formatCode>General</c:formatCode>
                <c:ptCount val="22"/>
                <c:pt idx="0">
                  <c:v>4.5703227885210831</c:v>
                </c:pt>
                <c:pt idx="1">
                  <c:v>5.2584204126433818</c:v>
                </c:pt>
                <c:pt idx="2">
                  <c:v>3.5416726562568877</c:v>
                </c:pt>
                <c:pt idx="3">
                  <c:v>5.1046469167835982</c:v>
                </c:pt>
                <c:pt idx="4">
                  <c:v>1.7611616617318817</c:v>
                </c:pt>
                <c:pt idx="5">
                  <c:v>2.3408031742213131</c:v>
                </c:pt>
                <c:pt idx="6">
                  <c:v>2.8622916666666667</c:v>
                </c:pt>
                <c:pt idx="7">
                  <c:v>6.4713580246913578</c:v>
                </c:pt>
                <c:pt idx="8">
                  <c:v>3.9907766542633198</c:v>
                </c:pt>
                <c:pt idx="9">
                  <c:v>5.5362951969967797</c:v>
                </c:pt>
                <c:pt idx="10">
                  <c:v>3.9325294983830865</c:v>
                </c:pt>
                <c:pt idx="11">
                  <c:v>4.6732727435199211</c:v>
                </c:pt>
                <c:pt idx="12">
                  <c:v>2.2268531378600822</c:v>
                </c:pt>
                <c:pt idx="13">
                  <c:v>2.4604903198653196</c:v>
                </c:pt>
                <c:pt idx="14">
                  <c:v>4.0111506769821395</c:v>
                </c:pt>
                <c:pt idx="15">
                  <c:v>4.9855370154830627</c:v>
                </c:pt>
                <c:pt idx="16">
                  <c:v>3.4265424078880127</c:v>
                </c:pt>
                <c:pt idx="17">
                  <c:v>3.928380201929754</c:v>
                </c:pt>
                <c:pt idx="18">
                  <c:v>3.4082183276703435</c:v>
                </c:pt>
                <c:pt idx="19">
                  <c:v>3.7718646177754231</c:v>
                </c:pt>
                <c:pt idx="20">
                  <c:v>3.3930820947315281</c:v>
                </c:pt>
                <c:pt idx="21">
                  <c:v>4.0727878726439011</c:v>
                </c:pt>
              </c:numCache>
            </c:numRef>
          </c:val>
          <c:extLst>
            <c:ext xmlns:c16="http://schemas.microsoft.com/office/drawing/2014/chart" uri="{C3380CC4-5D6E-409C-BE32-E72D297353CC}">
              <c16:uniqueId val="{00000016-173A-45FA-80D5-CC4916D22F0B}"/>
            </c:ext>
          </c:extLst>
        </c:ser>
        <c:dLbls>
          <c:showLegendKey val="0"/>
          <c:showVal val="0"/>
          <c:showCatName val="0"/>
          <c:showSerName val="0"/>
          <c:showPercent val="0"/>
          <c:showBubbleSize val="0"/>
        </c:dLbls>
        <c:gapWidth val="55"/>
        <c:overlap val="-27"/>
        <c:axId val="1917447376"/>
        <c:axId val="1917438672"/>
      </c:barChart>
      <c:catAx>
        <c:axId val="191744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7438672"/>
        <c:crosses val="autoZero"/>
        <c:auto val="1"/>
        <c:lblAlgn val="ctr"/>
        <c:lblOffset val="100"/>
        <c:noMultiLvlLbl val="0"/>
      </c:catAx>
      <c:valAx>
        <c:axId val="19174386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Maize grain yield (t/ha)</a:t>
                </a:r>
              </a:p>
            </c:rich>
          </c:tx>
          <c:layout>
            <c:manualLayout>
              <c:xMode val="edge"/>
              <c:yMode val="edge"/>
              <c:x val="1.1092849201710048E-2"/>
              <c:y val="0.2696011844673261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174473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98452986878465E-2"/>
          <c:y val="2.2267884402741706E-2"/>
          <c:w val="0.86891851252803887"/>
          <c:h val="0.88784414202415229"/>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Survey_2017!$EP$2:$EP$218</c:f>
              <c:numCache>
                <c:formatCode>0.00</c:formatCode>
                <c:ptCount val="217"/>
                <c:pt idx="0">
                  <c:v>3.447731958762887</c:v>
                </c:pt>
                <c:pt idx="3">
                  <c:v>2.6195860058309037</c:v>
                </c:pt>
                <c:pt idx="4">
                  <c:v>5.8371134020618545</c:v>
                </c:pt>
                <c:pt idx="5">
                  <c:v>4.9411574074074078</c:v>
                </c:pt>
                <c:pt idx="6">
                  <c:v>2.5493567251461986</c:v>
                </c:pt>
                <c:pt idx="7">
                  <c:v>2.0280701754385966</c:v>
                </c:pt>
                <c:pt idx="8">
                  <c:v>4.6118603042876911</c:v>
                </c:pt>
                <c:pt idx="9">
                  <c:v>1.734375</c:v>
                </c:pt>
                <c:pt idx="10">
                  <c:v>4.8311904761904767</c:v>
                </c:pt>
                <c:pt idx="12">
                  <c:v>8.5609339774557185</c:v>
                </c:pt>
                <c:pt idx="13">
                  <c:v>0.88629032258064522</c:v>
                </c:pt>
                <c:pt idx="14">
                  <c:v>3.1936353829557711</c:v>
                </c:pt>
                <c:pt idx="16">
                  <c:v>5.3797777777777771</c:v>
                </c:pt>
                <c:pt idx="18">
                  <c:v>0.7350000000000001</c:v>
                </c:pt>
                <c:pt idx="19">
                  <c:v>3.248905025357308</c:v>
                </c:pt>
                <c:pt idx="20">
                  <c:v>4.1612364243943185</c:v>
                </c:pt>
                <c:pt idx="21">
                  <c:v>3.2914166666666667</c:v>
                </c:pt>
                <c:pt idx="22">
                  <c:v>2.1959278350515468</c:v>
                </c:pt>
                <c:pt idx="23">
                  <c:v>3.9937759336099594</c:v>
                </c:pt>
                <c:pt idx="24">
                  <c:v>5.708020050125314</c:v>
                </c:pt>
                <c:pt idx="25">
                  <c:v>3.21382905982906</c:v>
                </c:pt>
                <c:pt idx="26">
                  <c:v>1.9680041152263374</c:v>
                </c:pt>
                <c:pt idx="28">
                  <c:v>4.2283310281235593</c:v>
                </c:pt>
                <c:pt idx="29">
                  <c:v>7.6698263888888887</c:v>
                </c:pt>
                <c:pt idx="30">
                  <c:v>4.5028418803418795</c:v>
                </c:pt>
                <c:pt idx="31">
                  <c:v>1.2507407407407407</c:v>
                </c:pt>
                <c:pt idx="32">
                  <c:v>4.7059120534609367</c:v>
                </c:pt>
                <c:pt idx="33">
                  <c:v>1.5283060109289619</c:v>
                </c:pt>
                <c:pt idx="34">
                  <c:v>3.2874074074074073</c:v>
                </c:pt>
                <c:pt idx="35">
                  <c:v>1.7763076923076921</c:v>
                </c:pt>
                <c:pt idx="36">
                  <c:v>1.267366255144033</c:v>
                </c:pt>
                <c:pt idx="37">
                  <c:v>2.5587983091787443</c:v>
                </c:pt>
                <c:pt idx="38">
                  <c:v>1.8272945205479454</c:v>
                </c:pt>
                <c:pt idx="39">
                  <c:v>3.2772955974842768</c:v>
                </c:pt>
                <c:pt idx="41">
                  <c:v>1.3819732595666208</c:v>
                </c:pt>
                <c:pt idx="42">
                  <c:v>1.7815432098765431</c:v>
                </c:pt>
                <c:pt idx="43">
                  <c:v>3.0030000000000001</c:v>
                </c:pt>
                <c:pt idx="44">
                  <c:v>0.80666666666666664</c:v>
                </c:pt>
                <c:pt idx="45">
                  <c:v>0.65180708180708191</c:v>
                </c:pt>
                <c:pt idx="46">
                  <c:v>0.62102222222222225</c:v>
                </c:pt>
                <c:pt idx="47">
                  <c:v>1.851769547325103</c:v>
                </c:pt>
                <c:pt idx="49">
                  <c:v>5.5370370370370381</c:v>
                </c:pt>
                <c:pt idx="51">
                  <c:v>4.8704898446833926</c:v>
                </c:pt>
                <c:pt idx="52">
                  <c:v>4.2322549019607845</c:v>
                </c:pt>
                <c:pt idx="53">
                  <c:v>3.3535367762128332</c:v>
                </c:pt>
                <c:pt idx="54">
                  <c:v>2.2659457671957677</c:v>
                </c:pt>
                <c:pt idx="55">
                  <c:v>4.754084967320261</c:v>
                </c:pt>
                <c:pt idx="56">
                  <c:v>2.1332859078590789</c:v>
                </c:pt>
                <c:pt idx="57">
                  <c:v>4.374320987654321</c:v>
                </c:pt>
                <c:pt idx="58">
                  <c:v>0.98685185185185198</c:v>
                </c:pt>
                <c:pt idx="59">
                  <c:v>2.1361524822695039</c:v>
                </c:pt>
                <c:pt idx="60">
                  <c:v>3.1243137254901963</c:v>
                </c:pt>
                <c:pt idx="61">
                  <c:v>4.8888888888888893</c:v>
                </c:pt>
                <c:pt idx="62">
                  <c:v>2.9755384615384615</c:v>
                </c:pt>
                <c:pt idx="63">
                  <c:v>1.2349999999999999</c:v>
                </c:pt>
                <c:pt idx="65">
                  <c:v>2.8790123456790124</c:v>
                </c:pt>
                <c:pt idx="66">
                  <c:v>4.2604142300194932</c:v>
                </c:pt>
                <c:pt idx="67">
                  <c:v>4.028242424242424</c:v>
                </c:pt>
                <c:pt idx="68">
                  <c:v>3.3820308898109737</c:v>
                </c:pt>
                <c:pt idx="70">
                  <c:v>2.1331410256410259</c:v>
                </c:pt>
                <c:pt idx="71">
                  <c:v>3.9832666666666667</c:v>
                </c:pt>
                <c:pt idx="72">
                  <c:v>2.9319386814200099</c:v>
                </c:pt>
                <c:pt idx="73">
                  <c:v>3.2059325396825402</c:v>
                </c:pt>
                <c:pt idx="75">
                  <c:v>2.0209595959595958</c:v>
                </c:pt>
                <c:pt idx="76">
                  <c:v>4.3797690387016228</c:v>
                </c:pt>
                <c:pt idx="78">
                  <c:v>1.7862065972222219</c:v>
                </c:pt>
                <c:pt idx="79">
                  <c:v>2.956744186046512</c:v>
                </c:pt>
                <c:pt idx="80">
                  <c:v>4.8605128205128203</c:v>
                </c:pt>
                <c:pt idx="81">
                  <c:v>4.6258641975308645</c:v>
                </c:pt>
                <c:pt idx="83">
                  <c:v>1.7282147315855183</c:v>
                </c:pt>
                <c:pt idx="84">
                  <c:v>4.2156523743660683</c:v>
                </c:pt>
                <c:pt idx="85">
                  <c:v>2.6421972534332085</c:v>
                </c:pt>
                <c:pt idx="86">
                  <c:v>2.384934640522876</c:v>
                </c:pt>
                <c:pt idx="87">
                  <c:v>5.1253457814661152</c:v>
                </c:pt>
                <c:pt idx="88">
                  <c:v>2.1456097560975609</c:v>
                </c:pt>
                <c:pt idx="90">
                  <c:v>5.3783333333333339</c:v>
                </c:pt>
                <c:pt idx="92">
                  <c:v>2.0044444444444447</c:v>
                </c:pt>
                <c:pt idx="93">
                  <c:v>1.7436363636363637</c:v>
                </c:pt>
                <c:pt idx="94">
                  <c:v>2.0287037037037039</c:v>
                </c:pt>
                <c:pt idx="95">
                  <c:v>3.1522480620155044</c:v>
                </c:pt>
                <c:pt idx="97">
                  <c:v>1.9040909090909091</c:v>
                </c:pt>
                <c:pt idx="98">
                  <c:v>2.7333333333333334</c:v>
                </c:pt>
                <c:pt idx="99">
                  <c:v>3.1063380281690147</c:v>
                </c:pt>
                <c:pt idx="100">
                  <c:v>3.1353666666666671</c:v>
                </c:pt>
                <c:pt idx="101">
                  <c:v>6.6693666666666669</c:v>
                </c:pt>
                <c:pt idx="102">
                  <c:v>5.6116666666666664</c:v>
                </c:pt>
                <c:pt idx="103">
                  <c:v>2.7893038266482257</c:v>
                </c:pt>
                <c:pt idx="104">
                  <c:v>2.0431250000000003</c:v>
                </c:pt>
                <c:pt idx="105">
                  <c:v>3.1074025974025972</c:v>
                </c:pt>
                <c:pt idx="106">
                  <c:v>3.4686622807017549</c:v>
                </c:pt>
                <c:pt idx="107">
                  <c:v>4.002194787379973</c:v>
                </c:pt>
                <c:pt idx="108">
                  <c:v>7.9527777777777784</c:v>
                </c:pt>
                <c:pt idx="110">
                  <c:v>2.8253968253968251</c:v>
                </c:pt>
                <c:pt idx="111">
                  <c:v>6.2924999999999995</c:v>
                </c:pt>
                <c:pt idx="112">
                  <c:v>4.7587499999999991</c:v>
                </c:pt>
                <c:pt idx="113">
                  <c:v>3.9133928571428571</c:v>
                </c:pt>
                <c:pt idx="115">
                  <c:v>2.4395555555555557</c:v>
                </c:pt>
                <c:pt idx="116">
                  <c:v>2.1308479532163744</c:v>
                </c:pt>
                <c:pt idx="117">
                  <c:v>1.3641414141414141</c:v>
                </c:pt>
                <c:pt idx="118">
                  <c:v>3.8899637681159414</c:v>
                </c:pt>
                <c:pt idx="119">
                  <c:v>4.8751612903225805</c:v>
                </c:pt>
                <c:pt idx="121">
                  <c:v>3.0961168384879727</c:v>
                </c:pt>
                <c:pt idx="122">
                  <c:v>5.8224999999999998</c:v>
                </c:pt>
                <c:pt idx="123">
                  <c:v>7.2106303418803428</c:v>
                </c:pt>
                <c:pt idx="124">
                  <c:v>2.3260416666666668</c:v>
                </c:pt>
                <c:pt idx="125">
                  <c:v>5.5059191919191921</c:v>
                </c:pt>
                <c:pt idx="127">
                  <c:v>6.1120370370370365</c:v>
                </c:pt>
                <c:pt idx="128">
                  <c:v>3.1376736111111114</c:v>
                </c:pt>
                <c:pt idx="129">
                  <c:v>3.5969583333333333</c:v>
                </c:pt>
                <c:pt idx="130">
                  <c:v>2.4196825396825394</c:v>
                </c:pt>
                <c:pt idx="131">
                  <c:v>5.0536616161616159</c:v>
                </c:pt>
                <c:pt idx="132">
                  <c:v>4.1091875</c:v>
                </c:pt>
                <c:pt idx="133">
                  <c:v>5.8577342047930294</c:v>
                </c:pt>
                <c:pt idx="134">
                  <c:v>2.8703124999999998</c:v>
                </c:pt>
                <c:pt idx="137">
                  <c:v>3.0506666666666664</c:v>
                </c:pt>
                <c:pt idx="138">
                  <c:v>6.6385470085470093</c:v>
                </c:pt>
                <c:pt idx="139">
                  <c:v>3.5597799779977994</c:v>
                </c:pt>
                <c:pt idx="140">
                  <c:v>3.9918535825545169</c:v>
                </c:pt>
                <c:pt idx="141">
                  <c:v>2.9830107526881724</c:v>
                </c:pt>
                <c:pt idx="142">
                  <c:v>5.2515798611111126</c:v>
                </c:pt>
                <c:pt idx="143">
                  <c:v>4.4850000000000003</c:v>
                </c:pt>
                <c:pt idx="144">
                  <c:v>6.9970312499999991</c:v>
                </c:pt>
                <c:pt idx="145">
                  <c:v>1.8449014336917564</c:v>
                </c:pt>
                <c:pt idx="147">
                  <c:v>4.4531410256410258</c:v>
                </c:pt>
                <c:pt idx="148">
                  <c:v>4.6486284722222226</c:v>
                </c:pt>
                <c:pt idx="149">
                  <c:v>3.0798888888888887</c:v>
                </c:pt>
                <c:pt idx="150">
                  <c:v>2.6969135802469135</c:v>
                </c:pt>
                <c:pt idx="151">
                  <c:v>3.6798765432098763</c:v>
                </c:pt>
                <c:pt idx="152">
                  <c:v>4.694685990338165</c:v>
                </c:pt>
                <c:pt idx="154">
                  <c:v>1.4275946275946276</c:v>
                </c:pt>
                <c:pt idx="155">
                  <c:v>3.3598432457353624</c:v>
                </c:pt>
                <c:pt idx="157">
                  <c:v>7.0699253731343283</c:v>
                </c:pt>
                <c:pt idx="159">
                  <c:v>6.2816393442622953</c:v>
                </c:pt>
                <c:pt idx="161">
                  <c:v>4.4945827570308907</c:v>
                </c:pt>
                <c:pt idx="164">
                  <c:v>4.6480753968253961</c:v>
                </c:pt>
                <c:pt idx="165">
                  <c:v>2.4383505154639176</c:v>
                </c:pt>
                <c:pt idx="166">
                  <c:v>4.4182142857142868</c:v>
                </c:pt>
                <c:pt idx="167">
                  <c:v>0.60214297385620918</c:v>
                </c:pt>
                <c:pt idx="168">
                  <c:v>1.5265925925925927</c:v>
                </c:pt>
                <c:pt idx="169">
                  <c:v>1.5200231481481481</c:v>
                </c:pt>
                <c:pt idx="170">
                  <c:v>1.5689834024896268</c:v>
                </c:pt>
                <c:pt idx="171">
                  <c:v>2.2598039215686274</c:v>
                </c:pt>
                <c:pt idx="172">
                  <c:v>2.7720634920634923</c:v>
                </c:pt>
                <c:pt idx="173">
                  <c:v>7.8082539682539682</c:v>
                </c:pt>
                <c:pt idx="174">
                  <c:v>6.8219088319088321</c:v>
                </c:pt>
                <c:pt idx="175">
                  <c:v>2.8744444444444448</c:v>
                </c:pt>
                <c:pt idx="177">
                  <c:v>2.1764880952380952</c:v>
                </c:pt>
                <c:pt idx="178">
                  <c:v>2.3425438596491235</c:v>
                </c:pt>
                <c:pt idx="179">
                  <c:v>3.121481481481482</c:v>
                </c:pt>
                <c:pt idx="181">
                  <c:v>2.3672131147540982</c:v>
                </c:pt>
                <c:pt idx="182">
                  <c:v>2.2173688271604939</c:v>
                </c:pt>
                <c:pt idx="183">
                  <c:v>3.6114485981308411</c:v>
                </c:pt>
                <c:pt idx="184">
                  <c:v>3.5021491228070176</c:v>
                </c:pt>
                <c:pt idx="185">
                  <c:v>3.9624843945068671</c:v>
                </c:pt>
                <c:pt idx="186">
                  <c:v>6.7473118279569899</c:v>
                </c:pt>
                <c:pt idx="187">
                  <c:v>2.3052631578947373</c:v>
                </c:pt>
                <c:pt idx="188">
                  <c:v>3.0495959595959592</c:v>
                </c:pt>
                <c:pt idx="189">
                  <c:v>5.809593253968254</c:v>
                </c:pt>
                <c:pt idx="190">
                  <c:v>1.696293650793651</c:v>
                </c:pt>
                <c:pt idx="192">
                  <c:v>5.056140350877194</c:v>
                </c:pt>
                <c:pt idx="193">
                  <c:v>3.0474999999999994</c:v>
                </c:pt>
                <c:pt idx="194">
                  <c:v>4.399746588693958</c:v>
                </c:pt>
                <c:pt idx="195">
                  <c:v>1.5917460317460317</c:v>
                </c:pt>
                <c:pt idx="196">
                  <c:v>5.1775000000000002</c:v>
                </c:pt>
                <c:pt idx="198">
                  <c:v>3.6333333333333333</c:v>
                </c:pt>
                <c:pt idx="199">
                  <c:v>6.9222222222222225</c:v>
                </c:pt>
                <c:pt idx="200">
                  <c:v>4.5415111111111113</c:v>
                </c:pt>
                <c:pt idx="201">
                  <c:v>3.0338333333333338</c:v>
                </c:pt>
                <c:pt idx="203">
                  <c:v>3.287242063492064</c:v>
                </c:pt>
                <c:pt idx="204">
                  <c:v>2.0398550724637681</c:v>
                </c:pt>
                <c:pt idx="205">
                  <c:v>4.4443175287356311</c:v>
                </c:pt>
                <c:pt idx="206">
                  <c:v>9.0955158730158736</c:v>
                </c:pt>
                <c:pt idx="207">
                  <c:v>4.1940888888888894</c:v>
                </c:pt>
                <c:pt idx="208">
                  <c:v>2.288214285714286</c:v>
                </c:pt>
                <c:pt idx="209">
                  <c:v>1.6645299145299144</c:v>
                </c:pt>
                <c:pt idx="211">
                  <c:v>3.7088011695906435</c:v>
                </c:pt>
                <c:pt idx="212">
                  <c:v>1.8753968253968258</c:v>
                </c:pt>
                <c:pt idx="214">
                  <c:v>3.2716666666666665</c:v>
                </c:pt>
                <c:pt idx="215">
                  <c:v>4.558039215686275</c:v>
                </c:pt>
                <c:pt idx="216">
                  <c:v>5.0946031746031739</c:v>
                </c:pt>
              </c:numCache>
            </c:numRef>
          </c:xVal>
          <c:yVal>
            <c:numRef>
              <c:f>Survey_2017!$EQ$2:$EQ$218</c:f>
              <c:numCache>
                <c:formatCode>0.00</c:formatCode>
                <c:ptCount val="217"/>
                <c:pt idx="0">
                  <c:v>2.1057264957264956</c:v>
                </c:pt>
                <c:pt idx="3">
                  <c:v>3.6023333333333336</c:v>
                </c:pt>
                <c:pt idx="4">
                  <c:v>4.7087059620596206</c:v>
                </c:pt>
                <c:pt idx="5">
                  <c:v>5.2584313725490208</c:v>
                </c:pt>
                <c:pt idx="6">
                  <c:v>3.0304347826086957</c:v>
                </c:pt>
                <c:pt idx="7">
                  <c:v>5.222317073170732</c:v>
                </c:pt>
                <c:pt idx="8">
                  <c:v>6.3551751959428318</c:v>
                </c:pt>
                <c:pt idx="9">
                  <c:v>5.0049180327868861</c:v>
                </c:pt>
                <c:pt idx="10">
                  <c:v>7.5644387755102054</c:v>
                </c:pt>
                <c:pt idx="12">
                  <c:v>5.5115789473684202</c:v>
                </c:pt>
                <c:pt idx="13">
                  <c:v>3.5354575163398692</c:v>
                </c:pt>
                <c:pt idx="14">
                  <c:v>5.6448</c:v>
                </c:pt>
                <c:pt idx="16">
                  <c:v>6.9800529100529101</c:v>
                </c:pt>
                <c:pt idx="18">
                  <c:v>1.0766262626262626</c:v>
                </c:pt>
                <c:pt idx="19">
                  <c:v>2.5959543568464731</c:v>
                </c:pt>
                <c:pt idx="20">
                  <c:v>3.9906716417910451</c:v>
                </c:pt>
                <c:pt idx="21">
                  <c:v>3.4334920634920634</c:v>
                </c:pt>
                <c:pt idx="22">
                  <c:v>4.828862745098041</c:v>
                </c:pt>
                <c:pt idx="23">
                  <c:v>6.9098662978331031</c:v>
                </c:pt>
                <c:pt idx="24">
                  <c:v>7.8135323383084572</c:v>
                </c:pt>
                <c:pt idx="25">
                  <c:v>3.599679266895762</c:v>
                </c:pt>
                <c:pt idx="26">
                  <c:v>4.5884426229508186</c:v>
                </c:pt>
                <c:pt idx="28">
                  <c:v>4.3012332872291381</c:v>
                </c:pt>
                <c:pt idx="29">
                  <c:v>5.087955082742317</c:v>
                </c:pt>
                <c:pt idx="30">
                  <c:v>2.9083019713261651</c:v>
                </c:pt>
                <c:pt idx="31">
                  <c:v>3.827833333333333</c:v>
                </c:pt>
                <c:pt idx="32">
                  <c:v>4.2152045454545455</c:v>
                </c:pt>
                <c:pt idx="33">
                  <c:v>7.1007445987654325</c:v>
                </c:pt>
                <c:pt idx="34">
                  <c:v>4.9689617486338804</c:v>
                </c:pt>
                <c:pt idx="35">
                  <c:v>3.8703216374269007</c:v>
                </c:pt>
                <c:pt idx="36">
                  <c:v>3.309474206349206</c:v>
                </c:pt>
                <c:pt idx="37">
                  <c:v>4.3659903381642522</c:v>
                </c:pt>
                <c:pt idx="38">
                  <c:v>0.7377893518518519</c:v>
                </c:pt>
                <c:pt idx="39">
                  <c:v>2.7063937621832368</c:v>
                </c:pt>
                <c:pt idx="41">
                  <c:v>0.60223605348086684</c:v>
                </c:pt>
                <c:pt idx="42">
                  <c:v>3.710984848484848</c:v>
                </c:pt>
                <c:pt idx="43">
                  <c:v>4.0950000000000006</c:v>
                </c:pt>
                <c:pt idx="44">
                  <c:v>2.6150000000000007</c:v>
                </c:pt>
                <c:pt idx="45">
                  <c:v>1.3320833333333333</c:v>
                </c:pt>
                <c:pt idx="46">
                  <c:v>1.6678354978354979</c:v>
                </c:pt>
                <c:pt idx="47">
                  <c:v>4.5219278252611588</c:v>
                </c:pt>
                <c:pt idx="49">
                  <c:v>5.0166666666666675</c:v>
                </c:pt>
                <c:pt idx="50">
                  <c:v>3.2108690640848323</c:v>
                </c:pt>
                <c:pt idx="51">
                  <c:v>4.9697139303482594</c:v>
                </c:pt>
                <c:pt idx="52">
                  <c:v>5.3312345679012347</c:v>
                </c:pt>
                <c:pt idx="53">
                  <c:v>3.1470246085011189</c:v>
                </c:pt>
                <c:pt idx="54">
                  <c:v>3.5419369369369371</c:v>
                </c:pt>
                <c:pt idx="55">
                  <c:v>6.3221399176954733</c:v>
                </c:pt>
                <c:pt idx="56">
                  <c:v>1.3284848484848486</c:v>
                </c:pt>
                <c:pt idx="57">
                  <c:v>5.6077777777777786</c:v>
                </c:pt>
                <c:pt idx="58">
                  <c:v>1.3176169590643276</c:v>
                </c:pt>
                <c:pt idx="59">
                  <c:v>6.8032432432432426</c:v>
                </c:pt>
                <c:pt idx="60">
                  <c:v>4.9751094890510945</c:v>
                </c:pt>
                <c:pt idx="61">
                  <c:v>4.1192857142857147</c:v>
                </c:pt>
                <c:pt idx="62">
                  <c:v>2.4562318840579711</c:v>
                </c:pt>
                <c:pt idx="63">
                  <c:v>2.9491228070175444</c:v>
                </c:pt>
                <c:pt idx="65">
                  <c:v>1.9834615384615384</c:v>
                </c:pt>
                <c:pt idx="66">
                  <c:v>5.9731590413943358</c:v>
                </c:pt>
                <c:pt idx="67">
                  <c:v>5.4377160493827166</c:v>
                </c:pt>
                <c:pt idx="68">
                  <c:v>6.4027201475334259</c:v>
                </c:pt>
                <c:pt idx="70">
                  <c:v>2.3523905723905729</c:v>
                </c:pt>
                <c:pt idx="71">
                  <c:v>6.1818444444444438</c:v>
                </c:pt>
                <c:pt idx="72">
                  <c:v>6.0572268326417715</c:v>
                </c:pt>
                <c:pt idx="73">
                  <c:v>3.2663227513227522</c:v>
                </c:pt>
                <c:pt idx="75">
                  <c:v>1.9368677248677248</c:v>
                </c:pt>
                <c:pt idx="76">
                  <c:v>5.9669819819819825</c:v>
                </c:pt>
                <c:pt idx="78">
                  <c:v>1.5120707070707073</c:v>
                </c:pt>
                <c:pt idx="79">
                  <c:v>3.0755325987144171</c:v>
                </c:pt>
                <c:pt idx="80">
                  <c:v>5.7745036429872503</c:v>
                </c:pt>
                <c:pt idx="81">
                  <c:v>2.9799326599326599</c:v>
                </c:pt>
                <c:pt idx="83">
                  <c:v>3.0344827586206895</c:v>
                </c:pt>
                <c:pt idx="84">
                  <c:v>3.5119870908252659</c:v>
                </c:pt>
                <c:pt idx="85">
                  <c:v>6.0290322580645181</c:v>
                </c:pt>
                <c:pt idx="86">
                  <c:v>4.2302898550724635</c:v>
                </c:pt>
                <c:pt idx="87">
                  <c:v>3.9779276164130941</c:v>
                </c:pt>
                <c:pt idx="88">
                  <c:v>3.4264840182648406</c:v>
                </c:pt>
                <c:pt idx="90">
                  <c:v>6.3838596491228063</c:v>
                </c:pt>
                <c:pt idx="92">
                  <c:v>4.8502740740740737</c:v>
                </c:pt>
                <c:pt idx="93">
                  <c:v>1.7766666666666666</c:v>
                </c:pt>
                <c:pt idx="94">
                  <c:v>0.88611111111111118</c:v>
                </c:pt>
                <c:pt idx="95">
                  <c:v>1.0713888888888889</c:v>
                </c:pt>
                <c:pt idx="97">
                  <c:v>4.1701260835303398</c:v>
                </c:pt>
                <c:pt idx="98">
                  <c:v>2.9285521885521888</c:v>
                </c:pt>
                <c:pt idx="99">
                  <c:v>1.6372641509433961</c:v>
                </c:pt>
                <c:pt idx="100">
                  <c:v>2.8506535947712424</c:v>
                </c:pt>
                <c:pt idx="101">
                  <c:v>4.81643709825528</c:v>
                </c:pt>
                <c:pt idx="102">
                  <c:v>6.0332661290322598</c:v>
                </c:pt>
                <c:pt idx="103">
                  <c:v>3.2774319963116652</c:v>
                </c:pt>
                <c:pt idx="104">
                  <c:v>3.2203763440860218</c:v>
                </c:pt>
                <c:pt idx="105">
                  <c:v>4.5437149270482609</c:v>
                </c:pt>
                <c:pt idx="106">
                  <c:v>3.9239652777777776</c:v>
                </c:pt>
                <c:pt idx="107">
                  <c:v>4.946190476190476</c:v>
                </c:pt>
                <c:pt idx="108">
                  <c:v>8.4211111111111112</c:v>
                </c:pt>
                <c:pt idx="110">
                  <c:v>6.4602905198776757</c:v>
                </c:pt>
                <c:pt idx="111">
                  <c:v>4.329646090534979</c:v>
                </c:pt>
                <c:pt idx="112">
                  <c:v>5.9960095579450421</c:v>
                </c:pt>
                <c:pt idx="113">
                  <c:v>4.6600896057347683</c:v>
                </c:pt>
                <c:pt idx="115">
                  <c:v>4.0095731707317075</c:v>
                </c:pt>
                <c:pt idx="116">
                  <c:v>2.6847032828282833</c:v>
                </c:pt>
                <c:pt idx="117">
                  <c:v>1.1739814814814815</c:v>
                </c:pt>
                <c:pt idx="118">
                  <c:v>6.7026666666666657</c:v>
                </c:pt>
                <c:pt idx="119">
                  <c:v>8.9088477366255141</c:v>
                </c:pt>
                <c:pt idx="121">
                  <c:v>5.0104880581516094</c:v>
                </c:pt>
                <c:pt idx="122">
                  <c:v>6.488911290322581</c:v>
                </c:pt>
                <c:pt idx="123">
                  <c:v>2.4838787878787878</c:v>
                </c:pt>
                <c:pt idx="124">
                  <c:v>2.1940196078431375</c:v>
                </c:pt>
                <c:pt idx="125">
                  <c:v>5.5972756410256412</c:v>
                </c:pt>
                <c:pt idx="127">
                  <c:v>6.7194444444444441</c:v>
                </c:pt>
                <c:pt idx="128">
                  <c:v>3.0465217391304353</c:v>
                </c:pt>
                <c:pt idx="129">
                  <c:v>5.5814553990610332</c:v>
                </c:pt>
                <c:pt idx="130">
                  <c:v>0.4792380952380953</c:v>
                </c:pt>
                <c:pt idx="131">
                  <c:v>2.8395238095238096</c:v>
                </c:pt>
                <c:pt idx="132">
                  <c:v>4.7298395061728398</c:v>
                </c:pt>
                <c:pt idx="133">
                  <c:v>3.574106280193238</c:v>
                </c:pt>
                <c:pt idx="134">
                  <c:v>2.7843749999999998</c:v>
                </c:pt>
                <c:pt idx="137">
                  <c:v>4.5663003663003661</c:v>
                </c:pt>
                <c:pt idx="138">
                  <c:v>5.5049834162520721</c:v>
                </c:pt>
                <c:pt idx="139">
                  <c:v>5.1321169590643283</c:v>
                </c:pt>
                <c:pt idx="140">
                  <c:v>2.7788359788359793</c:v>
                </c:pt>
                <c:pt idx="141">
                  <c:v>2.4495024875621887</c:v>
                </c:pt>
                <c:pt idx="142">
                  <c:v>3.6215962441314558</c:v>
                </c:pt>
                <c:pt idx="143">
                  <c:v>6.6211111111111123</c:v>
                </c:pt>
                <c:pt idx="144">
                  <c:v>11.956639118457302</c:v>
                </c:pt>
                <c:pt idx="145">
                  <c:v>5.2824483775811215</c:v>
                </c:pt>
                <c:pt idx="147">
                  <c:v>6.6973180076628367</c:v>
                </c:pt>
                <c:pt idx="148">
                  <c:v>5.5517261904761916</c:v>
                </c:pt>
                <c:pt idx="149">
                  <c:v>4.3046052631578959</c:v>
                </c:pt>
                <c:pt idx="150">
                  <c:v>3.8155270655270659</c:v>
                </c:pt>
                <c:pt idx="151">
                  <c:v>4.6879064327485391</c:v>
                </c:pt>
                <c:pt idx="152">
                  <c:v>4.1203225806451611</c:v>
                </c:pt>
                <c:pt idx="154">
                  <c:v>4.1397050147492624</c:v>
                </c:pt>
                <c:pt idx="155">
                  <c:v>4.2315006915629327</c:v>
                </c:pt>
                <c:pt idx="157">
                  <c:v>7.448913857677903</c:v>
                </c:pt>
                <c:pt idx="158">
                  <c:v>1.8351876876876878</c:v>
                </c:pt>
                <c:pt idx="159">
                  <c:v>7.4040827740492166</c:v>
                </c:pt>
                <c:pt idx="161">
                  <c:v>6.1935223605348089</c:v>
                </c:pt>
                <c:pt idx="164">
                  <c:v>4.0940000000000012</c:v>
                </c:pt>
                <c:pt idx="165">
                  <c:v>5.2870454545454546</c:v>
                </c:pt>
                <c:pt idx="166">
                  <c:v>1.84375</c:v>
                </c:pt>
                <c:pt idx="167">
                  <c:v>6.2017910447761189</c:v>
                </c:pt>
                <c:pt idx="168">
                  <c:v>0.96595424836601307</c:v>
                </c:pt>
                <c:pt idx="169">
                  <c:v>2.9348888888888895</c:v>
                </c:pt>
                <c:pt idx="170">
                  <c:v>2.3297026279391426</c:v>
                </c:pt>
                <c:pt idx="171">
                  <c:v>2.7377777777777776</c:v>
                </c:pt>
                <c:pt idx="172">
                  <c:v>3.2838888888888893</c:v>
                </c:pt>
                <c:pt idx="173">
                  <c:v>7.6682458282458272</c:v>
                </c:pt>
                <c:pt idx="174">
                  <c:v>5.240112612612613</c:v>
                </c:pt>
                <c:pt idx="175">
                  <c:v>3.183567251461989</c:v>
                </c:pt>
                <c:pt idx="177">
                  <c:v>3.9537362637362641</c:v>
                </c:pt>
                <c:pt idx="178">
                  <c:v>2.9973099415204687</c:v>
                </c:pt>
                <c:pt idx="179">
                  <c:v>3.0776190476190486</c:v>
                </c:pt>
                <c:pt idx="181">
                  <c:v>5.1791666666666663</c:v>
                </c:pt>
                <c:pt idx="182">
                  <c:v>3.46</c:v>
                </c:pt>
                <c:pt idx="183">
                  <c:v>3.8436257309941526</c:v>
                </c:pt>
                <c:pt idx="184">
                  <c:v>5.0060396039603967</c:v>
                </c:pt>
                <c:pt idx="185">
                  <c:v>6.9046691635455684</c:v>
                </c:pt>
                <c:pt idx="186">
                  <c:v>10.053000000000001</c:v>
                </c:pt>
                <c:pt idx="187">
                  <c:v>2.9555555555555557</c:v>
                </c:pt>
                <c:pt idx="188">
                  <c:v>3.595895424836602</c:v>
                </c:pt>
                <c:pt idx="189">
                  <c:v>6.758024691358024</c:v>
                </c:pt>
                <c:pt idx="190">
                  <c:v>2.3436111111111111</c:v>
                </c:pt>
                <c:pt idx="192">
                  <c:v>2.045795795795796</c:v>
                </c:pt>
                <c:pt idx="193">
                  <c:v>2.6305263157894738</c:v>
                </c:pt>
                <c:pt idx="194">
                  <c:v>7.5716569200779738</c:v>
                </c:pt>
                <c:pt idx="195">
                  <c:v>2.7769907407407413</c:v>
                </c:pt>
                <c:pt idx="196">
                  <c:v>6.5986590038314183</c:v>
                </c:pt>
                <c:pt idx="198">
                  <c:v>8.3701960784313734</c:v>
                </c:pt>
                <c:pt idx="199">
                  <c:v>8.3174180911680917</c:v>
                </c:pt>
                <c:pt idx="200">
                  <c:v>5.8177777777777777</c:v>
                </c:pt>
                <c:pt idx="201">
                  <c:v>3.8565555555555555</c:v>
                </c:pt>
                <c:pt idx="203">
                  <c:v>3.0870039682539687</c:v>
                </c:pt>
                <c:pt idx="204">
                  <c:v>3.799570048309179</c:v>
                </c:pt>
                <c:pt idx="205">
                  <c:v>4.2125760649087223</c:v>
                </c:pt>
                <c:pt idx="206">
                  <c:v>5.8242276422764228</c:v>
                </c:pt>
                <c:pt idx="207">
                  <c:v>5.0616195856873833</c:v>
                </c:pt>
                <c:pt idx="208">
                  <c:v>2.9975396825396827</c:v>
                </c:pt>
                <c:pt idx="209">
                  <c:v>3.7842424242424242</c:v>
                </c:pt>
                <c:pt idx="211">
                  <c:v>4.0854487179487187</c:v>
                </c:pt>
                <c:pt idx="212">
                  <c:v>4.8642857142857139</c:v>
                </c:pt>
                <c:pt idx="214">
                  <c:v>5.8648309178743965</c:v>
                </c:pt>
                <c:pt idx="215">
                  <c:v>7.3885858585858593</c:v>
                </c:pt>
                <c:pt idx="216">
                  <c:v>3.5504802867383507</c:v>
                </c:pt>
              </c:numCache>
            </c:numRef>
          </c:yVal>
          <c:smooth val="0"/>
          <c:extLst>
            <c:ext xmlns:c16="http://schemas.microsoft.com/office/drawing/2014/chart" uri="{C3380CC4-5D6E-409C-BE32-E72D297353CC}">
              <c16:uniqueId val="{00000000-4E6B-40F6-98ED-0F1AD288651E}"/>
            </c:ext>
          </c:extLst>
        </c:ser>
        <c:ser>
          <c:idx val="1"/>
          <c:order val="1"/>
          <c:spPr>
            <a:ln w="25400" cap="rnd">
              <a:noFill/>
              <a:round/>
            </a:ln>
            <a:effectLst/>
          </c:spPr>
          <c:marker>
            <c:symbol val="none"/>
          </c:marker>
          <c:trendline>
            <c:spPr>
              <a:ln w="19050" cap="rnd" cmpd="sng">
                <a:solidFill>
                  <a:schemeClr val="tx1"/>
                </a:solidFill>
                <a:prstDash val="solid"/>
              </a:ln>
              <a:effectLst/>
            </c:spPr>
            <c:trendlineType val="linear"/>
            <c:dispRSqr val="0"/>
            <c:dispEq val="0"/>
          </c:trendline>
          <c:xVal>
            <c:numRef>
              <c:f>Survey_2017!$EB$2:$EB$13</c:f>
              <c:numCache>
                <c:formatCode>General</c:formatCode>
                <c:ptCount val="12"/>
              </c:numCache>
            </c:numRef>
          </c:xVal>
          <c:yVal>
            <c:numRef>
              <c:f>Survey_2017!$EB$2:$EB$13</c:f>
              <c:numCache>
                <c:formatCode>General</c:formatCode>
                <c:ptCount val="12"/>
              </c:numCache>
            </c:numRef>
          </c:yVal>
          <c:smooth val="0"/>
          <c:extLst>
            <c:ext xmlns:c16="http://schemas.microsoft.com/office/drawing/2014/chart" uri="{C3380CC4-5D6E-409C-BE32-E72D297353CC}">
              <c16:uniqueId val="{00000002-4E6B-40F6-98ED-0F1AD288651E}"/>
            </c:ext>
          </c:extLst>
        </c:ser>
        <c:dLbls>
          <c:showLegendKey val="0"/>
          <c:showVal val="0"/>
          <c:showCatName val="0"/>
          <c:showSerName val="0"/>
          <c:showPercent val="0"/>
          <c:showBubbleSize val="0"/>
        </c:dLbls>
        <c:axId val="1917442480"/>
        <c:axId val="1917433776"/>
      </c:scatterChart>
      <c:valAx>
        <c:axId val="1917442480"/>
        <c:scaling>
          <c:orientation val="minMax"/>
          <c:max val="12"/>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Farmer practice yield (t/ha)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22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33776"/>
        <c:crosses val="autoZero"/>
        <c:crossBetween val="midCat"/>
      </c:valAx>
      <c:valAx>
        <c:axId val="1917433776"/>
        <c:scaling>
          <c:orientation val="minMax"/>
          <c:max val="12"/>
          <c:min val="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Improved practice yield (t/ha)</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222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7442480"/>
        <c:crosses val="autoZero"/>
        <c:crossBetween val="midCat"/>
        <c:majorUnit val="2.4"/>
        <c:minorUnit val="0.4"/>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(a)</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12457603956530228"/>
          <c:y val="4.0293028671503944E-2"/>
          <c:w val="0.81338105464089716"/>
          <c:h val="0.87473165621653359"/>
        </c:manualLayout>
      </c:layout>
      <c:barChart>
        <c:barDir val="col"/>
        <c:grouping val="clustered"/>
        <c:varyColors val="0"/>
        <c:ser>
          <c:idx val="0"/>
          <c:order val="0"/>
          <c:tx>
            <c:strRef>
              <c:f>Figs1!$C$3</c:f>
              <c:strCache>
                <c:ptCount val="1"/>
                <c:pt idx="0">
                  <c:v>Yield</c:v>
                </c:pt>
              </c:strCache>
            </c:strRef>
          </c:tx>
          <c:spPr>
            <a:solidFill>
              <a:schemeClr val="bg1">
                <a:lumMod val="65000"/>
              </a:schemeClr>
            </a:solidFill>
            <a:ln w="9525" cap="flat" cmpd="sng" algn="ctr">
              <a:solidFill>
                <a:schemeClr val="bg1">
                  <a:lumMod val="65000"/>
                </a:schemeClr>
              </a:solidFill>
              <a:round/>
            </a:ln>
            <a:effectLst/>
          </c:spPr>
          <c:invertIfNegative val="0"/>
          <c:errBars>
            <c:errBarType val="both"/>
            <c:errValType val="cust"/>
            <c:noEndCap val="0"/>
            <c:plus>
              <c:numRef>
                <c:f>Figs1!$G$25:$G$28</c:f>
                <c:numCache>
                  <c:formatCode>General</c:formatCode>
                  <c:ptCount val="4"/>
                  <c:pt idx="0">
                    <c:v>0.27411999999999992</c:v>
                  </c:pt>
                  <c:pt idx="1">
                    <c:v>0.39920999999999918</c:v>
                  </c:pt>
                  <c:pt idx="2">
                    <c:v>0.26700000000000035</c:v>
                  </c:pt>
                  <c:pt idx="3">
                    <c:v>0.3199999999999994</c:v>
                  </c:pt>
                </c:numCache>
              </c:numRef>
            </c:plus>
            <c:minus>
              <c:numRef>
                <c:f>Figs1!$F$25:$F$28</c:f>
                <c:numCache>
                  <c:formatCode>General</c:formatCode>
                  <c:ptCount val="4"/>
                  <c:pt idx="0">
                    <c:v>0.38688000000000011</c:v>
                  </c:pt>
                  <c:pt idx="1">
                    <c:v>0.29279000000000011</c:v>
                  </c:pt>
                  <c:pt idx="2">
                    <c:v>0.1549999999999998</c:v>
                  </c:pt>
                  <c:pt idx="3">
                    <c:v>0.16999999999999993</c:v>
                  </c:pt>
                </c:numCache>
              </c:numRef>
            </c:minus>
            <c:spPr>
              <a:noFill/>
              <a:ln w="9525">
                <a:solidFill>
                  <a:schemeClr val="tx1">
                    <a:lumMod val="50000"/>
                    <a:lumOff val="50000"/>
                  </a:schemeClr>
                </a:solidFill>
              </a:ln>
              <a:effectLst/>
            </c:spPr>
          </c:errBars>
          <c:cat>
            <c:strRef>
              <c:f>Figs1!$B$25:$B$28</c:f>
              <c:strCache>
                <c:ptCount val="4"/>
                <c:pt idx="0">
                  <c:v>FP 2016</c:v>
                </c:pt>
                <c:pt idx="1">
                  <c:v>IP 2016</c:v>
                </c:pt>
                <c:pt idx="2">
                  <c:v>FP 2017</c:v>
                </c:pt>
                <c:pt idx="3">
                  <c:v>IP 2017</c:v>
                </c:pt>
              </c:strCache>
            </c:strRef>
          </c:cat>
          <c:val>
            <c:numRef>
              <c:f>Figs1!$C$25:$C$28</c:f>
              <c:numCache>
                <c:formatCode>General</c:formatCode>
                <c:ptCount val="4"/>
                <c:pt idx="0">
                  <c:v>2.4748800000000002</c:v>
                </c:pt>
                <c:pt idx="1">
                  <c:v>4.9027900000000004</c:v>
                </c:pt>
                <c:pt idx="2">
                  <c:v>3.59</c:v>
                </c:pt>
                <c:pt idx="3">
                  <c:v>4.45</c:v>
                </c:pt>
              </c:numCache>
            </c:numRef>
          </c:val>
          <c:extLst>
            <c:ext xmlns:c16="http://schemas.microsoft.com/office/drawing/2014/chart" uri="{C3380CC4-5D6E-409C-BE32-E72D297353CC}">
              <c16:uniqueId val="{00000000-0072-463E-B0C8-0197DEC92D5E}"/>
            </c:ext>
          </c:extLst>
        </c:ser>
        <c:dLbls>
          <c:showLegendKey val="0"/>
          <c:showVal val="0"/>
          <c:showCatName val="0"/>
          <c:showSerName val="0"/>
          <c:showPercent val="0"/>
          <c:showBubbleSize val="0"/>
        </c:dLbls>
        <c:gapWidth val="100"/>
        <c:overlap val="-24"/>
        <c:axId val="1917434320"/>
        <c:axId val="1917434864"/>
      </c:barChart>
      <c:catAx>
        <c:axId val="1917434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17434864"/>
        <c:crossesAt val="0"/>
        <c:auto val="1"/>
        <c:lblAlgn val="ctr"/>
        <c:lblOffset val="100"/>
        <c:tickLblSkip val="1"/>
        <c:noMultiLvlLbl val="0"/>
      </c:catAx>
      <c:valAx>
        <c:axId val="1917434864"/>
        <c:scaling>
          <c:orientation val="minMax"/>
        </c:scaling>
        <c:delete val="0"/>
        <c:axPos val="l"/>
        <c:title>
          <c:tx>
            <c:rich>
              <a:bodyPr rot="-5400000" spcFirstLastPara="1" vertOverflow="ellipsis" vert="horz" wrap="square" anchor="ctr" anchorCtr="1"/>
              <a:lstStyle/>
              <a:p>
                <a:pPr>
                  <a:defRPr sz="1000" b="0" i="0" u="none" strike="noStrike" kern="1200" cap="all" baseline="0">
                    <a:solidFill>
                      <a:schemeClr val="tx1">
                        <a:lumMod val="50000"/>
                        <a:lumOff val="50000"/>
                      </a:schemeClr>
                    </a:solidFill>
                    <a:latin typeface="+mn-lt"/>
                    <a:ea typeface="+mn-ea"/>
                    <a:cs typeface="+mn-cs"/>
                  </a:defRPr>
                </a:pPr>
                <a:r>
                  <a:rPr lang="en-US" sz="1000">
                    <a:latin typeface="+mn-lt"/>
                  </a:rPr>
                  <a:t>Maize grain yield (t/ha)</a:t>
                </a:r>
              </a:p>
            </c:rich>
          </c:tx>
          <c:layout>
            <c:manualLayout>
              <c:xMode val="edge"/>
              <c:yMode val="edge"/>
              <c:x val="1.9096220374538956E-2"/>
              <c:y val="0.2829582571488809"/>
            </c:manualLayout>
          </c:layout>
          <c:overlay val="0"/>
          <c:spPr>
            <a:noFill/>
            <a:ln>
              <a:noFill/>
            </a:ln>
            <a:effectLst/>
          </c:spPr>
          <c:txPr>
            <a:bodyPr rot="-5400000" spcFirstLastPara="1" vertOverflow="ellipsis" vert="horz" wrap="square" anchor="ctr" anchorCtr="1"/>
            <a:lstStyle/>
            <a:p>
              <a:pPr>
                <a:defRPr sz="1000" b="0" i="0" u="none" strike="noStrike" kern="1200" cap="all" baseline="0">
                  <a:solidFill>
                    <a:schemeClr val="tx1">
                      <a:lumMod val="50000"/>
                      <a:lumOff val="50000"/>
                    </a:schemeClr>
                  </a:solidFill>
                  <a:latin typeface="+mn-lt"/>
                  <a:ea typeface="+mn-ea"/>
                  <a:cs typeface="+mn-cs"/>
                </a:defRPr>
              </a:pPr>
              <a:endParaRPr lang="en-US"/>
            </a:p>
          </c:txPr>
        </c:title>
        <c:numFmt formatCode="General" sourceLinked="1"/>
        <c:majorTickMark val="none"/>
        <c:minorTickMark val="none"/>
        <c:tickLblPos val="nextTo"/>
        <c:spPr>
          <a:noFill/>
          <a:ln w="15875">
            <a:solidFill>
              <a:schemeClr val="bg1">
                <a:lumMod val="6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917434320"/>
        <c:crosses val="autoZero"/>
        <c:crossBetween val="between"/>
        <c:majorUnit val="1"/>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700-000000000000}">
  <sheetPr/>
  <sheetViews>
    <sheetView zoomScale="12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16</xdr:col>
      <xdr:colOff>0</xdr:colOff>
      <xdr:row>20</xdr:row>
      <xdr:rowOff>90487</xdr:rowOff>
    </xdr:from>
    <xdr:to>
      <xdr:col>23</xdr:col>
      <xdr:colOff>304800</xdr:colOff>
      <xdr:row>34</xdr:row>
      <xdr:rowOff>166687</xdr:rowOff>
    </xdr:to>
    <xdr:graphicFrame macro="">
      <xdr:nvGraphicFramePr>
        <xdr:cNvPr id="10" name="Chart 9">
          <a:extLst>
            <a:ext uri="{FF2B5EF4-FFF2-40B4-BE49-F238E27FC236}">
              <a16:creationId xmlns:a16="http://schemas.microsoft.com/office/drawing/2014/main" id="{00000000-0008-0000-0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314325</xdr:colOff>
      <xdr:row>0</xdr:row>
      <xdr:rowOff>138111</xdr:rowOff>
    </xdr:from>
    <xdr:to>
      <xdr:col>16</xdr:col>
      <xdr:colOff>561975</xdr:colOff>
      <xdr:row>19</xdr:row>
      <xdr:rowOff>85724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438150</xdr:colOff>
      <xdr:row>21</xdr:row>
      <xdr:rowOff>95250</xdr:rowOff>
    </xdr:from>
    <xdr:to>
      <xdr:col>23</xdr:col>
      <xdr:colOff>19050</xdr:colOff>
      <xdr:row>41</xdr:row>
      <xdr:rowOff>0</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absoluteAnchor>
    <xdr:pos x="0" y="0"/>
    <xdr:ext cx="8669587" cy="6287025"/>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xdr:from>
      <xdr:col>10</xdr:col>
      <xdr:colOff>19050</xdr:colOff>
      <xdr:row>13</xdr:row>
      <xdr:rowOff>47627</xdr:rowOff>
    </xdr:from>
    <xdr:to>
      <xdr:col>16</xdr:col>
      <xdr:colOff>304800</xdr:colOff>
      <xdr:row>35</xdr:row>
      <xdr:rowOff>85725</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cgiar-my.sharepoint.com/personal/j_kihara_cgiar_org/Documents/ToBackup/AfricaRising/Project%20proper/Active%20C%20data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oilData"/>
      <sheetName val="Login"/>
      <sheetName val="No. 1-96"/>
      <sheetName val="No. 97-227"/>
      <sheetName val="No. 228-341"/>
      <sheetName val="No. 341-417"/>
      <sheetName val="No. 418-512"/>
      <sheetName val="No. 513-578"/>
      <sheetName val="No. 579-635"/>
      <sheetName val="No. 636-694"/>
      <sheetName val="No. 695-722"/>
      <sheetName val="Repeats"/>
    </sheetNames>
    <sheetDataSet>
      <sheetData sheetId="0"/>
      <sheetData sheetId="1">
        <row r="15">
          <cell r="G15" t="str">
            <v>Leonard Jabu Bendera</v>
          </cell>
          <cell r="H15" t="str">
            <v>F1</v>
          </cell>
          <cell r="I15" t="str">
            <v>0-15</v>
          </cell>
          <cell r="J15">
            <v>0.745</v>
          </cell>
          <cell r="K15">
            <v>470.2676992796512</v>
          </cell>
          <cell r="L15">
            <v>0.16500000000000001</v>
          </cell>
          <cell r="M15">
            <v>2.2480000000000002</v>
          </cell>
        </row>
        <row r="16">
          <cell r="G16" t="str">
            <v>Abas Mohamedi</v>
          </cell>
          <cell r="H16" t="str">
            <v>F1</v>
          </cell>
          <cell r="I16" t="str">
            <v>0-15</v>
          </cell>
          <cell r="J16">
            <v>1.024</v>
          </cell>
          <cell r="K16">
            <v>80.69695571454713</v>
          </cell>
          <cell r="L16">
            <v>9.0999999999999998E-2</v>
          </cell>
          <cell r="M16">
            <v>0.74199999999999999</v>
          </cell>
        </row>
        <row r="17">
          <cell r="G17" t="str">
            <v>Abdi Ally Labu</v>
          </cell>
          <cell r="H17" t="str">
            <v>F1</v>
          </cell>
          <cell r="I17" t="str">
            <v>0-15</v>
          </cell>
          <cell r="J17">
            <v>0.874</v>
          </cell>
          <cell r="K17">
            <v>300.32915318476392</v>
          </cell>
          <cell r="L17">
            <v>0.122</v>
          </cell>
          <cell r="M17">
            <v>1.3720000000000001</v>
          </cell>
        </row>
        <row r="18">
          <cell r="G18" t="str">
            <v>Abdi Antony Silayo</v>
          </cell>
          <cell r="H18" t="str">
            <v>F1</v>
          </cell>
          <cell r="I18" t="str">
            <v>0-15</v>
          </cell>
          <cell r="J18">
            <v>0.78200000000000003</v>
          </cell>
          <cell r="K18">
            <v>425.82156364242962</v>
          </cell>
          <cell r="L18">
            <v>0.13200000000000001</v>
          </cell>
          <cell r="M18">
            <v>1.2529999999999999</v>
          </cell>
        </row>
        <row r="19">
          <cell r="G19" t="str">
            <v>Abdilah Abdala Yusufu</v>
          </cell>
          <cell r="H19" t="str">
            <v>F1</v>
          </cell>
          <cell r="I19" t="str">
            <v>0-15</v>
          </cell>
          <cell r="J19">
            <v>0.78600000000000003</v>
          </cell>
          <cell r="K19">
            <v>413.14252088335769</v>
          </cell>
          <cell r="L19">
            <v>0.157</v>
          </cell>
          <cell r="M19">
            <v>1.516</v>
          </cell>
        </row>
        <row r="20">
          <cell r="G20" t="str">
            <v>Abdilah Juma</v>
          </cell>
          <cell r="H20" t="str">
            <v>F1</v>
          </cell>
          <cell r="I20" t="str">
            <v>0-15</v>
          </cell>
          <cell r="J20">
            <v>1.0309999999999999</v>
          </cell>
          <cell r="K20">
            <v>72.990879761159732</v>
          </cell>
          <cell r="L20">
            <v>8.2000000000000003E-2</v>
          </cell>
          <cell r="M20">
            <v>0.90100000000000002</v>
          </cell>
        </row>
        <row r="21">
          <cell r="G21" t="str">
            <v>Abukakhari Saidi</v>
          </cell>
          <cell r="H21" t="str">
            <v>F1</v>
          </cell>
          <cell r="I21" t="str">
            <v>0-15</v>
          </cell>
          <cell r="J21">
            <v>0.89700000000000002</v>
          </cell>
          <cell r="K21">
            <v>253.25475489831277</v>
          </cell>
          <cell r="L21">
            <v>0.13</v>
          </cell>
          <cell r="M21">
            <v>1.5629999999999999</v>
          </cell>
        </row>
        <row r="22">
          <cell r="G22" t="str">
            <v>Adaa Nada Mabiwa</v>
          </cell>
          <cell r="H22" t="str">
            <v>F1</v>
          </cell>
          <cell r="I22" t="str">
            <v>0-15</v>
          </cell>
          <cell r="J22">
            <v>1.026</v>
          </cell>
          <cell r="K22">
            <v>79.374854336206639</v>
          </cell>
          <cell r="L22">
            <v>9.7000000000000003E-2</v>
          </cell>
          <cell r="M22">
            <v>0.76400000000000001</v>
          </cell>
        </row>
        <row r="23">
          <cell r="G23" t="str">
            <v>Adinam Amsi Sidame</v>
          </cell>
          <cell r="H23" t="str">
            <v>F1</v>
          </cell>
          <cell r="I23" t="str">
            <v>0-15</v>
          </cell>
          <cell r="J23">
            <v>0.84699999999999998</v>
          </cell>
          <cell r="K23">
            <v>331.21282947155476</v>
          </cell>
          <cell r="L23">
            <v>0.14599999999999999</v>
          </cell>
          <cell r="M23">
            <v>1.452</v>
          </cell>
        </row>
        <row r="24">
          <cell r="G24" t="str">
            <v>Alfred Gwandu</v>
          </cell>
          <cell r="H24" t="str">
            <v>F1</v>
          </cell>
          <cell r="I24" t="str">
            <v>0-15</v>
          </cell>
          <cell r="J24">
            <v>0.88800000000000001</v>
          </cell>
          <cell r="K24">
            <v>239.72910281049883</v>
          </cell>
          <cell r="L24">
            <v>0.20799999999999999</v>
          </cell>
          <cell r="M24">
            <v>1.9370000000000001</v>
          </cell>
        </row>
        <row r="25">
          <cell r="G25" t="str">
            <v>Ally Abdilah Abdala</v>
          </cell>
          <cell r="H25" t="str">
            <v>F1</v>
          </cell>
          <cell r="I25" t="str">
            <v>0-15</v>
          </cell>
          <cell r="J25">
            <v>0.89300000000000002</v>
          </cell>
          <cell r="K25">
            <v>274.18974685744104</v>
          </cell>
          <cell r="L25">
            <v>0.115</v>
          </cell>
          <cell r="M25">
            <v>1.1240000000000001</v>
          </cell>
        </row>
        <row r="26">
          <cell r="G26" t="str">
            <v>Amina Warae Amayo</v>
          </cell>
          <cell r="H26" t="str">
            <v>F1</v>
          </cell>
          <cell r="I26" t="str">
            <v>0-15</v>
          </cell>
          <cell r="J26">
            <v>0.76400000000000001</v>
          </cell>
          <cell r="K26">
            <v>433.96489105138988</v>
          </cell>
          <cell r="L26">
            <v>0.156</v>
          </cell>
          <cell r="M26">
            <v>1.472</v>
          </cell>
        </row>
        <row r="27">
          <cell r="G27" t="str">
            <v>Amsi Gurtu</v>
          </cell>
          <cell r="H27" t="str">
            <v>F1</v>
          </cell>
          <cell r="I27" t="str">
            <v>0-15</v>
          </cell>
          <cell r="J27">
            <v>1.0649999999999999</v>
          </cell>
          <cell r="K27">
            <v>13.945554476019279</v>
          </cell>
          <cell r="L27"/>
          <cell r="M27"/>
        </row>
        <row r="28">
          <cell r="G28" t="str">
            <v>Anastazia Bura Dulumbi</v>
          </cell>
          <cell r="H28" t="str">
            <v>F1</v>
          </cell>
          <cell r="I28" t="str">
            <v>0-15</v>
          </cell>
          <cell r="J28">
            <v>0.69799999999999995</v>
          </cell>
          <cell r="K28">
            <v>538.96329641911655</v>
          </cell>
          <cell r="L28">
            <v>0.188</v>
          </cell>
          <cell r="M28">
            <v>2.1040000000000001</v>
          </cell>
        </row>
        <row r="29">
          <cell r="G29" t="str">
            <v>Andrea Dodi Tlaghasi</v>
          </cell>
          <cell r="H29" t="str">
            <v>F1</v>
          </cell>
          <cell r="I29" t="str">
            <v>0-15</v>
          </cell>
          <cell r="J29">
            <v>0.83199999999999996</v>
          </cell>
          <cell r="K29">
            <v>358.11099875042441</v>
          </cell>
          <cell r="L29">
            <v>0.13600000000000001</v>
          </cell>
          <cell r="M29">
            <v>1.5169999999999999</v>
          </cell>
        </row>
        <row r="30">
          <cell r="G30" t="str">
            <v>Andrea Dodi Tlaghasi</v>
          </cell>
          <cell r="H30" t="str">
            <v>F1</v>
          </cell>
          <cell r="I30" t="str">
            <v>0-15</v>
          </cell>
          <cell r="J30">
            <v>0.83299999999999996</v>
          </cell>
          <cell r="K30">
            <v>356.73524052267055</v>
          </cell>
          <cell r="L30">
            <v>0.13600000000000001</v>
          </cell>
          <cell r="M30">
            <v>1.5169999999999999</v>
          </cell>
        </row>
        <row r="31">
          <cell r="G31" t="str">
            <v>Andrea Gwambo Merry</v>
          </cell>
          <cell r="H31" t="str">
            <v>F1</v>
          </cell>
          <cell r="I31" t="str">
            <v>0-15</v>
          </cell>
          <cell r="J31">
            <v>0.75</v>
          </cell>
          <cell r="K31">
            <v>466.45977775285326</v>
          </cell>
          <cell r="L31">
            <v>0.15</v>
          </cell>
          <cell r="M31">
            <v>1.8160000000000001</v>
          </cell>
        </row>
        <row r="32">
          <cell r="G32" t="str">
            <v>Andrea Qamara</v>
          </cell>
          <cell r="H32" t="str">
            <v>F1</v>
          </cell>
          <cell r="I32" t="str">
            <v>0-15</v>
          </cell>
          <cell r="J32">
            <v>0.92400000000000004</v>
          </cell>
          <cell r="K32">
            <v>209.60793566716438</v>
          </cell>
          <cell r="L32">
            <v>0.16</v>
          </cell>
          <cell r="M32">
            <v>1.5620000000000001</v>
          </cell>
        </row>
        <row r="33">
          <cell r="G33" t="str">
            <v>Andrea Tluway Siday</v>
          </cell>
          <cell r="H33" t="str">
            <v>F1</v>
          </cell>
          <cell r="I33" t="str">
            <v>0-15</v>
          </cell>
          <cell r="J33">
            <v>0.80500000000000005</v>
          </cell>
          <cell r="K33">
            <v>386.66987723629484</v>
          </cell>
          <cell r="L33">
            <v>0.13</v>
          </cell>
          <cell r="M33">
            <v>1.1639999999999999</v>
          </cell>
        </row>
        <row r="34">
          <cell r="G34" t="str">
            <v>Anna Nadee Qwendo</v>
          </cell>
          <cell r="H34" t="str">
            <v>F1</v>
          </cell>
          <cell r="I34" t="str">
            <v>0-15</v>
          </cell>
          <cell r="J34">
            <v>0.67500000000000004</v>
          </cell>
          <cell r="K34">
            <v>505.88190018039694</v>
          </cell>
          <cell r="L34">
            <v>0.19400000000000001</v>
          </cell>
          <cell r="M34">
            <v>1.86</v>
          </cell>
        </row>
        <row r="35">
          <cell r="G35" t="str">
            <v>Asha Halahalaa Biyeda</v>
          </cell>
          <cell r="H35" t="str">
            <v>F1</v>
          </cell>
          <cell r="I35" t="str">
            <v>0-15</v>
          </cell>
          <cell r="J35">
            <v>0.88500000000000001</v>
          </cell>
          <cell r="K35">
            <v>275.20611451181998</v>
          </cell>
          <cell r="L35">
            <v>0.122</v>
          </cell>
          <cell r="M35">
            <v>1.0409999999999999</v>
          </cell>
        </row>
        <row r="36">
          <cell r="G36" t="str">
            <v>Asha Juma Selemani</v>
          </cell>
          <cell r="H36" t="str">
            <v>F1</v>
          </cell>
          <cell r="I36" t="str">
            <v>0-15</v>
          </cell>
          <cell r="J36">
            <v>0.78800000000000003</v>
          </cell>
          <cell r="K36">
            <v>413.47643718904555</v>
          </cell>
          <cell r="L36">
            <v>0.17599999999999999</v>
          </cell>
          <cell r="M36">
            <v>1.6579999999999999</v>
          </cell>
        </row>
        <row r="37">
          <cell r="G37" t="str">
            <v>Atanas Keya</v>
          </cell>
          <cell r="H37" t="str">
            <v>F1</v>
          </cell>
          <cell r="I37" t="str">
            <v>0-15</v>
          </cell>
          <cell r="J37">
            <v>1.0569999999999999</v>
          </cell>
          <cell r="K37">
            <v>48.565397505813927</v>
          </cell>
          <cell r="L37">
            <v>0.108</v>
          </cell>
          <cell r="M37">
            <v>0.83099999999999996</v>
          </cell>
        </row>
        <row r="38">
          <cell r="G38" t="str">
            <v>Atanasia Uche</v>
          </cell>
          <cell r="H38" t="str">
            <v>F1</v>
          </cell>
          <cell r="I38" t="str">
            <v>0-15</v>
          </cell>
          <cell r="J38">
            <v>0.84799999999999998</v>
          </cell>
          <cell r="K38">
            <v>306.64434920787807</v>
          </cell>
          <cell r="L38">
            <v>0.188</v>
          </cell>
          <cell r="M38">
            <v>1.712</v>
          </cell>
        </row>
        <row r="39">
          <cell r="G39" t="str">
            <v>Atanasia Uche</v>
          </cell>
          <cell r="H39" t="str">
            <v>F1</v>
          </cell>
          <cell r="I39" t="str">
            <v>0-15</v>
          </cell>
          <cell r="J39">
            <v>0.90300000000000002</v>
          </cell>
          <cell r="K39">
            <v>214.96008933940374</v>
          </cell>
          <cell r="L39">
            <v>0.16600000000000001</v>
          </cell>
          <cell r="M39">
            <v>1.5209999999999999</v>
          </cell>
        </row>
        <row r="40">
          <cell r="G40" t="str">
            <v>Athumani Kisuda Kingo</v>
          </cell>
          <cell r="H40" t="str">
            <v>F1</v>
          </cell>
          <cell r="I40" t="str">
            <v>0-15</v>
          </cell>
          <cell r="J40">
            <v>0.95099999999999996</v>
          </cell>
          <cell r="K40">
            <v>179.88372217450674</v>
          </cell>
          <cell r="L40">
            <v>0.104</v>
          </cell>
          <cell r="M40">
            <v>1.085</v>
          </cell>
        </row>
        <row r="41">
          <cell r="G41" t="str">
            <v>Augustino Ama</v>
          </cell>
          <cell r="H41" t="str">
            <v>F1</v>
          </cell>
          <cell r="I41" t="str">
            <v>0-15</v>
          </cell>
          <cell r="J41">
            <v>0.627</v>
          </cell>
          <cell r="K41">
            <v>588.81602542495318</v>
          </cell>
          <cell r="L41">
            <v>0.16700000000000001</v>
          </cell>
          <cell r="M41">
            <v>1.3049999999999999</v>
          </cell>
        </row>
        <row r="42">
          <cell r="G42" t="str">
            <v>Ayli Bilori Mukusi</v>
          </cell>
          <cell r="H42" t="str">
            <v>F1</v>
          </cell>
          <cell r="I42" t="str">
            <v>0-15</v>
          </cell>
          <cell r="J42">
            <v>0.94599999999999995</v>
          </cell>
          <cell r="K42">
            <v>193.17728431847667</v>
          </cell>
          <cell r="L42">
            <v>9.0999999999999998E-2</v>
          </cell>
          <cell r="M42">
            <v>0.70799999999999996</v>
          </cell>
        </row>
        <row r="43">
          <cell r="G43" t="str">
            <v>Baghayo Dodo Matambo</v>
          </cell>
          <cell r="H43" t="str">
            <v>F1</v>
          </cell>
          <cell r="I43" t="str">
            <v>0-15</v>
          </cell>
          <cell r="J43">
            <v>0.81599999999999995</v>
          </cell>
          <cell r="K43">
            <v>374.43608098413478</v>
          </cell>
          <cell r="L43">
            <v>0.17699999999999999</v>
          </cell>
          <cell r="M43">
            <v>1.9690000000000001</v>
          </cell>
        </row>
        <row r="44">
          <cell r="G44" t="str">
            <v>Bakari Hamudu Omary</v>
          </cell>
          <cell r="H44" t="str">
            <v>F1</v>
          </cell>
          <cell r="I44" t="str">
            <v>0-15</v>
          </cell>
          <cell r="J44">
            <v>0.65900000000000003</v>
          </cell>
          <cell r="K44">
            <v>596.11717215183614</v>
          </cell>
          <cell r="L44">
            <v>0.17</v>
          </cell>
          <cell r="M44">
            <v>2.403</v>
          </cell>
        </row>
        <row r="45">
          <cell r="G45" t="str">
            <v>Bakari Juma Yusufu</v>
          </cell>
          <cell r="H45" t="str">
            <v>F1</v>
          </cell>
          <cell r="I45" t="str">
            <v>0-15</v>
          </cell>
          <cell r="J45">
            <v>0.84599999999999997</v>
          </cell>
          <cell r="K45">
            <v>329.54469884000144</v>
          </cell>
          <cell r="L45">
            <v>0.113</v>
          </cell>
          <cell r="M45">
            <v>1.198</v>
          </cell>
        </row>
        <row r="46">
          <cell r="G46" t="str">
            <v>Baltazar Petro</v>
          </cell>
          <cell r="H46" t="str">
            <v>F1</v>
          </cell>
          <cell r="I46" t="str">
            <v>0-15</v>
          </cell>
          <cell r="J46">
            <v>0.86499999999999999</v>
          </cell>
          <cell r="K46">
            <v>284.93883565271835</v>
          </cell>
          <cell r="L46">
            <v>0.17799999999999999</v>
          </cell>
          <cell r="M46">
            <v>1.6240000000000001</v>
          </cell>
        </row>
        <row r="47">
          <cell r="G47" t="str">
            <v>Baraka Boay</v>
          </cell>
          <cell r="H47" t="str">
            <v>F1</v>
          </cell>
          <cell r="I47" t="str">
            <v>0-15</v>
          </cell>
          <cell r="J47">
            <v>1.0489999999999999</v>
          </cell>
          <cell r="K47">
            <v>46.728885009081537</v>
          </cell>
          <cell r="L47">
            <v>7.2999999999999995E-2</v>
          </cell>
          <cell r="M47">
            <v>0.48699999999999999</v>
          </cell>
        </row>
        <row r="48">
          <cell r="G48" t="str">
            <v>Barie Shauri Sule</v>
          </cell>
          <cell r="H48" t="str">
            <v>F1</v>
          </cell>
          <cell r="I48" t="str">
            <v>0-15</v>
          </cell>
          <cell r="J48">
            <v>1.008</v>
          </cell>
          <cell r="K48">
            <v>86.65551071932623</v>
          </cell>
          <cell r="L48">
            <v>0.127</v>
          </cell>
          <cell r="M48">
            <v>1.208</v>
          </cell>
        </row>
        <row r="49">
          <cell r="G49" t="str">
            <v>Barie Sinorai</v>
          </cell>
          <cell r="H49" t="str">
            <v>F1</v>
          </cell>
          <cell r="I49" t="str">
            <v>0-15</v>
          </cell>
          <cell r="J49">
            <v>1.026</v>
          </cell>
          <cell r="K49">
            <v>91.213902566181972</v>
          </cell>
          <cell r="L49">
            <v>8.8999999999999996E-2</v>
          </cell>
          <cell r="M49">
            <v>0.625</v>
          </cell>
        </row>
        <row r="50">
          <cell r="G50" t="str">
            <v>Bathelomeo Akonaay Panga</v>
          </cell>
          <cell r="H50" t="str">
            <v>F1</v>
          </cell>
          <cell r="I50" t="str">
            <v>0-15</v>
          </cell>
          <cell r="J50">
            <v>0.79100000000000004</v>
          </cell>
          <cell r="K50">
            <v>414.51708608833121</v>
          </cell>
          <cell r="L50">
            <v>0.14899999999999999</v>
          </cell>
          <cell r="M50">
            <v>1.339</v>
          </cell>
        </row>
        <row r="51">
          <cell r="G51" t="str">
            <v>Benadecta Ignas Hotti</v>
          </cell>
          <cell r="H51" t="str">
            <v>F1</v>
          </cell>
          <cell r="I51" t="str">
            <v>0-15</v>
          </cell>
          <cell r="J51">
            <v>0.76</v>
          </cell>
          <cell r="K51">
            <v>457.16559114869972</v>
          </cell>
          <cell r="L51">
            <v>0.14199999999999999</v>
          </cell>
          <cell r="M51">
            <v>1.85</v>
          </cell>
        </row>
        <row r="52">
          <cell r="G52" t="str">
            <v>Bilasi John Homa</v>
          </cell>
          <cell r="H52" t="str">
            <v>F1</v>
          </cell>
          <cell r="I52" t="str">
            <v>0-15</v>
          </cell>
          <cell r="J52">
            <v>0.77500000000000002</v>
          </cell>
          <cell r="K52">
            <v>383.87340202968664</v>
          </cell>
          <cell r="L52">
            <v>0.16800000000000001</v>
          </cell>
          <cell r="M52">
            <v>1.593</v>
          </cell>
        </row>
        <row r="53">
          <cell r="G53" t="str">
            <v>Bilos Genda</v>
          </cell>
          <cell r="H53" t="str">
            <v>F1</v>
          </cell>
          <cell r="I53" t="str">
            <v>0-15</v>
          </cell>
          <cell r="J53">
            <v>0.78800000000000003</v>
          </cell>
          <cell r="K53">
            <v>367.29042955314293</v>
          </cell>
          <cell r="L53">
            <v>0.17199999999999999</v>
          </cell>
          <cell r="M53">
            <v>1.5880000000000001</v>
          </cell>
        </row>
        <row r="54">
          <cell r="G54" t="str">
            <v>Bruno Qalimi</v>
          </cell>
          <cell r="H54" t="str">
            <v>F1</v>
          </cell>
          <cell r="I54" t="str">
            <v>0-15</v>
          </cell>
          <cell r="J54">
            <v>0.94399999999999995</v>
          </cell>
          <cell r="K54">
            <v>184.07203736697673</v>
          </cell>
          <cell r="L54"/>
          <cell r="M54"/>
        </row>
        <row r="55">
          <cell r="G55" t="str">
            <v>Bura Domu</v>
          </cell>
          <cell r="H55" t="str">
            <v>F1</v>
          </cell>
          <cell r="I55" t="str">
            <v>0-15</v>
          </cell>
          <cell r="J55">
            <v>0.72299999999999998</v>
          </cell>
          <cell r="K55">
            <v>444.63520316124055</v>
          </cell>
          <cell r="L55">
            <v>0.20200000000000001</v>
          </cell>
          <cell r="M55">
            <v>1.8720000000000001</v>
          </cell>
        </row>
        <row r="56">
          <cell r="G56" t="str">
            <v>Bura Shamba Haito</v>
          </cell>
          <cell r="H56" t="str">
            <v>F1</v>
          </cell>
          <cell r="I56" t="str">
            <v>0-15</v>
          </cell>
          <cell r="J56">
            <v>0.71699999999999997</v>
          </cell>
          <cell r="K56">
            <v>509.28001623321745</v>
          </cell>
          <cell r="L56">
            <v>0.19800000000000001</v>
          </cell>
          <cell r="M56">
            <v>1.9259999999999999</v>
          </cell>
        </row>
        <row r="57">
          <cell r="G57" t="str">
            <v>Christina Paulo Moringe</v>
          </cell>
          <cell r="H57" t="str">
            <v>F1</v>
          </cell>
          <cell r="I57" t="str">
            <v>0-15</v>
          </cell>
          <cell r="J57">
            <v>0.93300000000000005</v>
          </cell>
          <cell r="K57">
            <v>211.3031639850426</v>
          </cell>
          <cell r="L57">
            <v>0.17199999999999999</v>
          </cell>
          <cell r="M57">
            <v>1.7030000000000001</v>
          </cell>
        </row>
        <row r="58">
          <cell r="G58" t="str">
            <v>Costastuno Bombo Magai</v>
          </cell>
          <cell r="H58" t="str">
            <v>F1</v>
          </cell>
          <cell r="I58" t="str">
            <v>0-15</v>
          </cell>
          <cell r="J58">
            <v>0.87</v>
          </cell>
          <cell r="K58">
            <v>305.83218609577881</v>
          </cell>
          <cell r="L58">
            <v>0.111</v>
          </cell>
          <cell r="M58">
            <v>1.181</v>
          </cell>
        </row>
        <row r="59">
          <cell r="G59" t="str">
            <v>Damiano Gabriel Sanka</v>
          </cell>
          <cell r="H59" t="str">
            <v>F1</v>
          </cell>
          <cell r="I59" t="str">
            <v>0-15</v>
          </cell>
          <cell r="J59">
            <v>0.76</v>
          </cell>
          <cell r="K59">
            <v>449.36824376881202</v>
          </cell>
          <cell r="L59">
            <v>0.124</v>
          </cell>
          <cell r="M59">
            <v>1.262</v>
          </cell>
        </row>
        <row r="60">
          <cell r="G60" t="str">
            <v>Daniel Darabe Dagharo</v>
          </cell>
          <cell r="H60" t="str">
            <v>F1</v>
          </cell>
          <cell r="I60" t="str">
            <v>0-15</v>
          </cell>
          <cell r="J60">
            <v>0.879</v>
          </cell>
          <cell r="K60">
            <v>293.45036204599444</v>
          </cell>
          <cell r="L60">
            <v>0.1</v>
          </cell>
          <cell r="M60">
            <v>0.89700000000000002</v>
          </cell>
        </row>
        <row r="61">
          <cell r="G61" t="str">
            <v>Danieli Martini</v>
          </cell>
          <cell r="H61" t="str">
            <v>F1</v>
          </cell>
          <cell r="I61" t="str">
            <v>0-15</v>
          </cell>
          <cell r="J61">
            <v>0.88700000000000001</v>
          </cell>
          <cell r="K61">
            <v>256.84934752251172</v>
          </cell>
          <cell r="L61">
            <v>0.155</v>
          </cell>
          <cell r="M61">
            <v>1.329</v>
          </cell>
        </row>
        <row r="62">
          <cell r="G62" t="str">
            <v>Dasere Qambalali</v>
          </cell>
          <cell r="H62" t="str">
            <v>F1</v>
          </cell>
          <cell r="I62" t="str">
            <v>0-15</v>
          </cell>
          <cell r="J62">
            <v>0.93899999999999995</v>
          </cell>
          <cell r="K62">
            <v>212.51342587661244</v>
          </cell>
          <cell r="L62">
            <v>0.109</v>
          </cell>
          <cell r="M62">
            <v>0.86199999999999999</v>
          </cell>
        </row>
        <row r="63">
          <cell r="G63" t="str">
            <v>Daho Slaa Baa</v>
          </cell>
          <cell r="H63" t="str">
            <v>F1</v>
          </cell>
          <cell r="I63" t="str">
            <v>0-15</v>
          </cell>
          <cell r="J63">
            <v>0.88700000000000001</v>
          </cell>
          <cell r="K63">
            <v>241.00471607792554</v>
          </cell>
          <cell r="L63"/>
          <cell r="M63"/>
        </row>
        <row r="64">
          <cell r="G64" t="str">
            <v>Dawi Datho</v>
          </cell>
          <cell r="H64" t="str">
            <v>F1</v>
          </cell>
          <cell r="I64" t="str">
            <v>0-15</v>
          </cell>
          <cell r="J64">
            <v>0.85</v>
          </cell>
          <cell r="K64">
            <v>304.09075937785911</v>
          </cell>
          <cell r="L64">
            <v>0.126</v>
          </cell>
          <cell r="M64">
            <v>1.27</v>
          </cell>
        </row>
        <row r="65">
          <cell r="G65" t="str">
            <v>Dodo Matambo</v>
          </cell>
          <cell r="H65" t="str">
            <v>F1</v>
          </cell>
          <cell r="I65" t="str">
            <v>0-15</v>
          </cell>
          <cell r="J65">
            <v>0.84499999999999997</v>
          </cell>
          <cell r="K65">
            <v>334.00142634333417</v>
          </cell>
          <cell r="L65"/>
          <cell r="M65"/>
        </row>
        <row r="66">
          <cell r="G66" t="str">
            <v>Dotha Gitiang Qwaru</v>
          </cell>
          <cell r="H66" t="str">
            <v>F1</v>
          </cell>
          <cell r="I66" t="str">
            <v>0-15</v>
          </cell>
          <cell r="J66">
            <v>0.76</v>
          </cell>
          <cell r="K66">
            <v>449.36824376881202</v>
          </cell>
          <cell r="L66">
            <v>0.18</v>
          </cell>
          <cell r="M66">
            <v>2.3410000000000002</v>
          </cell>
        </row>
        <row r="67">
          <cell r="G67" t="str">
            <v>Eladi Simon</v>
          </cell>
          <cell r="H67" t="str">
            <v>F1</v>
          </cell>
          <cell r="I67" t="str">
            <v>0-15</v>
          </cell>
          <cell r="J67">
            <v>0.76900000000000002</v>
          </cell>
          <cell r="K67">
            <v>407.51114749361983</v>
          </cell>
          <cell r="L67">
            <v>0.191</v>
          </cell>
          <cell r="M67">
            <v>1.6459999999999999</v>
          </cell>
        </row>
        <row r="68">
          <cell r="G68" t="str">
            <v>Eladi Simon</v>
          </cell>
          <cell r="H68" t="str">
            <v>F1</v>
          </cell>
          <cell r="I68" t="str">
            <v>0-15</v>
          </cell>
          <cell r="J68">
            <v>0.79200000000000004</v>
          </cell>
          <cell r="K68">
            <v>356.59307619620313</v>
          </cell>
          <cell r="L68">
            <v>0.20300000000000001</v>
          </cell>
          <cell r="M68">
            <v>1.655</v>
          </cell>
        </row>
        <row r="69">
          <cell r="G69" t="str">
            <v>Elbariki Sa</v>
          </cell>
          <cell r="H69" t="str">
            <v>F1</v>
          </cell>
          <cell r="I69" t="str">
            <v>0-15</v>
          </cell>
          <cell r="J69">
            <v>0.73799999999999999</v>
          </cell>
          <cell r="K69">
            <v>487.43227215928391</v>
          </cell>
          <cell r="L69">
            <v>0.14000000000000001</v>
          </cell>
          <cell r="M69">
            <v>1.6080000000000001</v>
          </cell>
        </row>
        <row r="70">
          <cell r="G70" t="str">
            <v>Elizabeth Mhindi</v>
          </cell>
          <cell r="H70" t="str">
            <v>F1</v>
          </cell>
          <cell r="I70" t="str">
            <v>0-15</v>
          </cell>
          <cell r="J70">
            <v>0.83099999999999996</v>
          </cell>
          <cell r="K70">
            <v>328.34986276303766</v>
          </cell>
          <cell r="L70"/>
          <cell r="M70"/>
        </row>
        <row r="71">
          <cell r="G71" t="str">
            <v>Emanuel James Gwangway</v>
          </cell>
          <cell r="H71" t="str">
            <v>F1</v>
          </cell>
          <cell r="I71" t="str">
            <v>0-15</v>
          </cell>
          <cell r="J71">
            <v>0.97799999999999998</v>
          </cell>
          <cell r="K71">
            <v>145.62949034461792</v>
          </cell>
          <cell r="L71">
            <v>0.107</v>
          </cell>
          <cell r="M71">
            <v>0.88</v>
          </cell>
        </row>
        <row r="72">
          <cell r="G72" t="str">
            <v>Fabiani Maiko Deli</v>
          </cell>
          <cell r="H72" t="str">
            <v>F1</v>
          </cell>
          <cell r="I72" t="str">
            <v>0-15</v>
          </cell>
          <cell r="J72">
            <v>0.93100000000000005</v>
          </cell>
          <cell r="K72">
            <v>207.05817873887941</v>
          </cell>
          <cell r="L72">
            <v>0.14000000000000001</v>
          </cell>
          <cell r="M72">
            <v>1.4359999999999999</v>
          </cell>
        </row>
        <row r="73">
          <cell r="G73" t="str">
            <v>Fabiano Ama</v>
          </cell>
          <cell r="H73" t="str">
            <v>F1</v>
          </cell>
          <cell r="I73" t="str">
            <v>0-15</v>
          </cell>
          <cell r="J73">
            <v>1.0649999999999999</v>
          </cell>
          <cell r="K73">
            <v>24.412648381751445</v>
          </cell>
          <cell r="L73">
            <v>0.16600000000000001</v>
          </cell>
          <cell r="M73">
            <v>1.486</v>
          </cell>
        </row>
        <row r="74">
          <cell r="G74" t="str">
            <v>Fabiano Mpunzi Lambo</v>
          </cell>
          <cell r="H74" t="str">
            <v>F1</v>
          </cell>
          <cell r="I74" t="str">
            <v>0-15</v>
          </cell>
          <cell r="J74">
            <v>1.0569999999999999</v>
          </cell>
          <cell r="K74">
            <v>39.794211970915427</v>
          </cell>
          <cell r="L74">
            <v>8.7999999999999995E-2</v>
          </cell>
          <cell r="M74">
            <v>0.71799999999999997</v>
          </cell>
        </row>
        <row r="75">
          <cell r="G75" t="str">
            <v>Fadhili Khalili</v>
          </cell>
          <cell r="H75" t="str">
            <v>F1</v>
          </cell>
          <cell r="I75" t="str">
            <v>0-15</v>
          </cell>
          <cell r="J75">
            <v>0.94599999999999995</v>
          </cell>
          <cell r="K75">
            <v>181.51844753695775</v>
          </cell>
          <cell r="L75">
            <v>0.124</v>
          </cell>
          <cell r="M75">
            <v>1.1180000000000001</v>
          </cell>
        </row>
        <row r="76">
          <cell r="G76" t="str">
            <v>Farida Amsi Slaa</v>
          </cell>
          <cell r="H76" t="str">
            <v>F1</v>
          </cell>
          <cell r="I76" t="str">
            <v>0-15</v>
          </cell>
          <cell r="J76">
            <v>0.69799999999999995</v>
          </cell>
          <cell r="K76">
            <v>538.96329641911655</v>
          </cell>
          <cell r="L76">
            <v>0.184</v>
          </cell>
          <cell r="M76">
            <v>1.671</v>
          </cell>
        </row>
        <row r="77">
          <cell r="G77" t="str">
            <v>Fatuma Ally Saidi</v>
          </cell>
          <cell r="H77" t="str">
            <v>F1</v>
          </cell>
          <cell r="I77" t="str">
            <v>0-15</v>
          </cell>
          <cell r="J77">
            <v>0.90100000000000002</v>
          </cell>
          <cell r="K77">
            <v>252.91336196692504</v>
          </cell>
          <cell r="L77">
            <v>9.2999999999999999E-2</v>
          </cell>
          <cell r="M77">
            <v>0.82199999999999995</v>
          </cell>
        </row>
        <row r="78">
          <cell r="G78" t="str">
            <v>Faustini Nada Barie</v>
          </cell>
          <cell r="H78" t="str">
            <v>F1</v>
          </cell>
          <cell r="I78" t="str">
            <v>0-15</v>
          </cell>
          <cell r="J78">
            <v>0.85299999999999998</v>
          </cell>
          <cell r="K78">
            <v>300.26037463283114</v>
          </cell>
          <cell r="L78">
            <v>0.126</v>
          </cell>
          <cell r="M78">
            <v>1.163</v>
          </cell>
        </row>
        <row r="79">
          <cell r="G79" t="str">
            <v>Felice Yogeni</v>
          </cell>
          <cell r="H79" t="str">
            <v>F1</v>
          </cell>
          <cell r="I79" t="str">
            <v>0-15</v>
          </cell>
          <cell r="J79">
            <v>0.90800000000000003</v>
          </cell>
          <cell r="K79">
            <v>230.03665430731459</v>
          </cell>
          <cell r="L79">
            <v>0.127</v>
          </cell>
          <cell r="M79">
            <v>1.1399999999999999</v>
          </cell>
        </row>
        <row r="80">
          <cell r="G80" t="str">
            <v>Fikira Mohamed</v>
          </cell>
          <cell r="H80" t="str">
            <v>F1</v>
          </cell>
          <cell r="I80" t="str">
            <v>0-15</v>
          </cell>
          <cell r="J80">
            <v>0.68700000000000006</v>
          </cell>
          <cell r="K80">
            <v>557.59594177472889</v>
          </cell>
          <cell r="L80"/>
          <cell r="M80"/>
        </row>
        <row r="81">
          <cell r="G81" t="str">
            <v>Francis Martini</v>
          </cell>
          <cell r="H81" t="str">
            <v>F1</v>
          </cell>
          <cell r="I81" t="str">
            <v>0-15</v>
          </cell>
          <cell r="J81">
            <v>0.77400000000000002</v>
          </cell>
          <cell r="K81">
            <v>401.12717291857291</v>
          </cell>
          <cell r="L81">
            <v>0.17399999999999999</v>
          </cell>
          <cell r="M81">
            <v>1.5229999999999999</v>
          </cell>
        </row>
        <row r="82">
          <cell r="G82" t="str">
            <v>Francis Michael</v>
          </cell>
          <cell r="H82" t="str">
            <v>F1</v>
          </cell>
          <cell r="I82" t="str">
            <v>0-15</v>
          </cell>
          <cell r="J82">
            <v>0.96099999999999997</v>
          </cell>
          <cell r="K82">
            <v>162.36652381181702</v>
          </cell>
          <cell r="L82">
            <v>0.20799999999999999</v>
          </cell>
          <cell r="M82">
            <v>1.976</v>
          </cell>
        </row>
        <row r="83">
          <cell r="G83" t="str">
            <v>Frank Joseph</v>
          </cell>
          <cell r="H83" t="str">
            <v>F1</v>
          </cell>
          <cell r="I83" t="str">
            <v>0-15</v>
          </cell>
          <cell r="J83">
            <v>0.77300000000000002</v>
          </cell>
          <cell r="K83">
            <v>434.39091372739068</v>
          </cell>
          <cell r="L83">
            <v>0.129</v>
          </cell>
          <cell r="M83">
            <v>1.3169999999999999</v>
          </cell>
        </row>
        <row r="84">
          <cell r="G84" t="str">
            <v>Gabriel Sikai</v>
          </cell>
          <cell r="H84" t="str">
            <v>F1</v>
          </cell>
          <cell r="I84" t="str">
            <v>0-15</v>
          </cell>
          <cell r="J84">
            <v>0.90300000000000002</v>
          </cell>
          <cell r="K84">
            <v>236.42062888236151</v>
          </cell>
          <cell r="L84">
            <v>0.17</v>
          </cell>
          <cell r="M84">
            <v>1.599</v>
          </cell>
        </row>
        <row r="85">
          <cell r="G85" t="str">
            <v>Gabriel Yaro</v>
          </cell>
          <cell r="H85" t="str">
            <v>F1</v>
          </cell>
          <cell r="I85" t="str">
            <v>0-15</v>
          </cell>
          <cell r="J85">
            <v>0.96699999999999997</v>
          </cell>
          <cell r="K85">
            <v>160.95575771923316</v>
          </cell>
          <cell r="L85">
            <v>0.126</v>
          </cell>
          <cell r="M85">
            <v>1.4670000000000001</v>
          </cell>
        </row>
        <row r="86">
          <cell r="G86" t="str">
            <v>Gaspar Alam</v>
          </cell>
          <cell r="H86" t="str">
            <v>F1</v>
          </cell>
          <cell r="I86" t="str">
            <v>0-15</v>
          </cell>
          <cell r="J86">
            <v>0.89</v>
          </cell>
          <cell r="K86">
            <v>279.0873032684915</v>
          </cell>
          <cell r="L86"/>
          <cell r="M86"/>
        </row>
        <row r="87">
          <cell r="G87" t="str">
            <v>Gichara Bombo Warae</v>
          </cell>
          <cell r="H87" t="str">
            <v>F1</v>
          </cell>
          <cell r="I87" t="str">
            <v>0-15</v>
          </cell>
          <cell r="J87">
            <v>0.70199999999999996</v>
          </cell>
          <cell r="K87">
            <v>530.17947174405651</v>
          </cell>
          <cell r="L87">
            <v>0.24099999999999999</v>
          </cell>
          <cell r="M87">
            <v>2.2250000000000001</v>
          </cell>
        </row>
        <row r="88">
          <cell r="G88" t="str">
            <v>Gidemara Primary School</v>
          </cell>
          <cell r="H88" t="str">
            <v>F1</v>
          </cell>
          <cell r="I88" t="str">
            <v>0-15</v>
          </cell>
          <cell r="J88">
            <v>0.91</v>
          </cell>
          <cell r="K88">
            <v>235.59135813147066</v>
          </cell>
          <cell r="L88">
            <v>0.12</v>
          </cell>
          <cell r="M88">
            <v>1.466</v>
          </cell>
        </row>
        <row r="89">
          <cell r="G89" t="str">
            <v>Gregory Sirili Sule</v>
          </cell>
          <cell r="H89" t="str">
            <v>F1</v>
          </cell>
          <cell r="I89" t="str">
            <v>0-15</v>
          </cell>
          <cell r="J89">
            <v>0.77800000000000002</v>
          </cell>
          <cell r="K89">
            <v>424.28889715580522</v>
          </cell>
          <cell r="L89">
            <v>0.14699999999999999</v>
          </cell>
          <cell r="M89">
            <v>1.488</v>
          </cell>
        </row>
        <row r="90">
          <cell r="G90" t="str">
            <v>Hadija Hamisi Array</v>
          </cell>
          <cell r="H90" t="str">
            <v>F1</v>
          </cell>
          <cell r="I90" t="str">
            <v>0-15</v>
          </cell>
          <cell r="J90">
            <v>0.67200000000000004</v>
          </cell>
          <cell r="K90">
            <v>558.96739124750331</v>
          </cell>
          <cell r="L90"/>
          <cell r="M90"/>
        </row>
        <row r="91">
          <cell r="G91" t="str">
            <v>Hadija Juma Muna</v>
          </cell>
          <cell r="H91" t="str">
            <v>F1</v>
          </cell>
          <cell r="I91" t="str">
            <v>0-15</v>
          </cell>
          <cell r="J91">
            <v>0.90200000000000002</v>
          </cell>
          <cell r="K91">
            <v>261.80792280765667</v>
          </cell>
          <cell r="L91">
            <v>0.32</v>
          </cell>
          <cell r="M91">
            <v>0.98199999999999998</v>
          </cell>
        </row>
        <row r="92">
          <cell r="G92" t="str">
            <v>Hamisi Omary Lagia</v>
          </cell>
          <cell r="H92" t="str">
            <v>F1</v>
          </cell>
          <cell r="I92" t="str">
            <v>0-15</v>
          </cell>
          <cell r="J92">
            <v>0.34599999999999997</v>
          </cell>
          <cell r="K92">
            <v>1026.1932158679701</v>
          </cell>
          <cell r="L92">
            <v>0.16600000000000001</v>
          </cell>
          <cell r="M92">
            <v>1.722</v>
          </cell>
        </row>
        <row r="93">
          <cell r="G93" t="str">
            <v>Hamudu Omary Jungu</v>
          </cell>
          <cell r="H93" t="str">
            <v>F1</v>
          </cell>
          <cell r="I93" t="str">
            <v>0-15</v>
          </cell>
          <cell r="J93">
            <v>0.93600000000000005</v>
          </cell>
          <cell r="K93">
            <v>215.03214306402631</v>
          </cell>
          <cell r="L93">
            <v>0.13</v>
          </cell>
          <cell r="M93">
            <v>1.2470000000000001</v>
          </cell>
        </row>
        <row r="94">
          <cell r="G94" t="str">
            <v>Hassani Gunda</v>
          </cell>
          <cell r="H94" t="str">
            <v>F1</v>
          </cell>
          <cell r="I94" t="str">
            <v>0-15</v>
          </cell>
          <cell r="J94">
            <v>0.82499999999999996</v>
          </cell>
          <cell r="K94">
            <v>361.88739506112773</v>
          </cell>
          <cell r="L94">
            <v>0.14199999999999999</v>
          </cell>
          <cell r="M94">
            <v>1.5309999999999999</v>
          </cell>
        </row>
        <row r="95">
          <cell r="G95" t="str">
            <v>Hassan Rashidi Gau</v>
          </cell>
          <cell r="H95" t="str">
            <v>F1</v>
          </cell>
          <cell r="I95" t="str">
            <v>0-15</v>
          </cell>
          <cell r="J95">
            <v>1.0820000000000001</v>
          </cell>
          <cell r="K95">
            <v>1.8910316778667779</v>
          </cell>
          <cell r="L95">
            <v>8.7999999999999995E-2</v>
          </cell>
          <cell r="M95">
            <v>0.622</v>
          </cell>
        </row>
        <row r="96">
          <cell r="G96" t="str">
            <v>Hassan Rashidi Gau</v>
          </cell>
          <cell r="H96" t="str">
            <v>F1</v>
          </cell>
          <cell r="I96" t="str">
            <v>0-15</v>
          </cell>
          <cell r="J96">
            <v>0.92800000000000005</v>
          </cell>
          <cell r="K96">
            <v>227.45858202580951</v>
          </cell>
          <cell r="L96">
            <v>8.8999999999999996E-2</v>
          </cell>
          <cell r="M96">
            <v>0.68700000000000006</v>
          </cell>
        </row>
        <row r="97">
          <cell r="G97" t="str">
            <v>Hassani Abdi Hau</v>
          </cell>
          <cell r="H97" t="str">
            <v>F1</v>
          </cell>
          <cell r="I97" t="str">
            <v>0-15</v>
          </cell>
          <cell r="J97">
            <v>1.08</v>
          </cell>
          <cell r="K97">
            <v>6.3412939092600542</v>
          </cell>
          <cell r="L97">
            <v>8.5999999999999993E-2</v>
          </cell>
          <cell r="M97">
            <v>0.81499999999999995</v>
          </cell>
        </row>
        <row r="98">
          <cell r="G98" t="str">
            <v>Hayma Hiiti Farayo</v>
          </cell>
          <cell r="H98" t="str">
            <v>F1</v>
          </cell>
          <cell r="I98" t="str">
            <v>0-15</v>
          </cell>
          <cell r="J98">
            <v>0.33400000000000002</v>
          </cell>
          <cell r="K98">
            <v>1042.9127802766411</v>
          </cell>
          <cell r="L98">
            <v>0.129</v>
          </cell>
          <cell r="M98">
            <v>1.504</v>
          </cell>
        </row>
        <row r="99">
          <cell r="G99" t="str">
            <v>Hitambe P/school</v>
          </cell>
          <cell r="H99" t="str">
            <v>F1</v>
          </cell>
          <cell r="I99" t="str">
            <v>0-15</v>
          </cell>
          <cell r="J99">
            <v>0.70699999999999996</v>
          </cell>
          <cell r="K99">
            <v>511.41209225985153</v>
          </cell>
          <cell r="L99">
            <v>7.1999999999999995E-2</v>
          </cell>
          <cell r="M99">
            <v>0.498</v>
          </cell>
        </row>
        <row r="100">
          <cell r="G100" t="str">
            <v>Humasay Doho Bombo</v>
          </cell>
          <cell r="H100" t="str">
            <v>F1</v>
          </cell>
          <cell r="I100" t="str">
            <v>0-15</v>
          </cell>
          <cell r="J100">
            <v>0.91300000000000003</v>
          </cell>
          <cell r="K100">
            <v>246.67458230236457</v>
          </cell>
          <cell r="L100">
            <v>9.4E-2</v>
          </cell>
          <cell r="M100">
            <v>1.119</v>
          </cell>
        </row>
        <row r="101">
          <cell r="G101" t="str">
            <v>Humasay Doho Bombo</v>
          </cell>
          <cell r="H101" t="str">
            <v>F1</v>
          </cell>
          <cell r="I101" t="str">
            <v>0-15</v>
          </cell>
          <cell r="J101">
            <v>0.91700000000000004</v>
          </cell>
          <cell r="K101">
            <v>241.17154939134917</v>
          </cell>
          <cell r="L101">
            <v>9.4E-2</v>
          </cell>
          <cell r="M101">
            <v>1.119</v>
          </cell>
        </row>
        <row r="102">
          <cell r="G102" t="str">
            <v>Iddi Daudi Mkomboji</v>
          </cell>
          <cell r="H102" t="str">
            <v>F1</v>
          </cell>
          <cell r="I102" t="str">
            <v>0-15</v>
          </cell>
          <cell r="J102">
            <v>0.94299999999999995</v>
          </cell>
          <cell r="K102">
            <v>197.36017962614568</v>
          </cell>
          <cell r="L102">
            <v>0.114</v>
          </cell>
          <cell r="M102">
            <v>0.98399999999999999</v>
          </cell>
        </row>
        <row r="103">
          <cell r="G103" t="str">
            <v>Iddi Salimu Mumba</v>
          </cell>
          <cell r="H103" t="str">
            <v>F1</v>
          </cell>
          <cell r="I103" t="str">
            <v>0-15</v>
          </cell>
          <cell r="J103">
            <v>0.81599999999999995</v>
          </cell>
          <cell r="K103">
            <v>363.31130398402144</v>
          </cell>
          <cell r="L103">
            <v>0.18099999999999999</v>
          </cell>
          <cell r="M103">
            <v>2.0019999999999998</v>
          </cell>
        </row>
        <row r="104">
          <cell r="G104" t="str">
            <v>Iddi Salimu Shabani</v>
          </cell>
          <cell r="H104" t="str">
            <v>F1</v>
          </cell>
          <cell r="I104" t="str">
            <v>0-15</v>
          </cell>
          <cell r="J104">
            <v>0.89300000000000002</v>
          </cell>
          <cell r="K104">
            <v>267.07510142062972</v>
          </cell>
          <cell r="L104"/>
          <cell r="M104"/>
        </row>
        <row r="105">
          <cell r="G105" t="str">
            <v>Iddi Shabani</v>
          </cell>
          <cell r="H105" t="str">
            <v>F1</v>
          </cell>
          <cell r="I105" t="str">
            <v>0-15</v>
          </cell>
          <cell r="J105">
            <v>0.8</v>
          </cell>
          <cell r="K105">
            <v>402.13526203854667</v>
          </cell>
          <cell r="L105">
            <v>0.158</v>
          </cell>
          <cell r="M105">
            <v>2.1419999999999999</v>
          </cell>
        </row>
        <row r="106">
          <cell r="G106" t="str">
            <v>Imanueli Gewe</v>
          </cell>
          <cell r="H106" t="str">
            <v>F1</v>
          </cell>
          <cell r="I106" t="str">
            <v>0-15</v>
          </cell>
          <cell r="J106">
            <v>0.69299999999999995</v>
          </cell>
          <cell r="K106">
            <v>504.54756103433351</v>
          </cell>
          <cell r="L106">
            <v>0.129</v>
          </cell>
          <cell r="M106">
            <v>1.2410000000000001</v>
          </cell>
        </row>
        <row r="107">
          <cell r="G107" t="str">
            <v>Isaka Zebedayo</v>
          </cell>
          <cell r="H107" t="str">
            <v>F1</v>
          </cell>
          <cell r="I107" t="str">
            <v>0-15</v>
          </cell>
          <cell r="J107">
            <v>0.97599999999999998</v>
          </cell>
          <cell r="K107">
            <v>127.47513527697215</v>
          </cell>
          <cell r="L107">
            <v>0.17100000000000001</v>
          </cell>
          <cell r="M107">
            <v>1.611</v>
          </cell>
        </row>
        <row r="108">
          <cell r="G108" t="str">
            <v>Isaya Safari</v>
          </cell>
          <cell r="H108" t="str">
            <v>F1</v>
          </cell>
          <cell r="I108" t="str">
            <v>0-15</v>
          </cell>
          <cell r="J108">
            <v>1.034</v>
          </cell>
          <cell r="K108">
            <v>67.109727432360799</v>
          </cell>
          <cell r="L108">
            <v>6.9000000000000006E-2</v>
          </cell>
          <cell r="M108">
            <v>0.46100000000000002</v>
          </cell>
        </row>
        <row r="109">
          <cell r="G109" t="str">
            <v>Isaya Safari</v>
          </cell>
          <cell r="H109" t="str">
            <v>F1</v>
          </cell>
          <cell r="I109" t="str">
            <v>0-15</v>
          </cell>
          <cell r="J109">
            <v>1.0820000000000001</v>
          </cell>
          <cell r="K109">
            <v>1.8910316778667779</v>
          </cell>
          <cell r="L109">
            <v>6.9000000000000006E-2</v>
          </cell>
          <cell r="M109">
            <v>0.46100000000000002</v>
          </cell>
        </row>
        <row r="110">
          <cell r="G110" t="str">
            <v>Israel Petro</v>
          </cell>
          <cell r="H110" t="str">
            <v>F1</v>
          </cell>
          <cell r="I110" t="str">
            <v>0-15</v>
          </cell>
          <cell r="J110">
            <v>1.006</v>
          </cell>
          <cell r="K110">
            <v>89.206737254179131</v>
          </cell>
          <cell r="L110">
            <v>0.185</v>
          </cell>
          <cell r="M110">
            <v>1.7310000000000001</v>
          </cell>
        </row>
        <row r="111">
          <cell r="G111" t="str">
            <v>Jacob Joseph Kijuu</v>
          </cell>
          <cell r="H111" t="str">
            <v>F1</v>
          </cell>
          <cell r="I111" t="str">
            <v>0-15</v>
          </cell>
          <cell r="J111">
            <v>1.046</v>
          </cell>
          <cell r="K111">
            <v>53.838956036018736</v>
          </cell>
          <cell r="L111">
            <v>8.6999999999999994E-2</v>
          </cell>
          <cell r="M111">
            <v>0.88900000000000001</v>
          </cell>
        </row>
        <row r="112">
          <cell r="G112" t="str">
            <v>Jamila Jumanne Maja</v>
          </cell>
          <cell r="H112" t="str">
            <v>F1</v>
          </cell>
          <cell r="I112" t="str">
            <v>0-15</v>
          </cell>
          <cell r="J112">
            <v>0.94699999999999995</v>
          </cell>
          <cell r="K112">
            <v>191.78298588258733</v>
          </cell>
          <cell r="L112">
            <v>0.14499999999999999</v>
          </cell>
          <cell r="M112">
            <v>1.089</v>
          </cell>
        </row>
        <row r="113">
          <cell r="G113" t="str">
            <v>Jeremiah Gabriel</v>
          </cell>
          <cell r="H113" t="str">
            <v>F1</v>
          </cell>
          <cell r="I113" t="str">
            <v>0-15</v>
          </cell>
          <cell r="J113">
            <v>0.84599999999999997</v>
          </cell>
          <cell r="K113">
            <v>309.19793903789679</v>
          </cell>
          <cell r="L113">
            <v>0.187</v>
          </cell>
          <cell r="M113">
            <v>2.68</v>
          </cell>
        </row>
        <row r="114">
          <cell r="G114" t="str">
            <v>Joel Joram Mason</v>
          </cell>
          <cell r="H114" t="str">
            <v>F1</v>
          </cell>
          <cell r="I114" t="str">
            <v>0-15</v>
          </cell>
          <cell r="J114">
            <v>0.71</v>
          </cell>
          <cell r="K114">
            <v>522.23171518844038</v>
          </cell>
          <cell r="L114">
            <v>0.191</v>
          </cell>
          <cell r="M114">
            <v>2.1869999999999998</v>
          </cell>
        </row>
        <row r="115">
          <cell r="G115" t="str">
            <v>John Arkadi</v>
          </cell>
          <cell r="H115" t="str">
            <v>F1</v>
          </cell>
          <cell r="I115" t="str">
            <v>0-15</v>
          </cell>
          <cell r="J115">
            <v>0.97799999999999998</v>
          </cell>
          <cell r="K115">
            <v>119.26212524697208</v>
          </cell>
          <cell r="L115">
            <v>0.161</v>
          </cell>
          <cell r="M115">
            <v>1.712</v>
          </cell>
        </row>
        <row r="116">
          <cell r="G116" t="str">
            <v>John Andrea Philipo</v>
          </cell>
          <cell r="H116" t="str">
            <v>F1</v>
          </cell>
          <cell r="I116" t="str">
            <v>0-15</v>
          </cell>
          <cell r="J116">
            <v>0.84299999999999997</v>
          </cell>
          <cell r="K116">
            <v>342.94387954233508</v>
          </cell>
          <cell r="L116">
            <v>0.14299999999999999</v>
          </cell>
          <cell r="M116">
            <v>1.7629999999999999</v>
          </cell>
        </row>
        <row r="117">
          <cell r="G117" t="str">
            <v>John Darabe Dagharo</v>
          </cell>
          <cell r="H117" t="str">
            <v>F1</v>
          </cell>
          <cell r="I117" t="str">
            <v>0-15</v>
          </cell>
          <cell r="J117">
            <v>0.84899999999999998</v>
          </cell>
          <cell r="K117">
            <v>328.42423259977534</v>
          </cell>
          <cell r="L117">
            <v>0.13800000000000001</v>
          </cell>
          <cell r="M117">
            <v>1.236</v>
          </cell>
        </row>
        <row r="118">
          <cell r="G118" t="str">
            <v>John Gwandu Tsere</v>
          </cell>
          <cell r="H118" t="str">
            <v>F1</v>
          </cell>
          <cell r="I118" t="str">
            <v>0-15</v>
          </cell>
          <cell r="J118">
            <v>0.872</v>
          </cell>
          <cell r="K118">
            <v>293.31897595454723</v>
          </cell>
          <cell r="L118">
            <v>0.13200000000000001</v>
          </cell>
          <cell r="M118">
            <v>1.484</v>
          </cell>
        </row>
        <row r="119">
          <cell r="G119" t="str">
            <v>John Tembea</v>
          </cell>
          <cell r="H119" t="str">
            <v>F1</v>
          </cell>
          <cell r="I119" t="str">
            <v>0-15</v>
          </cell>
          <cell r="J119">
            <v>1.0609999999999999</v>
          </cell>
          <cell r="K119">
            <v>29.985836517975233</v>
          </cell>
          <cell r="L119">
            <v>8.5999999999999993E-2</v>
          </cell>
          <cell r="M119">
            <v>0.68400000000000005</v>
          </cell>
        </row>
        <row r="120">
          <cell r="G120" t="str">
            <v>John Tembea</v>
          </cell>
          <cell r="H120" t="str">
            <v>F1</v>
          </cell>
          <cell r="I120" t="str">
            <v>0-15</v>
          </cell>
          <cell r="J120">
            <v>0.999</v>
          </cell>
          <cell r="K120">
            <v>128.35937471553564</v>
          </cell>
          <cell r="L120">
            <v>9.7000000000000003E-2</v>
          </cell>
          <cell r="M120">
            <v>0.82899999999999996</v>
          </cell>
        </row>
        <row r="121">
          <cell r="G121" t="str">
            <v>Joji Leonard Jabu</v>
          </cell>
          <cell r="H121" t="str">
            <v>F1</v>
          </cell>
          <cell r="I121" t="str">
            <v>0-15</v>
          </cell>
          <cell r="J121">
            <v>0.73199999999999998</v>
          </cell>
          <cell r="K121">
            <v>488.38056072237833</v>
          </cell>
          <cell r="L121">
            <v>0.16600000000000001</v>
          </cell>
          <cell r="M121">
            <v>2.0819999999999999</v>
          </cell>
        </row>
        <row r="122">
          <cell r="G122" t="str">
            <v>Jonathan Qamara</v>
          </cell>
          <cell r="H122" t="str">
            <v>F1</v>
          </cell>
          <cell r="I122" t="str">
            <v>0-15</v>
          </cell>
          <cell r="J122">
            <v>1.0069999999999999</v>
          </cell>
          <cell r="K122">
            <v>133.02335568728293</v>
          </cell>
          <cell r="L122">
            <v>7.9000000000000001E-2</v>
          </cell>
          <cell r="M122">
            <v>0.55100000000000005</v>
          </cell>
        </row>
        <row r="123">
          <cell r="G123" t="str">
            <v>Joseph Bura</v>
          </cell>
          <cell r="H123" t="str">
            <v>F1</v>
          </cell>
          <cell r="I123" t="str">
            <v>0-15</v>
          </cell>
          <cell r="J123">
            <v>0.80200000000000005</v>
          </cell>
          <cell r="K123">
            <v>343.83334765054559</v>
          </cell>
          <cell r="L123">
            <v>0.14599999999999999</v>
          </cell>
          <cell r="M123">
            <v>1.37</v>
          </cell>
        </row>
        <row r="124">
          <cell r="G124" t="str">
            <v>Joseph Tahani</v>
          </cell>
          <cell r="H124" t="str">
            <v>F1</v>
          </cell>
          <cell r="I124" t="str">
            <v>0-15</v>
          </cell>
          <cell r="J124">
            <v>1.0309999999999999</v>
          </cell>
          <cell r="K124">
            <v>71.185895917017049</v>
          </cell>
          <cell r="L124">
            <v>0.10299999999999999</v>
          </cell>
          <cell r="M124">
            <v>0.84299999999999997</v>
          </cell>
        </row>
        <row r="125">
          <cell r="G125" t="str">
            <v>Joshua Dobe</v>
          </cell>
          <cell r="H125" t="str">
            <v>F1</v>
          </cell>
          <cell r="I125" t="str">
            <v>0-15</v>
          </cell>
          <cell r="J125">
            <v>0.78200000000000003</v>
          </cell>
          <cell r="K125">
            <v>390.91281359849768</v>
          </cell>
          <cell r="L125">
            <v>0.121</v>
          </cell>
          <cell r="M125">
            <v>1.399</v>
          </cell>
        </row>
        <row r="126">
          <cell r="G126" t="str">
            <v>Julias Saitabau Mollel</v>
          </cell>
          <cell r="H126" t="str">
            <v>F1</v>
          </cell>
          <cell r="I126" t="str">
            <v>0-15</v>
          </cell>
          <cell r="J126">
            <v>0.34799999999999998</v>
          </cell>
          <cell r="K126">
            <v>1023.4066217998582</v>
          </cell>
          <cell r="L126">
            <v>0.161</v>
          </cell>
          <cell r="M126">
            <v>1.5149999999999999</v>
          </cell>
        </row>
        <row r="127">
          <cell r="G127" t="str">
            <v>Juma Iddi</v>
          </cell>
          <cell r="H127" t="str">
            <v>F1</v>
          </cell>
          <cell r="I127" t="str">
            <v>0-15</v>
          </cell>
          <cell r="J127">
            <v>0.93100000000000005</v>
          </cell>
          <cell r="K127">
            <v>207.05817873887941</v>
          </cell>
          <cell r="L127">
            <v>0.14099999999999999</v>
          </cell>
          <cell r="M127">
            <v>1.3420000000000001</v>
          </cell>
        </row>
        <row r="128">
          <cell r="G128" t="str">
            <v>Juma Mola</v>
          </cell>
          <cell r="H128" t="str">
            <v>F1</v>
          </cell>
          <cell r="I128" t="str">
            <v>0-15</v>
          </cell>
          <cell r="J128">
            <v>0.98499999999999999</v>
          </cell>
          <cell r="K128">
            <v>133.68714601507389</v>
          </cell>
          <cell r="L128">
            <v>0.122</v>
          </cell>
          <cell r="M128">
            <v>1.4339999999999999</v>
          </cell>
        </row>
        <row r="129">
          <cell r="G129" t="str">
            <v>Jumanne Sochore</v>
          </cell>
          <cell r="H129" t="str">
            <v>F1</v>
          </cell>
          <cell r="I129" t="str">
            <v>0-15</v>
          </cell>
          <cell r="J129">
            <v>0.91</v>
          </cell>
          <cell r="K129">
            <v>250.80185698562588</v>
          </cell>
          <cell r="L129">
            <v>0.128</v>
          </cell>
          <cell r="M129">
            <v>1.1040000000000001</v>
          </cell>
        </row>
        <row r="130">
          <cell r="G130" t="str">
            <v>Kamili Mayo</v>
          </cell>
          <cell r="H130" t="str">
            <v>F1</v>
          </cell>
          <cell r="I130" t="str">
            <v>0-15</v>
          </cell>
          <cell r="J130">
            <v>0.95599999999999996</v>
          </cell>
          <cell r="K130">
            <v>168.75049838686394</v>
          </cell>
          <cell r="L130">
            <v>0.17</v>
          </cell>
          <cell r="M130">
            <v>1.472</v>
          </cell>
        </row>
        <row r="131">
          <cell r="G131" t="str">
            <v>Karimu Saidi Mbao</v>
          </cell>
          <cell r="H131" t="str">
            <v>F1</v>
          </cell>
          <cell r="I131" t="str">
            <v>0-15</v>
          </cell>
          <cell r="J131">
            <v>0.89600000000000002</v>
          </cell>
          <cell r="K131">
            <v>259.87984713720471</v>
          </cell>
          <cell r="L131">
            <v>0.107</v>
          </cell>
          <cell r="M131">
            <v>0.91300000000000003</v>
          </cell>
        </row>
        <row r="132">
          <cell r="G132" t="str">
            <v>Kasiani Gurtu Samani</v>
          </cell>
          <cell r="H132" t="str">
            <v>F1</v>
          </cell>
          <cell r="I132" t="str">
            <v>0-15</v>
          </cell>
          <cell r="J132">
            <v>0.876</v>
          </cell>
          <cell r="K132">
            <v>249.41135641267942</v>
          </cell>
          <cell r="L132">
            <v>0.151</v>
          </cell>
          <cell r="M132">
            <v>1.3580000000000001</v>
          </cell>
        </row>
        <row r="133">
          <cell r="G133" t="str">
            <v>Kwaselema Mulki Thehema</v>
          </cell>
          <cell r="H133" t="str">
            <v>F1</v>
          </cell>
          <cell r="I133" t="str">
            <v>0-15</v>
          </cell>
          <cell r="J133">
            <v>0.755</v>
          </cell>
          <cell r="K133">
            <v>409.38566737821543</v>
          </cell>
          <cell r="L133">
            <v>0.17599999999999999</v>
          </cell>
          <cell r="M133">
            <v>1.7490000000000001</v>
          </cell>
        </row>
        <row r="134">
          <cell r="G134" t="str">
            <v>Laurent Singay Sule</v>
          </cell>
          <cell r="H134" t="str">
            <v>F1</v>
          </cell>
          <cell r="I134" t="str">
            <v>0-15</v>
          </cell>
          <cell r="J134">
            <v>0.86699999999999999</v>
          </cell>
          <cell r="K134">
            <v>303.32686075376108</v>
          </cell>
          <cell r="L134">
            <v>0.13100000000000001</v>
          </cell>
          <cell r="M134">
            <v>1.202</v>
          </cell>
        </row>
        <row r="135">
          <cell r="G135" t="str">
            <v>Layda Bura Katuwe</v>
          </cell>
          <cell r="H135" t="str">
            <v>F1</v>
          </cell>
          <cell r="I135" t="str">
            <v>0-15</v>
          </cell>
          <cell r="J135">
            <v>1.006</v>
          </cell>
          <cell r="K135">
            <v>109.51937816509624</v>
          </cell>
          <cell r="L135">
            <v>0.10100000000000001</v>
          </cell>
          <cell r="M135">
            <v>0.85299999999999998</v>
          </cell>
        </row>
        <row r="136">
          <cell r="G136" t="str">
            <v>Layda Bura Katuwe</v>
          </cell>
          <cell r="H136" t="str">
            <v>F1</v>
          </cell>
          <cell r="I136" t="str">
            <v>0-15</v>
          </cell>
          <cell r="J136">
            <v>0.90900000000000003</v>
          </cell>
          <cell r="K136">
            <v>244.76632644639477</v>
          </cell>
          <cell r="L136">
            <v>0.10100000000000001</v>
          </cell>
          <cell r="M136">
            <v>0.85299999999999998</v>
          </cell>
        </row>
        <row r="137">
          <cell r="G137" t="str">
            <v>Layda Bura Katuwe</v>
          </cell>
          <cell r="H137" t="str">
            <v>F1</v>
          </cell>
          <cell r="I137" t="str">
            <v>0-15</v>
          </cell>
          <cell r="J137">
            <v>1.0669999999999999</v>
          </cell>
          <cell r="K137">
            <v>24.467173575825978</v>
          </cell>
          <cell r="L137">
            <v>0.10100000000000001</v>
          </cell>
          <cell r="M137">
            <v>0.85299999999999998</v>
          </cell>
        </row>
        <row r="138">
          <cell r="G138" t="str">
            <v>Leandry Daniel Qwaraida</v>
          </cell>
          <cell r="H138" t="str">
            <v>F1</v>
          </cell>
          <cell r="I138" t="str">
            <v>0-15</v>
          </cell>
          <cell r="J138">
            <v>0.83099999999999996</v>
          </cell>
          <cell r="K138">
            <v>350.44415435084073</v>
          </cell>
          <cell r="L138">
            <v>0.13700000000000001</v>
          </cell>
          <cell r="M138">
            <v>1.3740000000000001</v>
          </cell>
        </row>
        <row r="139">
          <cell r="G139" t="str">
            <v>Leonard Edward</v>
          </cell>
          <cell r="H139" t="str">
            <v>F1</v>
          </cell>
          <cell r="I139" t="str">
            <v>0-15</v>
          </cell>
          <cell r="J139">
            <v>0.94399999999999995</v>
          </cell>
          <cell r="K139">
            <v>205.72017308152266</v>
          </cell>
          <cell r="L139"/>
          <cell r="M139"/>
        </row>
        <row r="140">
          <cell r="G140" t="str">
            <v>Lindael Paulo</v>
          </cell>
          <cell r="H140" t="str">
            <v>F1</v>
          </cell>
          <cell r="I140" t="str">
            <v>0-15</v>
          </cell>
          <cell r="J140">
            <v>0.74199999999999999</v>
          </cell>
          <cell r="K140">
            <v>425.96863985475915</v>
          </cell>
          <cell r="L140">
            <v>0.154</v>
          </cell>
          <cell r="M140">
            <v>1.462</v>
          </cell>
        </row>
        <row r="141">
          <cell r="G141" t="str">
            <v>Linus Naghali</v>
          </cell>
          <cell r="H141" t="str">
            <v>F1</v>
          </cell>
          <cell r="I141" t="str">
            <v>0-15</v>
          </cell>
          <cell r="J141">
            <v>0.91300000000000003</v>
          </cell>
          <cell r="K141">
            <v>246.67458230236457</v>
          </cell>
          <cell r="L141">
            <v>0.126</v>
          </cell>
          <cell r="M141">
            <v>1.321</v>
          </cell>
        </row>
        <row r="142">
          <cell r="G142" t="str">
            <v>Linus Naghali</v>
          </cell>
          <cell r="H142" t="str">
            <v>F1</v>
          </cell>
          <cell r="I142" t="str">
            <v>0-15</v>
          </cell>
          <cell r="J142">
            <v>0.83299999999999996</v>
          </cell>
          <cell r="K142">
            <v>356.53038513251443</v>
          </cell>
          <cell r="L142">
            <v>0.115</v>
          </cell>
          <cell r="M142">
            <v>1.226</v>
          </cell>
        </row>
        <row r="143">
          <cell r="G143" t="str">
            <v>Lobulu Ndiyogi Mitamey</v>
          </cell>
          <cell r="H143" t="str">
            <v>F1</v>
          </cell>
          <cell r="I143" t="str">
            <v>0-15</v>
          </cell>
          <cell r="J143">
            <v>0.89800000000000002</v>
          </cell>
          <cell r="K143">
            <v>251.89603207009418</v>
          </cell>
          <cell r="L143">
            <v>0.11899999999999999</v>
          </cell>
          <cell r="M143">
            <v>1.522</v>
          </cell>
        </row>
        <row r="144">
          <cell r="G144" t="str">
            <v>Lobulu Ndiyogi Mitamey</v>
          </cell>
          <cell r="H144" t="str">
            <v>F1</v>
          </cell>
          <cell r="I144" t="str">
            <v>0-15</v>
          </cell>
          <cell r="J144">
            <v>0.99399999999999999</v>
          </cell>
          <cell r="K144">
            <v>121.45864056110614</v>
          </cell>
          <cell r="L144">
            <v>0.11899999999999999</v>
          </cell>
          <cell r="M144">
            <v>1.522</v>
          </cell>
        </row>
        <row r="145">
          <cell r="G145" t="str">
            <v>Lucia Doho Bombo</v>
          </cell>
          <cell r="H145" t="str">
            <v>F1</v>
          </cell>
          <cell r="I145" t="str">
            <v>0-15</v>
          </cell>
          <cell r="J145">
            <v>0.65700000000000003</v>
          </cell>
          <cell r="K145">
            <v>592.87783827657358</v>
          </cell>
          <cell r="L145">
            <v>0.16400000000000001</v>
          </cell>
          <cell r="M145">
            <v>2.153</v>
          </cell>
        </row>
        <row r="146">
          <cell r="G146" t="str">
            <v>Lucia Masai</v>
          </cell>
          <cell r="H146" t="str">
            <v>F1</v>
          </cell>
          <cell r="I146" t="str">
            <v>0-15</v>
          </cell>
          <cell r="J146">
            <v>0.72299999999999998</v>
          </cell>
          <cell r="K146">
            <v>466.24371358405176</v>
          </cell>
          <cell r="L146">
            <v>0.21</v>
          </cell>
          <cell r="M146">
            <v>1.9</v>
          </cell>
        </row>
        <row r="147">
          <cell r="G147" t="str">
            <v>Lukas Ngwandu</v>
          </cell>
          <cell r="H147" t="str">
            <v>F1</v>
          </cell>
          <cell r="I147" t="str">
            <v>0-15</v>
          </cell>
          <cell r="J147">
            <v>0.84399999999999997</v>
          </cell>
          <cell r="K147">
            <v>311.75152886791551</v>
          </cell>
          <cell r="L147">
            <v>0.159</v>
          </cell>
          <cell r="M147">
            <v>1.323</v>
          </cell>
        </row>
        <row r="148">
          <cell r="G148" t="str">
            <v>Magdalena Petro Lagwe</v>
          </cell>
          <cell r="H148" t="str">
            <v>F1</v>
          </cell>
          <cell r="I148" t="str">
            <v>0-15</v>
          </cell>
          <cell r="J148">
            <v>0.83</v>
          </cell>
          <cell r="K148">
            <v>360.60633680956835</v>
          </cell>
          <cell r="L148">
            <v>0.158</v>
          </cell>
          <cell r="M148">
            <v>1.8540000000000001</v>
          </cell>
        </row>
        <row r="149">
          <cell r="G149" t="str">
            <v>Magreti Suni Qwadue</v>
          </cell>
          <cell r="H149" t="str">
            <v>F1</v>
          </cell>
          <cell r="I149" t="str">
            <v>0-15</v>
          </cell>
          <cell r="J149">
            <v>0.85299999999999998</v>
          </cell>
          <cell r="K149">
            <v>322.84703885621667</v>
          </cell>
          <cell r="L149">
            <v>0.17100000000000001</v>
          </cell>
          <cell r="M149">
            <v>1.464</v>
          </cell>
        </row>
        <row r="150">
          <cell r="G150" t="str">
            <v>Manase Baghari Qwangway</v>
          </cell>
          <cell r="H150" t="str">
            <v>F1</v>
          </cell>
          <cell r="I150" t="str">
            <v>0-15</v>
          </cell>
          <cell r="J150">
            <v>0.89200000000000002</v>
          </cell>
          <cell r="K150">
            <v>260.04836903940566</v>
          </cell>
          <cell r="L150">
            <v>7.9000000000000001E-2</v>
          </cell>
          <cell r="M150">
            <v>0.80900000000000005</v>
          </cell>
        </row>
        <row r="151">
          <cell r="G151" t="str">
            <v>Maneno Malimu Simba</v>
          </cell>
          <cell r="H151" t="str">
            <v>F1</v>
          </cell>
          <cell r="I151" t="str">
            <v>0-15</v>
          </cell>
          <cell r="J151">
            <v>0.313</v>
          </cell>
          <cell r="K151">
            <v>1072.1720179918159</v>
          </cell>
          <cell r="L151">
            <v>0.14000000000000001</v>
          </cell>
          <cell r="M151">
            <v>1.6439999999999999</v>
          </cell>
        </row>
        <row r="152">
          <cell r="G152" t="str">
            <v>Mapita Issa</v>
          </cell>
          <cell r="H152" t="str">
            <v>F1</v>
          </cell>
          <cell r="I152" t="str">
            <v>0-15</v>
          </cell>
          <cell r="J152">
            <v>0.86899999999999999</v>
          </cell>
          <cell r="K152">
            <v>297.49886705671486</v>
          </cell>
          <cell r="L152">
            <v>0.13400000000000001</v>
          </cell>
          <cell r="M152">
            <v>1.133</v>
          </cell>
        </row>
        <row r="153">
          <cell r="G153" t="str">
            <v>Marbina Barhe</v>
          </cell>
          <cell r="H153" t="str">
            <v>F1</v>
          </cell>
          <cell r="I153" t="str">
            <v>0-15</v>
          </cell>
          <cell r="J153">
            <v>0.81100000000000005</v>
          </cell>
          <cell r="K153">
            <v>332.34959195945368</v>
          </cell>
          <cell r="L153">
            <v>0.14499999999999999</v>
          </cell>
          <cell r="M153">
            <v>1.4390000000000001</v>
          </cell>
        </row>
        <row r="154">
          <cell r="G154" t="str">
            <v>Mariam Hassani Schelwe</v>
          </cell>
          <cell r="H154" t="str">
            <v>F1</v>
          </cell>
          <cell r="I154" t="str">
            <v>0-15</v>
          </cell>
          <cell r="J154">
            <v>0.73199999999999998</v>
          </cell>
          <cell r="K154">
            <v>495.68682152580686</v>
          </cell>
          <cell r="L154">
            <v>0.17100000000000001</v>
          </cell>
          <cell r="M154">
            <v>2.4119999999999999</v>
          </cell>
        </row>
        <row r="155">
          <cell r="G155" t="str">
            <v>Marium Iddi Kijuu</v>
          </cell>
          <cell r="H155" t="str">
            <v>F1</v>
          </cell>
          <cell r="I155" t="str">
            <v>0-15</v>
          </cell>
          <cell r="J155">
            <v>0.97799999999999998</v>
          </cell>
          <cell r="K155">
            <v>157.25029749836568</v>
          </cell>
          <cell r="L155">
            <v>9.5000000000000001E-2</v>
          </cell>
          <cell r="M155">
            <v>0.75600000000000001</v>
          </cell>
        </row>
        <row r="156">
          <cell r="G156" t="str">
            <v>Marki Tiodori Stanslaus</v>
          </cell>
          <cell r="H156" t="str">
            <v>F1</v>
          </cell>
          <cell r="I156" t="str">
            <v>0-15</v>
          </cell>
          <cell r="J156">
            <v>0.98899999999999999</v>
          </cell>
          <cell r="K156">
            <v>130.30322297000242</v>
          </cell>
          <cell r="L156">
            <v>0.112</v>
          </cell>
          <cell r="M156">
            <v>1.0940000000000001</v>
          </cell>
        </row>
        <row r="157">
          <cell r="G157" t="str">
            <v>Marki Tiodori Stanslaus</v>
          </cell>
          <cell r="H157" t="str">
            <v>F1</v>
          </cell>
          <cell r="I157" t="str">
            <v>0-15</v>
          </cell>
          <cell r="J157">
            <v>0.82</v>
          </cell>
          <cell r="K157">
            <v>365.77042172545595</v>
          </cell>
          <cell r="L157">
            <v>0.16200000000000001</v>
          </cell>
          <cell r="M157">
            <v>1.577</v>
          </cell>
        </row>
        <row r="158">
          <cell r="G158" t="str">
            <v>Markoriokoli Tiofili</v>
          </cell>
          <cell r="H158" t="str">
            <v>F1</v>
          </cell>
          <cell r="I158" t="str">
            <v>0-15</v>
          </cell>
          <cell r="J158">
            <v>0.76900000000000002</v>
          </cell>
          <cell r="K158">
            <v>436.82857046230856</v>
          </cell>
          <cell r="L158">
            <v>0.17799999999999999</v>
          </cell>
          <cell r="M158">
            <v>1.661</v>
          </cell>
        </row>
        <row r="159">
          <cell r="G159" t="str">
            <v>Markoriokoli Tiofili</v>
          </cell>
          <cell r="H159" t="str">
            <v>F1</v>
          </cell>
          <cell r="I159" t="str">
            <v>0-15</v>
          </cell>
          <cell r="J159">
            <v>0.84599999999999997</v>
          </cell>
          <cell r="K159">
            <v>338.85038356187079</v>
          </cell>
          <cell r="L159">
            <v>0.17799999999999999</v>
          </cell>
          <cell r="M159">
            <v>1.661</v>
          </cell>
        </row>
        <row r="160">
          <cell r="G160" t="str">
            <v>Martin Dali</v>
          </cell>
          <cell r="H160" t="str">
            <v>F1</v>
          </cell>
          <cell r="I160" t="str">
            <v>0-15</v>
          </cell>
          <cell r="J160">
            <v>0.72799999999999998</v>
          </cell>
          <cell r="K160">
            <v>493.95374885860213</v>
          </cell>
          <cell r="L160">
            <v>0.15</v>
          </cell>
          <cell r="M160">
            <v>1.387</v>
          </cell>
        </row>
        <row r="161">
          <cell r="G161" t="str">
            <v>Martin Leonce</v>
          </cell>
          <cell r="H161" t="str">
            <v>F1</v>
          </cell>
          <cell r="I161" t="str">
            <v>0-15</v>
          </cell>
          <cell r="J161">
            <v>0.999</v>
          </cell>
          <cell r="K161">
            <v>98.13603012616403</v>
          </cell>
          <cell r="L161">
            <v>0.17199999999999999</v>
          </cell>
          <cell r="M161">
            <v>1.65</v>
          </cell>
        </row>
        <row r="162">
          <cell r="G162" t="str">
            <v>Martini Marmo Bayo</v>
          </cell>
          <cell r="H162" t="str">
            <v>F1</v>
          </cell>
          <cell r="I162" t="str">
            <v>0-15</v>
          </cell>
          <cell r="J162">
            <v>0.86199999999999999</v>
          </cell>
          <cell r="K162">
            <v>272.89504776358655</v>
          </cell>
          <cell r="L162">
            <v>0.17100000000000001</v>
          </cell>
          <cell r="M162">
            <v>1.524</v>
          </cell>
        </row>
        <row r="163">
          <cell r="G163" t="str">
            <v>Martini Wema Tsikho</v>
          </cell>
          <cell r="H163" t="str">
            <v>F1</v>
          </cell>
          <cell r="I163" t="str">
            <v>0-15</v>
          </cell>
          <cell r="J163">
            <v>1</v>
          </cell>
          <cell r="K163">
            <v>113.30630359179413</v>
          </cell>
          <cell r="L163">
            <v>0.105</v>
          </cell>
          <cell r="M163">
            <v>0.88600000000000001</v>
          </cell>
        </row>
        <row r="164">
          <cell r="G164" t="str">
            <v>Maulidi Ramadhani Ally</v>
          </cell>
          <cell r="H164" t="str">
            <v>F1</v>
          </cell>
          <cell r="I164" t="str">
            <v>0-15</v>
          </cell>
          <cell r="J164">
            <v>0.83299999999999996</v>
          </cell>
          <cell r="K164">
            <v>347.6575602827287</v>
          </cell>
          <cell r="L164">
            <v>0.127</v>
          </cell>
          <cell r="M164">
            <v>1.4930000000000001</v>
          </cell>
        </row>
        <row r="165">
          <cell r="G165" t="str">
            <v>Michael Bado</v>
          </cell>
          <cell r="H165" t="str">
            <v>F1</v>
          </cell>
          <cell r="I165" t="str">
            <v>0-15</v>
          </cell>
          <cell r="J165">
            <v>0.70299999999999996</v>
          </cell>
          <cell r="K165">
            <v>491.77961188423967</v>
          </cell>
          <cell r="L165">
            <v>0.18</v>
          </cell>
          <cell r="M165">
            <v>1.6890000000000001</v>
          </cell>
        </row>
        <row r="166">
          <cell r="G166" t="str">
            <v>Mohamed Soghore</v>
          </cell>
          <cell r="H166" t="str">
            <v>F1</v>
          </cell>
          <cell r="I166" t="str">
            <v>0-15</v>
          </cell>
          <cell r="J166">
            <v>0.94799999999999995</v>
          </cell>
          <cell r="K166">
            <v>200.28557084545082</v>
          </cell>
          <cell r="L166"/>
          <cell r="M166"/>
        </row>
        <row r="167">
          <cell r="G167" t="str">
            <v>Mohamedi Hamisi Leso</v>
          </cell>
          <cell r="H167" t="str">
            <v>F1</v>
          </cell>
          <cell r="I167" t="str">
            <v>0-15</v>
          </cell>
          <cell r="J167">
            <v>0.81200000000000006</v>
          </cell>
          <cell r="K167">
            <v>376.9167979979033</v>
          </cell>
          <cell r="L167">
            <v>0.124</v>
          </cell>
          <cell r="M167">
            <v>1.2130000000000001</v>
          </cell>
        </row>
        <row r="168">
          <cell r="G168" t="str">
            <v>Mustafa Hassani Ally</v>
          </cell>
          <cell r="H168" t="str">
            <v>F1</v>
          </cell>
          <cell r="I168" t="str">
            <v>0-15</v>
          </cell>
          <cell r="J168">
            <v>0.85099999999999998</v>
          </cell>
          <cell r="K168">
            <v>332.0746750701914</v>
          </cell>
          <cell r="L168">
            <v>0.10299999999999999</v>
          </cell>
          <cell r="M168">
            <v>1.117</v>
          </cell>
        </row>
        <row r="169">
          <cell r="G169" t="str">
            <v>Nada Karani Jumbe</v>
          </cell>
          <cell r="H169" t="str">
            <v>F1</v>
          </cell>
          <cell r="I169" t="str">
            <v>0-15</v>
          </cell>
          <cell r="J169">
            <v>1.081</v>
          </cell>
          <cell r="K169">
            <v>9.1511340106900931</v>
          </cell>
          <cell r="L169">
            <v>7.9000000000000001E-2</v>
          </cell>
          <cell r="M169">
            <v>0.56399999999999995</v>
          </cell>
        </row>
        <row r="170">
          <cell r="G170" t="str">
            <v>Nada Slaa Mando</v>
          </cell>
          <cell r="H170" t="str">
            <v>F1</v>
          </cell>
          <cell r="I170" t="str">
            <v>0-15</v>
          </cell>
          <cell r="J170">
            <v>0.75600000000000001</v>
          </cell>
          <cell r="K170">
            <v>444.83467367713882</v>
          </cell>
          <cell r="L170">
            <v>0.152</v>
          </cell>
          <cell r="M170">
            <v>1.7689999999999999</v>
          </cell>
        </row>
        <row r="171">
          <cell r="G171" t="str">
            <v>Nasoro Ramadhani Abdala</v>
          </cell>
          <cell r="H171" t="str">
            <v>F1</v>
          </cell>
          <cell r="I171" t="str">
            <v>0-15</v>
          </cell>
          <cell r="J171">
            <v>0.91700000000000004</v>
          </cell>
          <cell r="K171">
            <v>233.61193895927704</v>
          </cell>
          <cell r="L171">
            <v>0.107</v>
          </cell>
          <cell r="M171">
            <v>1.155</v>
          </cell>
        </row>
        <row r="172">
          <cell r="G172" t="str">
            <v>Neemia Yona Mugusi</v>
          </cell>
          <cell r="H172" t="str">
            <v>F1</v>
          </cell>
          <cell r="I172" t="str">
            <v>0-15</v>
          </cell>
          <cell r="J172">
            <v>0.92</v>
          </cell>
          <cell r="K172">
            <v>214.7151153272018</v>
          </cell>
          <cell r="L172">
            <v>0.13900000000000001</v>
          </cell>
          <cell r="M172">
            <v>1.29</v>
          </cell>
        </row>
        <row r="173">
          <cell r="G173" t="str">
            <v>Nicodemus Qambaro</v>
          </cell>
          <cell r="H173" t="str">
            <v>F1</v>
          </cell>
          <cell r="I173" t="str">
            <v>0-15</v>
          </cell>
          <cell r="J173">
            <v>1.0209999999999999</v>
          </cell>
          <cell r="K173">
            <v>84.77312419920338</v>
          </cell>
          <cell r="L173">
            <v>0.08</v>
          </cell>
          <cell r="M173">
            <v>0.61</v>
          </cell>
        </row>
        <row r="174">
          <cell r="G174" t="str">
            <v>Nicodemus Qambaro</v>
          </cell>
          <cell r="H174" t="str">
            <v>F1</v>
          </cell>
          <cell r="I174" t="str">
            <v>0-15</v>
          </cell>
          <cell r="J174">
            <v>0.82599999999999996</v>
          </cell>
          <cell r="K174">
            <v>366.36554811694725</v>
          </cell>
          <cell r="L174">
            <v>0.08</v>
          </cell>
          <cell r="M174">
            <v>0.61</v>
          </cell>
        </row>
        <row r="175">
          <cell r="G175" t="str">
            <v>Olivia Filipo</v>
          </cell>
          <cell r="H175" t="str">
            <v>F1</v>
          </cell>
          <cell r="I175" t="str">
            <v>0-15</v>
          </cell>
          <cell r="J175">
            <v>0.86699999999999999</v>
          </cell>
          <cell r="K175">
            <v>300.2854611248269</v>
          </cell>
          <cell r="L175">
            <v>0.115</v>
          </cell>
          <cell r="M175">
            <v>1.234</v>
          </cell>
        </row>
        <row r="176">
          <cell r="G176" t="str">
            <v>Omari Dawi Muhale</v>
          </cell>
          <cell r="H176" t="str">
            <v>F1</v>
          </cell>
          <cell r="I176" t="str">
            <v>0-15</v>
          </cell>
          <cell r="J176">
            <v>0.92900000000000005</v>
          </cell>
          <cell r="K176">
            <v>224.66245065830302</v>
          </cell>
          <cell r="L176">
            <v>9.6000000000000002E-2</v>
          </cell>
          <cell r="M176">
            <v>0.81</v>
          </cell>
        </row>
        <row r="177">
          <cell r="G177" t="str">
            <v>Omary Dodo Tekway</v>
          </cell>
          <cell r="H177" t="str">
            <v>F1</v>
          </cell>
          <cell r="I177" t="str">
            <v>0-15</v>
          </cell>
          <cell r="J177">
            <v>0.75900000000000001</v>
          </cell>
          <cell r="K177">
            <v>457.07052649984234</v>
          </cell>
          <cell r="L177">
            <v>0.153</v>
          </cell>
          <cell r="M177">
            <v>1.796</v>
          </cell>
        </row>
        <row r="178">
          <cell r="G178" t="str">
            <v>Pascal Singay Sule</v>
          </cell>
          <cell r="H178" t="str">
            <v>F1</v>
          </cell>
          <cell r="I178" t="str">
            <v>0-15</v>
          </cell>
          <cell r="J178">
            <v>0.93400000000000005</v>
          </cell>
          <cell r="K178">
            <v>209.90886554915275</v>
          </cell>
          <cell r="L178">
            <v>9.9000000000000005E-2</v>
          </cell>
          <cell r="M178">
            <v>1.0009999999999999</v>
          </cell>
        </row>
        <row r="179">
          <cell r="G179" t="str">
            <v>Paskali Danieli Kalambai</v>
          </cell>
          <cell r="H179" t="str">
            <v>F1</v>
          </cell>
          <cell r="I179" t="str">
            <v>0-15</v>
          </cell>
          <cell r="J179">
            <v>0.89300000000000002</v>
          </cell>
          <cell r="K179">
            <v>267.07510142062972</v>
          </cell>
          <cell r="L179">
            <v>0.11799999999999999</v>
          </cell>
          <cell r="M179">
            <v>1.056</v>
          </cell>
        </row>
        <row r="180">
          <cell r="G180" t="str">
            <v>Paskali Zakayo Barie</v>
          </cell>
          <cell r="H180" t="str">
            <v>F1</v>
          </cell>
          <cell r="I180" t="str">
            <v>0-15</v>
          </cell>
          <cell r="J180">
            <v>0.95699999999999996</v>
          </cell>
          <cell r="K180">
            <v>177.84000152369043</v>
          </cell>
          <cell r="L180">
            <v>0.11799999999999999</v>
          </cell>
          <cell r="M180">
            <v>1.1919999999999999</v>
          </cell>
        </row>
        <row r="181">
          <cell r="G181" t="str">
            <v>Patricia Mbung'e</v>
          </cell>
          <cell r="H181" t="str">
            <v>F1</v>
          </cell>
          <cell r="I181" t="str">
            <v>0-15</v>
          </cell>
          <cell r="J181">
            <v>0.89300000000000002</v>
          </cell>
          <cell r="K181">
            <v>274.18974685744104</v>
          </cell>
          <cell r="L181">
            <v>0.123</v>
          </cell>
          <cell r="M181">
            <v>1.0580000000000001</v>
          </cell>
        </row>
        <row r="182">
          <cell r="G182" t="str">
            <v>Paulo Baraza</v>
          </cell>
          <cell r="H182" t="str">
            <v>F1</v>
          </cell>
          <cell r="I182" t="str">
            <v>0-15</v>
          </cell>
          <cell r="J182">
            <v>0.93899999999999995</v>
          </cell>
          <cell r="K182">
            <v>190.45601194202362</v>
          </cell>
          <cell r="L182">
            <v>0.188</v>
          </cell>
          <cell r="M182">
            <v>1.339</v>
          </cell>
        </row>
        <row r="183">
          <cell r="G183" t="str">
            <v>Paulo Baraza</v>
          </cell>
          <cell r="H183" t="str">
            <v>F1</v>
          </cell>
          <cell r="I183" t="str">
            <v>0-15</v>
          </cell>
          <cell r="J183">
            <v>0.87</v>
          </cell>
          <cell r="K183">
            <v>257.06719354007402</v>
          </cell>
          <cell r="L183">
            <v>0.16800000000000001</v>
          </cell>
          <cell r="M183">
            <v>1.4119999999999999</v>
          </cell>
        </row>
        <row r="184">
          <cell r="G184" t="str">
            <v>Paulo Gelasi Polini</v>
          </cell>
          <cell r="H184" t="str">
            <v>F1</v>
          </cell>
          <cell r="I184" t="str">
            <v>0-15</v>
          </cell>
          <cell r="J184">
            <v>0.84399999999999997</v>
          </cell>
          <cell r="K184">
            <v>311.75152886791551</v>
          </cell>
          <cell r="L184">
            <v>0.14000000000000001</v>
          </cell>
          <cell r="M184">
            <v>1.4390000000000001</v>
          </cell>
        </row>
        <row r="185">
          <cell r="G185" t="str">
            <v>Paulo Gobre</v>
          </cell>
          <cell r="H185" t="str">
            <v>F1</v>
          </cell>
          <cell r="I185" t="str">
            <v>0-15</v>
          </cell>
          <cell r="J185">
            <v>0.82099999999999995</v>
          </cell>
          <cell r="K185">
            <v>373.24433925571651</v>
          </cell>
          <cell r="L185">
            <v>0.13300000000000001</v>
          </cell>
          <cell r="M185">
            <v>1.111</v>
          </cell>
        </row>
        <row r="186">
          <cell r="G186" t="str">
            <v>Paulo Joakim</v>
          </cell>
          <cell r="H186" t="str">
            <v>F1</v>
          </cell>
          <cell r="I186" t="str">
            <v>0-15</v>
          </cell>
          <cell r="J186">
            <v>1.0609999999999999</v>
          </cell>
          <cell r="K186">
            <v>19.048007545725081</v>
          </cell>
          <cell r="L186">
            <v>0.155</v>
          </cell>
          <cell r="M186">
            <v>1.4650000000000001</v>
          </cell>
        </row>
        <row r="187">
          <cell r="G187" t="str">
            <v>Paulo Manase Panga</v>
          </cell>
          <cell r="H187" t="str">
            <v>F1</v>
          </cell>
          <cell r="I187" t="str">
            <v>0-15</v>
          </cell>
          <cell r="J187">
            <v>0.88200000000000001</v>
          </cell>
          <cell r="K187">
            <v>289.32308736273313</v>
          </cell>
          <cell r="L187">
            <v>0.111</v>
          </cell>
          <cell r="M187">
            <v>1.0009999999999999</v>
          </cell>
        </row>
        <row r="188">
          <cell r="G188" t="str">
            <v>Paulo Nada</v>
          </cell>
          <cell r="H188" t="str">
            <v>F1</v>
          </cell>
          <cell r="I188" t="str">
            <v>0-15</v>
          </cell>
          <cell r="J188">
            <v>0.81699999999999995</v>
          </cell>
          <cell r="K188">
            <v>369.95031282762386</v>
          </cell>
          <cell r="L188">
            <v>0.125</v>
          </cell>
          <cell r="M188">
            <v>1.171</v>
          </cell>
        </row>
        <row r="189">
          <cell r="G189" t="str">
            <v>Paulo Zacharia Boay</v>
          </cell>
          <cell r="H189" t="str">
            <v>F1</v>
          </cell>
          <cell r="I189" t="str">
            <v>0-15</v>
          </cell>
          <cell r="J189">
            <v>0.83599999999999997</v>
          </cell>
          <cell r="K189">
            <v>343.47766918056078</v>
          </cell>
          <cell r="L189">
            <v>9.9000000000000005E-2</v>
          </cell>
          <cell r="M189">
            <v>0.997</v>
          </cell>
        </row>
        <row r="190">
          <cell r="G190" t="str">
            <v>Petro Haima Qhwanga</v>
          </cell>
          <cell r="H190" t="str">
            <v>F1</v>
          </cell>
          <cell r="I190" t="str">
            <v>0-15</v>
          </cell>
          <cell r="J190">
            <v>1.0049999999999999</v>
          </cell>
          <cell r="K190">
            <v>120.10482534901254</v>
          </cell>
          <cell r="L190">
            <v>9.8000000000000004E-2</v>
          </cell>
          <cell r="M190">
            <v>0.79600000000000004</v>
          </cell>
        </row>
        <row r="191">
          <cell r="G191" t="str">
            <v>Petro Lohay Akweso</v>
          </cell>
          <cell r="H191" t="str">
            <v>F1</v>
          </cell>
          <cell r="I191" t="str">
            <v>0-15</v>
          </cell>
          <cell r="J191">
            <v>0.82199999999999995</v>
          </cell>
          <cell r="K191">
            <v>339.84101699812226</v>
          </cell>
          <cell r="L191">
            <v>0.16</v>
          </cell>
          <cell r="M191">
            <v>1.4239999999999999</v>
          </cell>
        </row>
        <row r="192">
          <cell r="G192" t="str">
            <v>Petro Ndirang'</v>
          </cell>
          <cell r="H192" t="str">
            <v>F1</v>
          </cell>
          <cell r="I192" t="str">
            <v>0-15</v>
          </cell>
          <cell r="J192">
            <v>0.8</v>
          </cell>
          <cell r="K192">
            <v>367.93050512832872</v>
          </cell>
          <cell r="L192">
            <v>0.16400000000000001</v>
          </cell>
          <cell r="M192">
            <v>1.5589999999999999</v>
          </cell>
        </row>
        <row r="193">
          <cell r="G193" t="str">
            <v xml:space="preserve">Petrolina Baa Tlaa </v>
          </cell>
          <cell r="H193" t="str">
            <v>F1</v>
          </cell>
          <cell r="I193" t="str">
            <v>0-15</v>
          </cell>
          <cell r="J193">
            <v>0.79800000000000004</v>
          </cell>
          <cell r="K193">
            <v>404.8867784940544</v>
          </cell>
          <cell r="L193">
            <v>0.157</v>
          </cell>
          <cell r="M193">
            <v>1.5669999999999999</v>
          </cell>
        </row>
        <row r="194">
          <cell r="G194" t="str">
            <v xml:space="preserve">Philibert hassan </v>
          </cell>
          <cell r="H194" t="str">
            <v>F1</v>
          </cell>
          <cell r="I194" t="str">
            <v>0-15</v>
          </cell>
          <cell r="J194">
            <v>0.95899999999999996</v>
          </cell>
          <cell r="K194">
            <v>183.38970382568857</v>
          </cell>
          <cell r="L194"/>
          <cell r="M194"/>
        </row>
        <row r="195">
          <cell r="G195" t="str">
            <v>Porotus Hero Dadwe</v>
          </cell>
          <cell r="H195" t="str">
            <v>F1</v>
          </cell>
          <cell r="I195" t="str">
            <v>0-15</v>
          </cell>
          <cell r="J195">
            <v>0.84799999999999998</v>
          </cell>
          <cell r="K195">
            <v>336.15062674724533</v>
          </cell>
          <cell r="L195">
            <v>0.12</v>
          </cell>
          <cell r="M195">
            <v>1.083</v>
          </cell>
        </row>
        <row r="196">
          <cell r="G196" t="str">
            <v>Qamara Suloo Qwasali</v>
          </cell>
          <cell r="H196" t="str">
            <v>F1</v>
          </cell>
          <cell r="I196" t="str">
            <v>0-15</v>
          </cell>
          <cell r="J196">
            <v>1.0620000000000001</v>
          </cell>
          <cell r="K196">
            <v>29.06548824223945</v>
          </cell>
          <cell r="L196">
            <v>9.5000000000000001E-2</v>
          </cell>
          <cell r="M196">
            <v>0.64300000000000002</v>
          </cell>
        </row>
        <row r="197">
          <cell r="G197" t="str">
            <v>Rabia Halifa Hamadi</v>
          </cell>
          <cell r="H197" t="str">
            <v>F1</v>
          </cell>
          <cell r="I197" t="str">
            <v>0-15</v>
          </cell>
          <cell r="J197">
            <v>0.79900000000000004</v>
          </cell>
          <cell r="K197">
            <v>395.02965944063055</v>
          </cell>
          <cell r="L197">
            <v>0.11799999999999999</v>
          </cell>
          <cell r="M197">
            <v>1.151</v>
          </cell>
        </row>
        <row r="198">
          <cell r="G198" t="str">
            <v>Rajabu Hayma Hiiti</v>
          </cell>
          <cell r="H198" t="str">
            <v>F1</v>
          </cell>
          <cell r="I198" t="str">
            <v>0-15</v>
          </cell>
          <cell r="J198">
            <v>1.0549999999999999</v>
          </cell>
          <cell r="K198">
            <v>41.198754806502066</v>
          </cell>
          <cell r="L198">
            <v>8.2000000000000003E-2</v>
          </cell>
          <cell r="M198">
            <v>0.70099999999999996</v>
          </cell>
        </row>
        <row r="199">
          <cell r="G199" t="str">
            <v>Rajabu Omary Khinsa</v>
          </cell>
          <cell r="H199" t="str">
            <v>F1</v>
          </cell>
          <cell r="I199" t="str">
            <v>0-15</v>
          </cell>
          <cell r="J199">
            <v>0.83799999999999997</v>
          </cell>
          <cell r="K199">
            <v>349.7371323374249</v>
          </cell>
          <cell r="L199">
            <v>0.13</v>
          </cell>
          <cell r="M199">
            <v>1.2689999999999999</v>
          </cell>
        </row>
        <row r="200">
          <cell r="G200" t="str">
            <v>Regina Willium Qamara</v>
          </cell>
          <cell r="H200" t="str">
            <v>F1</v>
          </cell>
          <cell r="I200" t="str">
            <v>0-15</v>
          </cell>
          <cell r="J200">
            <v>0.90500000000000003</v>
          </cell>
          <cell r="K200">
            <v>250.34352018995361</v>
          </cell>
          <cell r="L200">
            <v>0.14699999999999999</v>
          </cell>
          <cell r="M200">
            <v>1.4810000000000001</v>
          </cell>
        </row>
        <row r="201">
          <cell r="G201" t="str">
            <v>Rehema Iddy Hotti</v>
          </cell>
          <cell r="H201" t="str">
            <v>F1</v>
          </cell>
          <cell r="I201" t="str">
            <v>0-15</v>
          </cell>
          <cell r="J201">
            <v>0.9</v>
          </cell>
          <cell r="K201">
            <v>264.55943926316434</v>
          </cell>
          <cell r="L201">
            <v>0.128</v>
          </cell>
          <cell r="M201">
            <v>1.2290000000000001</v>
          </cell>
        </row>
        <row r="202">
          <cell r="G202" t="str">
            <v>Rehema Issa Iddi</v>
          </cell>
          <cell r="H202" t="str">
            <v>F1</v>
          </cell>
          <cell r="I202" t="str">
            <v>0-15</v>
          </cell>
          <cell r="J202">
            <v>0.88300000000000001</v>
          </cell>
          <cell r="K202">
            <v>281.01808577952613</v>
          </cell>
          <cell r="L202">
            <v>0.156</v>
          </cell>
          <cell r="M202">
            <v>1.68</v>
          </cell>
        </row>
        <row r="203">
          <cell r="G203" t="str">
            <v>Safari Baghayo Mjungu</v>
          </cell>
          <cell r="H203" t="str">
            <v>F1</v>
          </cell>
          <cell r="I203" t="str">
            <v>0-15</v>
          </cell>
          <cell r="J203">
            <v>0.92900000000000005</v>
          </cell>
          <cell r="K203">
            <v>224.66245065830302</v>
          </cell>
          <cell r="L203">
            <v>0.13900000000000001</v>
          </cell>
          <cell r="M203">
            <v>1.3480000000000001</v>
          </cell>
        </row>
        <row r="204">
          <cell r="G204" t="str">
            <v>Safari Bombo</v>
          </cell>
          <cell r="H204" t="str">
            <v>F1</v>
          </cell>
          <cell r="I204" t="str">
            <v>0-15</v>
          </cell>
          <cell r="J204">
            <v>0.88700000000000001</v>
          </cell>
          <cell r="K204">
            <v>256.84934752251172</v>
          </cell>
          <cell r="L204">
            <v>0.17699999999999999</v>
          </cell>
          <cell r="M204">
            <v>1.532</v>
          </cell>
        </row>
        <row r="205">
          <cell r="G205" t="str">
            <v>Saidi Swalehe Hadaa</v>
          </cell>
          <cell r="H205" t="str">
            <v>F1</v>
          </cell>
          <cell r="I205" t="str">
            <v>0-15</v>
          </cell>
          <cell r="J205">
            <v>0.86099999999999999</v>
          </cell>
          <cell r="K205">
            <v>311.69265136909911</v>
          </cell>
          <cell r="L205">
            <v>0.16900000000000001</v>
          </cell>
          <cell r="M205">
            <v>1.71</v>
          </cell>
        </row>
        <row r="206">
          <cell r="G206" t="str">
            <v>Salha Issa Kijuu</v>
          </cell>
          <cell r="H206" t="str">
            <v>F1</v>
          </cell>
          <cell r="I206" t="str">
            <v>0-15</v>
          </cell>
          <cell r="J206">
            <v>0.91400000000000003</v>
          </cell>
          <cell r="K206">
            <v>237.79483426694605</v>
          </cell>
          <cell r="L206">
            <v>0.128</v>
          </cell>
          <cell r="M206">
            <v>1.359</v>
          </cell>
        </row>
        <row r="207">
          <cell r="G207" t="str">
            <v>Salustiani Bilauri Paulo</v>
          </cell>
          <cell r="H207" t="str">
            <v>F1</v>
          </cell>
          <cell r="I207" t="str">
            <v>0-15</v>
          </cell>
          <cell r="J207">
            <v>0.91200000000000003</v>
          </cell>
          <cell r="K207">
            <v>232.87391247503351</v>
          </cell>
          <cell r="L207">
            <v>0.14000000000000001</v>
          </cell>
          <cell r="M207">
            <v>1.627</v>
          </cell>
        </row>
        <row r="208">
          <cell r="G208" t="str">
            <v>Samwel Mohamedi Harseo</v>
          </cell>
          <cell r="H208" t="str">
            <v>F1</v>
          </cell>
          <cell r="I208" t="str">
            <v>0-15</v>
          </cell>
          <cell r="J208">
            <v>0.56999999999999995</v>
          </cell>
          <cell r="K208">
            <v>661.59333558048854</v>
          </cell>
          <cell r="L208">
            <v>0.20300000000000001</v>
          </cell>
          <cell r="M208">
            <v>2.198</v>
          </cell>
        </row>
        <row r="209">
          <cell r="G209" t="str">
            <v>Samuel Qamara</v>
          </cell>
          <cell r="H209" t="str">
            <v>F1</v>
          </cell>
          <cell r="I209" t="str">
            <v>0-15</v>
          </cell>
          <cell r="J209">
            <v>1.0269999999999999</v>
          </cell>
          <cell r="K209">
            <v>76.620787229891377</v>
          </cell>
          <cell r="L209">
            <v>9.5000000000000001E-2</v>
          </cell>
          <cell r="M209">
            <v>0.74299999999999999</v>
          </cell>
        </row>
        <row r="210">
          <cell r="G210" t="str">
            <v>Shabani Huseni Mbisha</v>
          </cell>
          <cell r="H210" t="str">
            <v>F1</v>
          </cell>
          <cell r="I210" t="str">
            <v>0-15</v>
          </cell>
          <cell r="J210">
            <v>0.85399999999999998</v>
          </cell>
          <cell r="K210">
            <v>327.84431773984028</v>
          </cell>
          <cell r="L210">
            <v>0.14299999999999999</v>
          </cell>
          <cell r="M210">
            <v>1.4890000000000001</v>
          </cell>
        </row>
        <row r="211">
          <cell r="G211" t="str">
            <v>Sharifa Juma Mohamedi</v>
          </cell>
          <cell r="H211" t="str">
            <v>F1</v>
          </cell>
          <cell r="I211" t="str">
            <v>0-15</v>
          </cell>
          <cell r="J211">
            <v>0.96299999999999997</v>
          </cell>
          <cell r="K211">
            <v>177.88667091467318</v>
          </cell>
          <cell r="L211">
            <v>9.1999999999999998E-2</v>
          </cell>
          <cell r="M211">
            <v>0.73199999999999998</v>
          </cell>
        </row>
        <row r="212">
          <cell r="G212" t="str">
            <v>Sige Hewasi</v>
          </cell>
          <cell r="H212" t="str">
            <v>F1</v>
          </cell>
          <cell r="I212" t="str">
            <v>0-15</v>
          </cell>
          <cell r="J212">
            <v>0.85799999999999998</v>
          </cell>
          <cell r="K212">
            <v>322.34128482882488</v>
          </cell>
          <cell r="L212">
            <v>0.13600000000000001</v>
          </cell>
          <cell r="M212">
            <v>1.1739999999999999</v>
          </cell>
        </row>
        <row r="213">
          <cell r="G213" t="str">
            <v>Silvini Jabu Bombo</v>
          </cell>
          <cell r="H213" t="str">
            <v>F1</v>
          </cell>
          <cell r="I213" t="str">
            <v>0-15</v>
          </cell>
          <cell r="J213">
            <v>0.73499999999999999</v>
          </cell>
          <cell r="K213">
            <v>484.20066962021053</v>
          </cell>
          <cell r="L213">
            <v>0.159</v>
          </cell>
          <cell r="M213">
            <v>2.056</v>
          </cell>
        </row>
        <row r="214">
          <cell r="G214" t="str">
            <v>Silvinia Anthony</v>
          </cell>
          <cell r="H214" t="str">
            <v>F1</v>
          </cell>
          <cell r="I214" t="str">
            <v>0-15</v>
          </cell>
          <cell r="J214">
            <v>0.80600000000000005</v>
          </cell>
          <cell r="K214">
            <v>344.32939073946693</v>
          </cell>
          <cell r="L214">
            <v>0.21299999999999999</v>
          </cell>
          <cell r="M214">
            <v>2</v>
          </cell>
        </row>
        <row r="215">
          <cell r="G215" t="str">
            <v>Simon Joseph</v>
          </cell>
          <cell r="H215" t="str">
            <v>F1</v>
          </cell>
          <cell r="I215" t="str">
            <v>0-15</v>
          </cell>
          <cell r="J215">
            <v>0.89</v>
          </cell>
          <cell r="K215">
            <v>253.01896277748352</v>
          </cell>
          <cell r="L215">
            <v>0.17399999999999999</v>
          </cell>
          <cell r="M215">
            <v>1.343</v>
          </cell>
        </row>
        <row r="216">
          <cell r="G216" t="str">
            <v>Sinorina Paulo</v>
          </cell>
          <cell r="H216" t="str">
            <v>F1</v>
          </cell>
          <cell r="I216" t="str">
            <v>0-15</v>
          </cell>
          <cell r="J216">
            <v>1.069</v>
          </cell>
          <cell r="K216">
            <v>8.8431014063134743</v>
          </cell>
          <cell r="L216">
            <v>0.17799999999999999</v>
          </cell>
          <cell r="M216">
            <v>1.5229999999999999</v>
          </cell>
        </row>
        <row r="217">
          <cell r="G217" t="str">
            <v>Siptalino Gadie</v>
          </cell>
          <cell r="H217" t="str">
            <v>F1</v>
          </cell>
          <cell r="I217" t="str">
            <v>0-15</v>
          </cell>
          <cell r="J217">
            <v>0.95199999999999996</v>
          </cell>
          <cell r="K217">
            <v>158.08985369520698</v>
          </cell>
          <cell r="L217"/>
          <cell r="M217"/>
        </row>
        <row r="218">
          <cell r="G218" t="str">
            <v>Stanslaus Nicodemus</v>
          </cell>
          <cell r="H218" t="str">
            <v>F1</v>
          </cell>
          <cell r="I218" t="str">
            <v>0-15</v>
          </cell>
          <cell r="J218">
            <v>1.07</v>
          </cell>
          <cell r="K218">
            <v>7.5674881388867741</v>
          </cell>
          <cell r="L218">
            <v>0.16600000000000001</v>
          </cell>
          <cell r="M218">
            <v>1.4450000000000001</v>
          </cell>
        </row>
        <row r="219">
          <cell r="G219" t="str">
            <v>Stephano Chapa Siasi</v>
          </cell>
          <cell r="H219" t="str">
            <v>F1</v>
          </cell>
          <cell r="I219" t="str">
            <v>0-15</v>
          </cell>
          <cell r="J219">
            <v>0.79800000000000004</v>
          </cell>
          <cell r="K219">
            <v>387.76831489195655</v>
          </cell>
          <cell r="L219">
            <v>0.121</v>
          </cell>
          <cell r="M219">
            <v>1.1619999999999999</v>
          </cell>
        </row>
        <row r="220">
          <cell r="G220" t="str">
            <v>Stefano Nada</v>
          </cell>
          <cell r="H220" t="str">
            <v>F1</v>
          </cell>
          <cell r="I220" t="str">
            <v>0-15</v>
          </cell>
          <cell r="J220">
            <v>0.64600000000000002</v>
          </cell>
          <cell r="K220">
            <v>608.20410565118891</v>
          </cell>
          <cell r="L220">
            <v>7.4999999999999997E-2</v>
          </cell>
          <cell r="M220">
            <v>0.61199999999999999</v>
          </cell>
        </row>
        <row r="221">
          <cell r="G221" t="str">
            <v>Tanu Humay Qwendo</v>
          </cell>
          <cell r="H221" t="str">
            <v>F1</v>
          </cell>
          <cell r="I221" t="str">
            <v>0-15</v>
          </cell>
          <cell r="J221">
            <v>0.85799999999999998</v>
          </cell>
          <cell r="K221">
            <v>312.82513443133035</v>
          </cell>
          <cell r="L221">
            <v>9.5000000000000001E-2</v>
          </cell>
          <cell r="M221">
            <v>0.95599999999999996</v>
          </cell>
        </row>
        <row r="222">
          <cell r="G222" t="str">
            <v>Teresia Zuberi Tarimo</v>
          </cell>
          <cell r="H222" t="str">
            <v>F1</v>
          </cell>
          <cell r="I222" t="str">
            <v>0-15</v>
          </cell>
          <cell r="J222">
            <v>0.313</v>
          </cell>
          <cell r="K222">
            <v>1072.1720179918159</v>
          </cell>
          <cell r="L222">
            <v>0.154</v>
          </cell>
          <cell r="M222">
            <v>1.506</v>
          </cell>
        </row>
        <row r="223">
          <cell r="G223" t="str">
            <v>Teresia Zuberi Tarimo</v>
          </cell>
          <cell r="H223" t="str">
            <v>F1</v>
          </cell>
          <cell r="I223" t="str">
            <v>0-15</v>
          </cell>
          <cell r="J223">
            <v>0.8</v>
          </cell>
          <cell r="K223">
            <v>396.7448559583695</v>
          </cell>
          <cell r="L223">
            <v>0.154</v>
          </cell>
          <cell r="M223">
            <v>1.506</v>
          </cell>
        </row>
        <row r="224">
          <cell r="G224" t="str">
            <v>Tobias Keudiesia</v>
          </cell>
          <cell r="H224" t="str">
            <v>F1</v>
          </cell>
          <cell r="I224" t="str">
            <v>0-15</v>
          </cell>
          <cell r="J224">
            <v>0.93700000000000006</v>
          </cell>
          <cell r="K224">
            <v>213.65638483627274</v>
          </cell>
          <cell r="L224">
            <v>0.122</v>
          </cell>
          <cell r="M224">
            <v>1.1100000000000001</v>
          </cell>
        </row>
        <row r="225">
          <cell r="G225" t="str">
            <v>Tsaqwa Amsi</v>
          </cell>
          <cell r="H225" t="str">
            <v>F1</v>
          </cell>
          <cell r="I225" t="str">
            <v>0-15</v>
          </cell>
          <cell r="J225">
            <v>1.0529999999999999</v>
          </cell>
          <cell r="K225">
            <v>29.25291368513669</v>
          </cell>
          <cell r="L225"/>
          <cell r="M225"/>
        </row>
        <row r="226">
          <cell r="G226" t="str">
            <v>Veronica Amsi Maibangi</v>
          </cell>
          <cell r="H226" t="str">
            <v>F1</v>
          </cell>
          <cell r="I226" t="str">
            <v>0-15</v>
          </cell>
          <cell r="J226">
            <v>0.76900000000000002</v>
          </cell>
          <cell r="K226">
            <v>443.484020909663</v>
          </cell>
          <cell r="L226">
            <v>0.13400000000000001</v>
          </cell>
          <cell r="M226">
            <v>1.1539999999999999</v>
          </cell>
        </row>
        <row r="227">
          <cell r="G227" t="str">
            <v>Violet Mmari</v>
          </cell>
          <cell r="H227" t="str">
            <v>F1</v>
          </cell>
          <cell r="I227" t="str">
            <v>0-15</v>
          </cell>
          <cell r="J227">
            <v>0.89500000000000002</v>
          </cell>
          <cell r="K227">
            <v>271.43823040193337</v>
          </cell>
          <cell r="L227"/>
          <cell r="M227"/>
        </row>
        <row r="228">
          <cell r="G228" t="str">
            <v>Violet Mmari</v>
          </cell>
          <cell r="H228" t="str">
            <v>F1</v>
          </cell>
          <cell r="I228" t="str">
            <v>0-15</v>
          </cell>
          <cell r="J228">
            <v>0.77400000000000002</v>
          </cell>
          <cell r="K228">
            <v>436.69076811457319</v>
          </cell>
          <cell r="L228"/>
          <cell r="M228"/>
        </row>
        <row r="229">
          <cell r="G229" t="str">
            <v>Yasini Salimu Fuchu</v>
          </cell>
          <cell r="H229" t="str">
            <v>F1</v>
          </cell>
          <cell r="I229" t="str">
            <v>0-15</v>
          </cell>
          <cell r="J229">
            <v>0.85499999999999998</v>
          </cell>
          <cell r="K229">
            <v>317.00502553349799</v>
          </cell>
          <cell r="L229">
            <v>0.11600000000000001</v>
          </cell>
          <cell r="M229">
            <v>1.1399999999999999</v>
          </cell>
        </row>
        <row r="230">
          <cell r="G230" t="str">
            <v>Yohana Gewe</v>
          </cell>
          <cell r="H230" t="str">
            <v>F1</v>
          </cell>
          <cell r="I230" t="str">
            <v>0-15</v>
          </cell>
          <cell r="J230">
            <v>1.0580000000000001</v>
          </cell>
          <cell r="K230">
            <v>38.517417055905945</v>
          </cell>
          <cell r="L230">
            <v>0.128</v>
          </cell>
          <cell r="M230">
            <v>1.153</v>
          </cell>
        </row>
        <row r="231">
          <cell r="G231" t="str">
            <v>Zainabu Juma Saidi</v>
          </cell>
          <cell r="H231" t="str">
            <v>F1</v>
          </cell>
          <cell r="I231" t="str">
            <v>0-15</v>
          </cell>
          <cell r="J231">
            <v>0.755</v>
          </cell>
          <cell r="K231">
            <v>462.50512873591418</v>
          </cell>
          <cell r="L231">
            <v>0.156</v>
          </cell>
          <cell r="M231">
            <v>1.476</v>
          </cell>
        </row>
        <row r="232">
          <cell r="G232" t="str">
            <v>Zainabu Juma Saidi</v>
          </cell>
          <cell r="H232" t="str">
            <v>F1</v>
          </cell>
          <cell r="I232" t="str">
            <v>0-15</v>
          </cell>
          <cell r="J232">
            <v>0.754</v>
          </cell>
          <cell r="K232">
            <v>463.86377929493216</v>
          </cell>
          <cell r="L232">
            <v>0.156</v>
          </cell>
          <cell r="M232">
            <v>1.476</v>
          </cell>
        </row>
        <row r="233">
          <cell r="G233" t="str">
            <v>Zainabu Sefu Hamisi</v>
          </cell>
          <cell r="H233" t="str">
            <v>F1</v>
          </cell>
          <cell r="I233" t="str">
            <v>0-15</v>
          </cell>
          <cell r="J233">
            <v>0.999</v>
          </cell>
          <cell r="K233">
            <v>116.37025262944309</v>
          </cell>
          <cell r="L233">
            <v>8.5000000000000006E-2</v>
          </cell>
          <cell r="M233">
            <v>0.627</v>
          </cell>
        </row>
        <row r="234">
          <cell r="G234" t="str">
            <v>Zedekiah Bombo</v>
          </cell>
          <cell r="H234" t="str">
            <v>F1</v>
          </cell>
          <cell r="I234" t="str">
            <v>0-15</v>
          </cell>
          <cell r="J234">
            <v>0.76100000000000001</v>
          </cell>
          <cell r="K234">
            <v>417.72550681369495</v>
          </cell>
          <cell r="L234">
            <v>0.188</v>
          </cell>
          <cell r="M234">
            <v>1.6459999999999999</v>
          </cell>
        </row>
        <row r="235">
          <cell r="G235" t="str">
            <v>Zedekiah Israeli</v>
          </cell>
          <cell r="H235" t="str">
            <v>F1</v>
          </cell>
          <cell r="I235" t="str">
            <v>0-15</v>
          </cell>
          <cell r="J235">
            <v>0.83599999999999997</v>
          </cell>
          <cell r="K235">
            <v>321.96588818799074</v>
          </cell>
          <cell r="L235">
            <v>0.184</v>
          </cell>
          <cell r="M235">
            <v>1.623</v>
          </cell>
        </row>
        <row r="236">
          <cell r="G236" t="str">
            <v>Zena Mukusi Haima</v>
          </cell>
          <cell r="H236" t="str">
            <v>F1</v>
          </cell>
          <cell r="I236" t="str">
            <v>0-15</v>
          </cell>
          <cell r="J236">
            <v>0.98799999999999999</v>
          </cell>
          <cell r="K236">
            <v>129.61097753041764</v>
          </cell>
          <cell r="L236">
            <v>8.6999999999999994E-2</v>
          </cell>
          <cell r="M236">
            <v>0.64200000000000002</v>
          </cell>
        </row>
        <row r="237">
          <cell r="G237" t="str">
            <v>Zuhura Iddi Kijuu</v>
          </cell>
          <cell r="H237" t="str">
            <v>F1</v>
          </cell>
          <cell r="I237" t="str">
            <v>0-15</v>
          </cell>
          <cell r="J237">
            <v>0.71599999999999997</v>
          </cell>
          <cell r="K237">
            <v>499.18358680588392</v>
          </cell>
          <cell r="L237">
            <v>0.17100000000000001</v>
          </cell>
          <cell r="M237">
            <v>1.9890000000000001</v>
          </cell>
        </row>
        <row r="238">
          <cell r="G238" t="str">
            <v>Hiiti Baghayo Mjungu</v>
          </cell>
          <cell r="H238" t="str">
            <v>F1</v>
          </cell>
          <cell r="I238" t="str">
            <v>0-15</v>
          </cell>
          <cell r="J238">
            <v>1.014</v>
          </cell>
          <cell r="K238">
            <v>95.470797118604068</v>
          </cell>
          <cell r="L238">
            <v>8.2000000000000003E-2</v>
          </cell>
          <cell r="M238">
            <v>0.56200000000000006</v>
          </cell>
        </row>
        <row r="245">
          <cell r="G245" t="str">
            <v>Leonard Jabu Bendera</v>
          </cell>
          <cell r="H245" t="str">
            <v>I1</v>
          </cell>
          <cell r="I245" t="str">
            <v>0-15</v>
          </cell>
          <cell r="J245">
            <v>0.76700000000000002</v>
          </cell>
          <cell r="K245">
            <v>439.61516453042049</v>
          </cell>
          <cell r="L245">
            <v>0.14299999999999999</v>
          </cell>
          <cell r="M245">
            <v>1.8280000000000001</v>
          </cell>
        </row>
        <row r="246">
          <cell r="G246" t="str">
            <v>Abas Mohamedi</v>
          </cell>
          <cell r="H246" t="str">
            <v>I1</v>
          </cell>
          <cell r="I246" t="str">
            <v>0-15</v>
          </cell>
          <cell r="J246">
            <v>0.93400000000000005</v>
          </cell>
          <cell r="K246">
            <v>202.98201025422367</v>
          </cell>
          <cell r="L246">
            <v>9.1999999999999998E-2</v>
          </cell>
          <cell r="M246">
            <v>0.72499999999999998</v>
          </cell>
        </row>
        <row r="247">
          <cell r="G247" t="str">
            <v>Abdi Antony Silayo</v>
          </cell>
          <cell r="H247" t="str">
            <v>I1</v>
          </cell>
          <cell r="I247" t="str">
            <v>0-15</v>
          </cell>
          <cell r="J247">
            <v>0.80700000000000005</v>
          </cell>
          <cell r="K247">
            <v>392.50495444426986</v>
          </cell>
          <cell r="L247">
            <v>0.153</v>
          </cell>
          <cell r="M247">
            <v>1.7470000000000001</v>
          </cell>
        </row>
        <row r="248">
          <cell r="G248" t="str">
            <v>Abdilah Juma</v>
          </cell>
          <cell r="H248" t="str">
            <v>I1</v>
          </cell>
          <cell r="I248" t="str">
            <v>0-15</v>
          </cell>
          <cell r="J248">
            <v>0.94299999999999995</v>
          </cell>
          <cell r="K248">
            <v>185.34883228198595</v>
          </cell>
          <cell r="L248">
            <v>8.6999999999999994E-2</v>
          </cell>
          <cell r="M248">
            <v>0.76300000000000001</v>
          </cell>
        </row>
        <row r="249">
          <cell r="G249" t="str">
            <v>Abel Michael</v>
          </cell>
          <cell r="H249" t="str">
            <v>I1</v>
          </cell>
          <cell r="I249" t="str">
            <v>0-15</v>
          </cell>
          <cell r="J249">
            <v>1.06</v>
          </cell>
          <cell r="K249">
            <v>20.323620813151283</v>
          </cell>
          <cell r="L249"/>
          <cell r="M249"/>
        </row>
        <row r="250">
          <cell r="G250" t="str">
            <v>Abukakhari Saidi</v>
          </cell>
          <cell r="H250" t="str">
            <v>I1</v>
          </cell>
          <cell r="I250" t="str">
            <v>0-15</v>
          </cell>
          <cell r="J250">
            <v>0.85099999999999998</v>
          </cell>
          <cell r="K250">
            <v>331.97159242310181</v>
          </cell>
          <cell r="L250">
            <v>0.13500000000000001</v>
          </cell>
          <cell r="M250">
            <v>1.734</v>
          </cell>
        </row>
        <row r="251">
          <cell r="G251" t="str">
            <v>Adaa Nada Mabiwa</v>
          </cell>
          <cell r="H251" t="str">
            <v>I1</v>
          </cell>
          <cell r="I251" t="str">
            <v>0-15</v>
          </cell>
          <cell r="J251">
            <v>0.96599999999999997</v>
          </cell>
          <cell r="K251">
            <v>155.9825492367701</v>
          </cell>
          <cell r="L251">
            <v>9.5000000000000001E-2</v>
          </cell>
          <cell r="M251">
            <v>0.71099999999999997</v>
          </cell>
        </row>
        <row r="252">
          <cell r="G252" t="str">
            <v>Adinam Amsi Sidame</v>
          </cell>
          <cell r="H252" t="str">
            <v>I1</v>
          </cell>
          <cell r="I252" t="str">
            <v>0-15</v>
          </cell>
          <cell r="J252">
            <v>0.89800000000000002</v>
          </cell>
          <cell r="K252">
            <v>260.103609241181</v>
          </cell>
          <cell r="L252">
            <v>0.14199999999999999</v>
          </cell>
          <cell r="M252">
            <v>1.5880000000000001</v>
          </cell>
        </row>
        <row r="253">
          <cell r="G253" t="str">
            <v>Alfred Gwandu</v>
          </cell>
          <cell r="H253" t="str">
            <v>I1</v>
          </cell>
          <cell r="I253" t="str">
            <v>0-15</v>
          </cell>
          <cell r="J253">
            <v>0.86299999999999999</v>
          </cell>
          <cell r="K253">
            <v>287.4924254827373</v>
          </cell>
          <cell r="L253">
            <v>0.20300000000000001</v>
          </cell>
          <cell r="M253">
            <v>1.925</v>
          </cell>
        </row>
        <row r="254">
          <cell r="G254" t="str">
            <v>Ally Abdilah Abdala</v>
          </cell>
          <cell r="H254" t="str">
            <v>I1</v>
          </cell>
          <cell r="I254" t="str">
            <v>0-15</v>
          </cell>
          <cell r="J254">
            <v>0.98</v>
          </cell>
          <cell r="K254">
            <v>154.49878104285798</v>
          </cell>
          <cell r="L254">
            <v>0.10100000000000001</v>
          </cell>
          <cell r="M254">
            <v>1.07</v>
          </cell>
        </row>
        <row r="255">
          <cell r="G255" t="str">
            <v>Amsi Gurtu</v>
          </cell>
          <cell r="H255" t="str">
            <v>I1</v>
          </cell>
          <cell r="I255" t="str">
            <v>0-15</v>
          </cell>
          <cell r="J255">
            <v>0.84699999999999998</v>
          </cell>
          <cell r="K255">
            <v>292.02924677498305</v>
          </cell>
          <cell r="L255"/>
          <cell r="M255"/>
        </row>
        <row r="256">
          <cell r="G256" t="str">
            <v>Anastazia Bura Dulumbi</v>
          </cell>
          <cell r="H256" t="str">
            <v>I1</v>
          </cell>
          <cell r="I256" t="str">
            <v>0-15</v>
          </cell>
          <cell r="J256">
            <v>0.66200000000000003</v>
          </cell>
          <cell r="K256">
            <v>589.15804011114483</v>
          </cell>
          <cell r="L256">
            <v>0.19400000000000001</v>
          </cell>
          <cell r="M256">
            <v>2.2130000000000001</v>
          </cell>
        </row>
        <row r="257">
          <cell r="G257" t="str">
            <v>Andrea Dodi</v>
          </cell>
          <cell r="H257" t="str">
            <v>I1</v>
          </cell>
          <cell r="I257" t="str">
            <v>0-15</v>
          </cell>
          <cell r="J257">
            <v>0.94199999999999995</v>
          </cell>
          <cell r="K257">
            <v>198.75447806203553</v>
          </cell>
          <cell r="L257">
            <v>0.123</v>
          </cell>
          <cell r="M257">
            <v>1.258</v>
          </cell>
        </row>
        <row r="258">
          <cell r="G258" t="str">
            <v>Andrea Gwambo Merry</v>
          </cell>
          <cell r="H258" t="str">
            <v>I1</v>
          </cell>
          <cell r="I258" t="str">
            <v>0-15</v>
          </cell>
          <cell r="J258">
            <v>0.71599999999999997</v>
          </cell>
          <cell r="K258">
            <v>513.86592457310235</v>
          </cell>
          <cell r="L258">
            <v>0.16300000000000001</v>
          </cell>
          <cell r="M258">
            <v>2.2240000000000002</v>
          </cell>
        </row>
        <row r="259">
          <cell r="G259" t="str">
            <v>Andrea Qamara</v>
          </cell>
          <cell r="H259" t="str">
            <v>I1</v>
          </cell>
          <cell r="I259" t="str">
            <v>0-15</v>
          </cell>
          <cell r="J259">
            <v>0.72699999999999998</v>
          </cell>
          <cell r="K259">
            <v>461.1365339240142</v>
          </cell>
          <cell r="L259">
            <v>0.23300000000000001</v>
          </cell>
          <cell r="M259">
            <v>2.3849999999999998</v>
          </cell>
        </row>
        <row r="260">
          <cell r="G260" t="str">
            <v>Anna Nadee Qwendo</v>
          </cell>
          <cell r="H260" t="str">
            <v>I1</v>
          </cell>
          <cell r="I260" t="str">
            <v>0-15</v>
          </cell>
          <cell r="J260">
            <v>0.81399999999999995</v>
          </cell>
          <cell r="K260">
            <v>328.52167339575652</v>
          </cell>
          <cell r="L260">
            <v>0.16500000000000001</v>
          </cell>
          <cell r="M260">
            <v>1.542</v>
          </cell>
        </row>
        <row r="261">
          <cell r="G261" t="str">
            <v>Asha Halahalaa Biyeda</v>
          </cell>
          <cell r="H261" t="str">
            <v>I1</v>
          </cell>
          <cell r="I261" t="str">
            <v>0-15</v>
          </cell>
          <cell r="J261">
            <v>0.93200000000000005</v>
          </cell>
          <cell r="K261">
            <v>209.72115391119087</v>
          </cell>
          <cell r="L261">
            <v>0.129</v>
          </cell>
          <cell r="M261">
            <v>1.054</v>
          </cell>
        </row>
        <row r="262">
          <cell r="G262" t="str">
            <v>Asha Juma Selemani</v>
          </cell>
          <cell r="H262" t="str">
            <v>I1</v>
          </cell>
          <cell r="I262" t="str">
            <v>0-15</v>
          </cell>
          <cell r="J262">
            <v>0.89900000000000002</v>
          </cell>
          <cell r="K262">
            <v>255.69995603503682</v>
          </cell>
          <cell r="L262">
            <v>0.14299999999999999</v>
          </cell>
          <cell r="M262">
            <v>1.621</v>
          </cell>
        </row>
        <row r="263">
          <cell r="G263" t="str">
            <v>Atanas Keya</v>
          </cell>
          <cell r="H263" t="str">
            <v>I1</v>
          </cell>
          <cell r="I263" t="str">
            <v>0-15</v>
          </cell>
          <cell r="J263">
            <v>1.0580000000000001</v>
          </cell>
          <cell r="K263">
            <v>47.189639278059829</v>
          </cell>
          <cell r="L263">
            <v>0.107</v>
          </cell>
          <cell r="M263">
            <v>0.82199999999999995</v>
          </cell>
        </row>
        <row r="264">
          <cell r="G264" t="str">
            <v>Athumani Kisuda Kingo</v>
          </cell>
          <cell r="H264" t="str">
            <v>I1</v>
          </cell>
          <cell r="I264" t="str">
            <v>0-15</v>
          </cell>
          <cell r="J264">
            <v>0.79100000000000004</v>
          </cell>
          <cell r="K264">
            <v>397.27937468948687</v>
          </cell>
          <cell r="L264">
            <v>0.13900000000000001</v>
          </cell>
          <cell r="M264">
            <v>1.669</v>
          </cell>
        </row>
        <row r="265">
          <cell r="G265" t="str">
            <v>Augustino Ama</v>
          </cell>
          <cell r="H265" t="str">
            <v>I1</v>
          </cell>
          <cell r="I265" t="str">
            <v>0-15</v>
          </cell>
          <cell r="J265">
            <v>0.92100000000000004</v>
          </cell>
          <cell r="K265">
            <v>213.43832041219258</v>
          </cell>
          <cell r="L265">
            <v>0.13</v>
          </cell>
          <cell r="M265">
            <v>0.95499999999999996</v>
          </cell>
        </row>
        <row r="266">
          <cell r="G266" t="str">
            <v>Ayli Bilori Mukusi</v>
          </cell>
          <cell r="H266" t="str">
            <v>I1</v>
          </cell>
          <cell r="I266" t="str">
            <v>0-15</v>
          </cell>
          <cell r="J266">
            <v>0.64600000000000002</v>
          </cell>
          <cell r="K266">
            <v>611.46681508537961</v>
          </cell>
          <cell r="L266">
            <v>0.17199999999999999</v>
          </cell>
          <cell r="M266">
            <v>1.506</v>
          </cell>
        </row>
        <row r="267">
          <cell r="G267" t="str">
            <v>Baghayo Dodo Matambo</v>
          </cell>
          <cell r="H267" t="str">
            <v>I1</v>
          </cell>
          <cell r="I267" t="str">
            <v>0-15</v>
          </cell>
          <cell r="J267">
            <v>0.84199999999999997</v>
          </cell>
          <cell r="K267">
            <v>338.18432165100319</v>
          </cell>
          <cell r="L267">
            <v>0.17599999999999999</v>
          </cell>
          <cell r="M267">
            <v>1.758</v>
          </cell>
        </row>
        <row r="268">
          <cell r="G268" t="str">
            <v>Bakari Hamudu Omary</v>
          </cell>
          <cell r="H268" t="str">
            <v>I1</v>
          </cell>
          <cell r="I268" t="str">
            <v>0-15</v>
          </cell>
          <cell r="J268">
            <v>0.77900000000000003</v>
          </cell>
          <cell r="K268">
            <v>422.89560012174923</v>
          </cell>
          <cell r="L268">
            <v>0.113</v>
          </cell>
          <cell r="M268">
            <v>0.91300000000000003</v>
          </cell>
        </row>
        <row r="269">
          <cell r="G269" t="str">
            <v>Bakari Juma Yusufu</v>
          </cell>
          <cell r="H269" t="str">
            <v>I1</v>
          </cell>
          <cell r="I269" t="str">
            <v>0-15</v>
          </cell>
          <cell r="J269">
            <v>0.97</v>
          </cell>
          <cell r="K269">
            <v>156.77586661706525</v>
          </cell>
          <cell r="L269">
            <v>0.112</v>
          </cell>
          <cell r="M269">
            <v>1.036</v>
          </cell>
        </row>
        <row r="270">
          <cell r="G270" t="str">
            <v>Baltazar Petro</v>
          </cell>
          <cell r="H270" t="str">
            <v>I1</v>
          </cell>
          <cell r="I270" t="str">
            <v>0-15</v>
          </cell>
          <cell r="J270">
            <v>0.91</v>
          </cell>
          <cell r="K270">
            <v>211.66561092711743</v>
          </cell>
          <cell r="L270">
            <v>0.215</v>
          </cell>
          <cell r="M270">
            <v>1.931</v>
          </cell>
        </row>
        <row r="271">
          <cell r="G271" t="str">
            <v>Baraka Boay</v>
          </cell>
          <cell r="H271" t="str">
            <v>I1</v>
          </cell>
          <cell r="I271" t="str">
            <v>0-15</v>
          </cell>
          <cell r="J271">
            <v>0.85299999999999998</v>
          </cell>
          <cell r="K271">
            <v>313.03855933993242</v>
          </cell>
          <cell r="L271">
            <v>0.104</v>
          </cell>
          <cell r="M271">
            <v>0.93899999999999995</v>
          </cell>
        </row>
        <row r="272">
          <cell r="G272" t="str">
            <v>Barie Shauri Sule</v>
          </cell>
          <cell r="H272" t="str">
            <v>I1</v>
          </cell>
          <cell r="I272" t="str">
            <v>0-15</v>
          </cell>
          <cell r="J272">
            <v>1.1000000000000001</v>
          </cell>
          <cell r="K272">
            <v>-30.700909883906252</v>
          </cell>
          <cell r="L272">
            <v>0.152</v>
          </cell>
          <cell r="M272">
            <v>1.4179999999999999</v>
          </cell>
        </row>
        <row r="273">
          <cell r="G273" t="str">
            <v>Barie Sinorai</v>
          </cell>
          <cell r="H273" t="str">
            <v>I1</v>
          </cell>
          <cell r="I273" t="str">
            <v>0-15</v>
          </cell>
          <cell r="J273">
            <v>0.95699999999999996</v>
          </cell>
          <cell r="K273">
            <v>177.84000152369043</v>
          </cell>
          <cell r="L273">
            <v>0.111</v>
          </cell>
          <cell r="M273">
            <v>0.93600000000000005</v>
          </cell>
        </row>
        <row r="274">
          <cell r="G274" t="str">
            <v>Bathelomeo Akonaay Panga</v>
          </cell>
          <cell r="H274" t="str">
            <v>I1</v>
          </cell>
          <cell r="I274" t="str">
            <v>0-15</v>
          </cell>
          <cell r="J274">
            <v>1.0669999999999999</v>
          </cell>
          <cell r="K274">
            <v>22.271874101146533</v>
          </cell>
          <cell r="L274">
            <v>0.14899999999999999</v>
          </cell>
          <cell r="M274">
            <v>1.365</v>
          </cell>
        </row>
        <row r="275">
          <cell r="G275" t="str">
            <v>Benadecta Ignas Hotti</v>
          </cell>
          <cell r="H275" t="str">
            <v>I1</v>
          </cell>
          <cell r="I275" t="str">
            <v>0-15</v>
          </cell>
          <cell r="J275">
            <v>0.96699999999999997</v>
          </cell>
          <cell r="K275">
            <v>158.14415692300889</v>
          </cell>
          <cell r="L275">
            <v>0.122</v>
          </cell>
          <cell r="M275">
            <v>1.5129999999999999</v>
          </cell>
        </row>
        <row r="276">
          <cell r="G276" t="str">
            <v>Bilasi John Homa</v>
          </cell>
          <cell r="H276" t="str">
            <v>I1</v>
          </cell>
          <cell r="I276" t="str">
            <v>0-15</v>
          </cell>
          <cell r="J276">
            <v>0.58899999999999997</v>
          </cell>
          <cell r="K276">
            <v>615.6155656730524</v>
          </cell>
          <cell r="L276">
            <v>0.24199999999999999</v>
          </cell>
          <cell r="M276">
            <v>2.39</v>
          </cell>
        </row>
        <row r="277">
          <cell r="G277" t="str">
            <v>Bilos Genda</v>
          </cell>
          <cell r="H277" t="str">
            <v>I1</v>
          </cell>
          <cell r="I277" t="str">
            <v>0-15</v>
          </cell>
          <cell r="J277">
            <v>0.82099999999999995</v>
          </cell>
          <cell r="K277">
            <v>319.58986341379625</v>
          </cell>
          <cell r="L277">
            <v>0.157</v>
          </cell>
          <cell r="M277">
            <v>1.4410000000000001</v>
          </cell>
        </row>
        <row r="278">
          <cell r="G278" t="str">
            <v>Bruno Qalimi</v>
          </cell>
          <cell r="H278" t="str">
            <v>I1</v>
          </cell>
          <cell r="I278" t="str">
            <v>0-15</v>
          </cell>
          <cell r="J278">
            <v>0.91200000000000003</v>
          </cell>
          <cell r="K278">
            <v>224.92947464727692</v>
          </cell>
          <cell r="L278"/>
          <cell r="M278"/>
        </row>
        <row r="279">
          <cell r="G279" t="str">
            <v>Bura Domu</v>
          </cell>
          <cell r="H279" t="str">
            <v>I1</v>
          </cell>
          <cell r="I279" t="str">
            <v>0-15</v>
          </cell>
          <cell r="J279">
            <v>0.60599999999999998</v>
          </cell>
          <cell r="K279">
            <v>593.92402714543437</v>
          </cell>
          <cell r="L279">
            <v>0.21</v>
          </cell>
          <cell r="M279">
            <v>2.4180000000000001</v>
          </cell>
        </row>
        <row r="280">
          <cell r="G280" t="str">
            <v>Bura Shamba Haito</v>
          </cell>
          <cell r="H280" t="str">
            <v>I1</v>
          </cell>
          <cell r="I280" t="str">
            <v>0-15</v>
          </cell>
          <cell r="J280">
            <v>0.76600000000000001</v>
          </cell>
          <cell r="K280">
            <v>441.00846156447648</v>
          </cell>
          <cell r="L280">
            <v>0.20499999999999999</v>
          </cell>
          <cell r="M280">
            <v>1.9810000000000001</v>
          </cell>
        </row>
        <row r="281">
          <cell r="G281" t="str">
            <v>Christina Paulo Moringe</v>
          </cell>
          <cell r="H281" t="str">
            <v>I1</v>
          </cell>
          <cell r="I281" t="str">
            <v>0-15</v>
          </cell>
          <cell r="J281">
            <v>0.71499999999999997</v>
          </cell>
          <cell r="K281">
            <v>515.26022300899206</v>
          </cell>
          <cell r="L281">
            <v>0.17299999999999999</v>
          </cell>
          <cell r="M281">
            <v>1.7410000000000001</v>
          </cell>
        </row>
        <row r="282">
          <cell r="G282" t="str">
            <v>Costastuno Bombo Magai</v>
          </cell>
          <cell r="H282" t="str">
            <v>I1</v>
          </cell>
          <cell r="I282" t="str">
            <v>0-15</v>
          </cell>
          <cell r="J282">
            <v>0.67300000000000004</v>
          </cell>
          <cell r="K282">
            <v>570.58508573167853</v>
          </cell>
          <cell r="L282">
            <v>0.18</v>
          </cell>
          <cell r="M282">
            <v>1.784</v>
          </cell>
        </row>
        <row r="283">
          <cell r="G283" t="str">
            <v>Damiano Gabriel Sanka</v>
          </cell>
          <cell r="H283" t="str">
            <v>I1</v>
          </cell>
          <cell r="I283" t="str">
            <v>0-15</v>
          </cell>
          <cell r="J283">
            <v>0.78500000000000003</v>
          </cell>
          <cell r="K283">
            <v>414.53581791741368</v>
          </cell>
          <cell r="L283">
            <v>0.14599999999999999</v>
          </cell>
          <cell r="M283">
            <v>1.542</v>
          </cell>
        </row>
        <row r="284">
          <cell r="G284" t="str">
            <v>Daniel Darabe Dagharo</v>
          </cell>
          <cell r="H284" t="str">
            <v>I1</v>
          </cell>
          <cell r="I284" t="str">
            <v>0-15</v>
          </cell>
          <cell r="J284">
            <v>1.0489999999999999</v>
          </cell>
          <cell r="K284">
            <v>46.728885009081537</v>
          </cell>
          <cell r="L284">
            <v>9.6000000000000002E-2</v>
          </cell>
          <cell r="M284">
            <v>0.81499999999999995</v>
          </cell>
        </row>
        <row r="285">
          <cell r="G285" t="str">
            <v>Daniel Josef</v>
          </cell>
          <cell r="H285" t="str">
            <v>I1</v>
          </cell>
          <cell r="I285" t="str">
            <v>0-15</v>
          </cell>
          <cell r="J285">
            <v>0.85499999999999998</v>
          </cell>
          <cell r="K285">
            <v>297.70678480281219</v>
          </cell>
          <cell r="L285">
            <v>0.16300000000000001</v>
          </cell>
          <cell r="M285">
            <v>1.4630000000000001</v>
          </cell>
        </row>
        <row r="286">
          <cell r="G286" t="str">
            <v>Daniel Josef</v>
          </cell>
          <cell r="H286" t="str">
            <v>I1</v>
          </cell>
          <cell r="I286" t="str">
            <v>0-15</v>
          </cell>
          <cell r="J286">
            <v>0.96</v>
          </cell>
          <cell r="K286">
            <v>142.22963662915561</v>
          </cell>
          <cell r="L286">
            <v>0.13900000000000001</v>
          </cell>
          <cell r="M286">
            <v>1.29</v>
          </cell>
        </row>
        <row r="287">
          <cell r="G287" t="str">
            <v>Danieli Martini</v>
          </cell>
          <cell r="H287" t="str">
            <v>I1</v>
          </cell>
          <cell r="I287" t="str">
            <v>0-15</v>
          </cell>
          <cell r="J287">
            <v>1.0389999999999999</v>
          </cell>
          <cell r="K287">
            <v>62.776520441084614</v>
          </cell>
          <cell r="L287">
            <v>0.13700000000000001</v>
          </cell>
          <cell r="M287">
            <v>1.0049999999999999</v>
          </cell>
        </row>
        <row r="288">
          <cell r="G288" t="str">
            <v>Dasere Qambalali</v>
          </cell>
          <cell r="H288" t="str">
            <v>I1</v>
          </cell>
          <cell r="I288" t="str">
            <v>0-15</v>
          </cell>
          <cell r="J288">
            <v>1.0629999999999999</v>
          </cell>
          <cell r="K288">
            <v>27.706765414020868</v>
          </cell>
          <cell r="L288">
            <v>9.0999999999999998E-2</v>
          </cell>
          <cell r="M288">
            <v>0.78100000000000003</v>
          </cell>
        </row>
        <row r="289">
          <cell r="G289" t="str">
            <v>Datho Slaa Baha</v>
          </cell>
          <cell r="H289" t="str">
            <v>I1</v>
          </cell>
          <cell r="I289" t="str">
            <v>0-15</v>
          </cell>
          <cell r="J289">
            <v>0.97199999999999998</v>
          </cell>
          <cell r="K289">
            <v>132.57758834667797</v>
          </cell>
          <cell r="L289"/>
          <cell r="M289"/>
        </row>
        <row r="290">
          <cell r="G290" t="str">
            <v>Dawi Datho</v>
          </cell>
          <cell r="H290" t="str">
            <v>I1</v>
          </cell>
          <cell r="I290" t="str">
            <v>0-15</v>
          </cell>
          <cell r="J290">
            <v>0.80900000000000005</v>
          </cell>
          <cell r="K290">
            <v>356.43935089324413</v>
          </cell>
          <cell r="L290">
            <v>0.14499999999999999</v>
          </cell>
          <cell r="M290">
            <v>1.5329999999999999</v>
          </cell>
        </row>
        <row r="291">
          <cell r="G291" t="str">
            <v>Dodo Matambo</v>
          </cell>
          <cell r="H291" t="str">
            <v>I1</v>
          </cell>
          <cell r="I291" t="str">
            <v>0-15</v>
          </cell>
          <cell r="J291">
            <v>0.78700000000000003</v>
          </cell>
          <cell r="K291">
            <v>419.02831084733998</v>
          </cell>
          <cell r="L291"/>
          <cell r="M291"/>
        </row>
        <row r="292">
          <cell r="G292" t="str">
            <v>Dotha Gitiang Qwaru</v>
          </cell>
          <cell r="H292" t="str">
            <v>I1</v>
          </cell>
          <cell r="I292" t="str">
            <v>0-15</v>
          </cell>
          <cell r="J292">
            <v>0.82799999999999996</v>
          </cell>
          <cell r="K292">
            <v>354.62404545300836</v>
          </cell>
          <cell r="L292">
            <v>0.14499999999999999</v>
          </cell>
          <cell r="M292">
            <v>1.6279999999999999</v>
          </cell>
        </row>
        <row r="293">
          <cell r="G293" t="str">
            <v xml:space="preserve">Eduward Tarmo Yuructa </v>
          </cell>
          <cell r="H293" t="str">
            <v>I1</v>
          </cell>
          <cell r="I293" t="str">
            <v>0-15</v>
          </cell>
          <cell r="J293">
            <v>0.89600000000000002</v>
          </cell>
          <cell r="K293">
            <v>270.93539991438399</v>
          </cell>
          <cell r="L293">
            <v>0.13500000000000001</v>
          </cell>
          <cell r="M293">
            <v>1.2869999999999999</v>
          </cell>
        </row>
        <row r="294">
          <cell r="G294" t="str">
            <v>Elizabeth Mhindi</v>
          </cell>
          <cell r="H294" t="str">
            <v>I1</v>
          </cell>
          <cell r="I294" t="str">
            <v>0-15</v>
          </cell>
          <cell r="J294">
            <v>1.014</v>
          </cell>
          <cell r="K294">
            <v>94.696393316319188</v>
          </cell>
          <cell r="L294"/>
          <cell r="M294"/>
        </row>
        <row r="295">
          <cell r="G295" t="str">
            <v>Emanuel James Gwangway</v>
          </cell>
          <cell r="H295" t="str">
            <v>I1</v>
          </cell>
          <cell r="I295" t="str">
            <v>0-15</v>
          </cell>
          <cell r="J295">
            <v>0.65300000000000002</v>
          </cell>
          <cell r="K295">
            <v>598.45102641279732</v>
          </cell>
          <cell r="L295">
            <v>0.156</v>
          </cell>
          <cell r="M295">
            <v>1.5820000000000001</v>
          </cell>
        </row>
        <row r="296">
          <cell r="G296" t="str">
            <v>Emanuel Simon Ama</v>
          </cell>
          <cell r="H296" t="str">
            <v>I1</v>
          </cell>
          <cell r="I296" t="str">
            <v>0-15</v>
          </cell>
          <cell r="J296">
            <v>0.89900000000000002</v>
          </cell>
          <cell r="K296">
            <v>241.52780854239919</v>
          </cell>
          <cell r="L296">
            <v>0.151</v>
          </cell>
          <cell r="M296">
            <v>1.472</v>
          </cell>
        </row>
        <row r="297">
          <cell r="G297" t="str">
            <v>Fabiani Maiko Deli</v>
          </cell>
          <cell r="H297" t="str">
            <v>I1</v>
          </cell>
          <cell r="I297" t="str">
            <v>0-15</v>
          </cell>
          <cell r="J297">
            <v>0.88200000000000001</v>
          </cell>
          <cell r="K297">
            <v>273.635597321592</v>
          </cell>
          <cell r="L297">
            <v>0.11799999999999999</v>
          </cell>
          <cell r="M297">
            <v>1.139</v>
          </cell>
        </row>
        <row r="298">
          <cell r="G298" t="str">
            <v>Fabiano Ama</v>
          </cell>
          <cell r="H298" t="str">
            <v>I1</v>
          </cell>
          <cell r="I298" t="str">
            <v>0-15</v>
          </cell>
          <cell r="J298">
            <v>0.76700000000000002</v>
          </cell>
          <cell r="K298">
            <v>439.61516453042049</v>
          </cell>
          <cell r="L298">
            <v>0.17</v>
          </cell>
          <cell r="M298">
            <v>1.65</v>
          </cell>
        </row>
        <row r="299">
          <cell r="G299" t="str">
            <v>Fabiano Mpunzi Lambo</v>
          </cell>
          <cell r="H299" t="str">
            <v>I1</v>
          </cell>
          <cell r="I299" t="str">
            <v>0-15</v>
          </cell>
          <cell r="J299">
            <v>1.054</v>
          </cell>
          <cell r="K299">
            <v>43.624596715943625</v>
          </cell>
          <cell r="L299">
            <v>8.7999999999999995E-2</v>
          </cell>
          <cell r="M299">
            <v>0.70299999999999996</v>
          </cell>
        </row>
        <row r="300">
          <cell r="G300" t="str">
            <v>Fadhili Khalili</v>
          </cell>
          <cell r="H300" t="str">
            <v>I1</v>
          </cell>
          <cell r="I300" t="str">
            <v>0-15</v>
          </cell>
          <cell r="J300">
            <v>0.59499999999999997</v>
          </cell>
          <cell r="K300">
            <v>629.67346270525377</v>
          </cell>
          <cell r="L300">
            <v>0.17299999999999999</v>
          </cell>
          <cell r="M300">
            <v>2.1070000000000002</v>
          </cell>
        </row>
        <row r="301">
          <cell r="G301" t="str">
            <v>Farida Amsi Slaa</v>
          </cell>
          <cell r="H301" t="str">
            <v>I1</v>
          </cell>
          <cell r="I301" t="str">
            <v>0-15</v>
          </cell>
          <cell r="J301">
            <v>0.81499999999999995</v>
          </cell>
          <cell r="K301">
            <v>375.83037942002437</v>
          </cell>
          <cell r="L301">
            <v>0.23499999999999999</v>
          </cell>
          <cell r="M301">
            <v>1.298</v>
          </cell>
        </row>
        <row r="302">
          <cell r="G302" t="str">
            <v>Fatuma Ally Saidi</v>
          </cell>
          <cell r="H302" t="str">
            <v>I1</v>
          </cell>
          <cell r="I302" t="str">
            <v>0-15</v>
          </cell>
          <cell r="J302">
            <v>0.67400000000000004</v>
          </cell>
          <cell r="K302">
            <v>569.19178869762266</v>
          </cell>
          <cell r="L302">
            <v>0.17499999999999999</v>
          </cell>
          <cell r="M302">
            <v>1.7809999999999999</v>
          </cell>
        </row>
        <row r="303">
          <cell r="G303" t="str">
            <v>Faustini Nada Barie</v>
          </cell>
          <cell r="H303" t="str">
            <v>I1</v>
          </cell>
          <cell r="I303" t="str">
            <v>0-15</v>
          </cell>
          <cell r="J303">
            <v>0.88300000000000001</v>
          </cell>
          <cell r="K303">
            <v>261.95652718254939</v>
          </cell>
          <cell r="L303">
            <v>0.15</v>
          </cell>
          <cell r="M303">
            <v>1.349</v>
          </cell>
        </row>
        <row r="304">
          <cell r="G304" t="str">
            <v>Fedrich Dawida</v>
          </cell>
          <cell r="H304" t="str">
            <v>I1</v>
          </cell>
          <cell r="I304" t="str">
            <v>0-15</v>
          </cell>
          <cell r="J304">
            <v>0.91</v>
          </cell>
          <cell r="K304">
            <v>240.37368866042158</v>
          </cell>
          <cell r="L304"/>
          <cell r="M304"/>
        </row>
        <row r="305">
          <cell r="G305" t="str">
            <v>Felice Yogeni</v>
          </cell>
          <cell r="H305" t="str">
            <v>I1</v>
          </cell>
          <cell r="I305" t="str">
            <v>0-15</v>
          </cell>
          <cell r="J305">
            <v>0.86899999999999999</v>
          </cell>
          <cell r="K305">
            <v>279.83165599268091</v>
          </cell>
          <cell r="L305">
            <v>0.111</v>
          </cell>
          <cell r="M305">
            <v>0.97799999999999998</v>
          </cell>
        </row>
        <row r="306">
          <cell r="G306" t="str">
            <v>Francis Martini</v>
          </cell>
          <cell r="H306" t="str">
            <v>I1</v>
          </cell>
          <cell r="I306" t="str">
            <v>0-15</v>
          </cell>
          <cell r="J306">
            <v>0.84499999999999997</v>
          </cell>
          <cell r="K306">
            <v>288.96651490421789</v>
          </cell>
          <cell r="L306">
            <v>0.157</v>
          </cell>
          <cell r="M306">
            <v>1.421</v>
          </cell>
        </row>
        <row r="307">
          <cell r="G307" t="str">
            <v>Francis Michael</v>
          </cell>
          <cell r="H307" t="str">
            <v>I1</v>
          </cell>
          <cell r="I307" t="str">
            <v>0-15</v>
          </cell>
          <cell r="J307">
            <v>0.879</v>
          </cell>
          <cell r="K307">
            <v>251.20962221733689</v>
          </cell>
          <cell r="L307">
            <v>0.20499999999999999</v>
          </cell>
          <cell r="M307">
            <v>1.97</v>
          </cell>
        </row>
        <row r="308">
          <cell r="G308" t="str">
            <v>Frank Joseph</v>
          </cell>
          <cell r="H308" t="str">
            <v>I1</v>
          </cell>
          <cell r="I308" t="str">
            <v>0-15</v>
          </cell>
          <cell r="J308">
            <v>0.76</v>
          </cell>
          <cell r="K308">
            <v>439.39978236426435</v>
          </cell>
          <cell r="L308">
            <v>0.13</v>
          </cell>
          <cell r="M308">
            <v>1.4430000000000001</v>
          </cell>
        </row>
        <row r="309">
          <cell r="G309" t="str">
            <v>Gabriel Sikai</v>
          </cell>
          <cell r="H309" t="str">
            <v>I1</v>
          </cell>
          <cell r="I309" t="str">
            <v>0-15</v>
          </cell>
          <cell r="J309">
            <v>0.84799999999999998</v>
          </cell>
          <cell r="K309">
            <v>290.75363350755663</v>
          </cell>
          <cell r="L309">
            <v>0.17899999999999999</v>
          </cell>
          <cell r="M309">
            <v>2.3410000000000002</v>
          </cell>
        </row>
        <row r="310">
          <cell r="G310" t="str">
            <v>Gabriel Yaro</v>
          </cell>
          <cell r="H310" t="str">
            <v>I1</v>
          </cell>
          <cell r="I310" t="str">
            <v>0-15</v>
          </cell>
          <cell r="J310">
            <v>0.92800000000000005</v>
          </cell>
          <cell r="K310">
            <v>215.29434204741466</v>
          </cell>
          <cell r="L310">
            <v>9.2999999999999999E-2</v>
          </cell>
          <cell r="M310">
            <v>1.0049999999999999</v>
          </cell>
        </row>
        <row r="311">
          <cell r="G311" t="str">
            <v>Gichara Bombo Warae</v>
          </cell>
          <cell r="H311" t="str">
            <v>I1</v>
          </cell>
          <cell r="I311" t="str">
            <v>0-15</v>
          </cell>
          <cell r="J311">
            <v>0.67</v>
          </cell>
          <cell r="K311">
            <v>574.76497683384628</v>
          </cell>
          <cell r="L311">
            <v>0.248</v>
          </cell>
          <cell r="M311">
            <v>2.3530000000000002</v>
          </cell>
        </row>
        <row r="312">
          <cell r="G312" t="str">
            <v>Gidemara Primary School</v>
          </cell>
          <cell r="H312" t="str">
            <v>I1</v>
          </cell>
          <cell r="I312" t="str">
            <v>0-15</v>
          </cell>
          <cell r="J312">
            <v>1.012</v>
          </cell>
          <cell r="K312">
            <v>101.1535875497582</v>
          </cell>
          <cell r="L312">
            <v>0.129</v>
          </cell>
          <cell r="M312">
            <v>1.125</v>
          </cell>
        </row>
        <row r="313">
          <cell r="G313" t="str">
            <v>Gregory Sirili Sule</v>
          </cell>
          <cell r="H313" t="str">
            <v>I1</v>
          </cell>
          <cell r="I313" t="str">
            <v>0-15</v>
          </cell>
          <cell r="J313">
            <v>0.77600000000000002</v>
          </cell>
          <cell r="K313">
            <v>427.07549122391703</v>
          </cell>
          <cell r="L313">
            <v>0.14299999999999999</v>
          </cell>
          <cell r="M313">
            <v>1.4910000000000001</v>
          </cell>
        </row>
        <row r="314">
          <cell r="G314" t="str">
            <v>Hadija Juma Muna</v>
          </cell>
          <cell r="H314" t="str">
            <v>I1</v>
          </cell>
          <cell r="I314" t="str">
            <v>0-15</v>
          </cell>
          <cell r="J314">
            <v>0.84599999999999997</v>
          </cell>
          <cell r="K314">
            <v>332.60712790744435</v>
          </cell>
          <cell r="L314">
            <v>0.14199999999999999</v>
          </cell>
          <cell r="M314">
            <v>1.2250000000000001</v>
          </cell>
        </row>
        <row r="315">
          <cell r="G315" t="str">
            <v>Hamisi Omary Lagia</v>
          </cell>
          <cell r="H315" t="str">
            <v>I1</v>
          </cell>
          <cell r="I315" t="str">
            <v>0-15</v>
          </cell>
          <cell r="J315">
            <v>0.35</v>
          </cell>
          <cell r="K315">
            <v>1020.6200277317463</v>
          </cell>
          <cell r="L315">
            <v>0.17399999999999999</v>
          </cell>
          <cell r="M315">
            <v>1.748</v>
          </cell>
        </row>
        <row r="316">
          <cell r="G316" t="str">
            <v>Hamudu Omary Jungu</v>
          </cell>
          <cell r="H316" t="str">
            <v>I1</v>
          </cell>
          <cell r="I316" t="str">
            <v>0-15</v>
          </cell>
          <cell r="J316">
            <v>0.754</v>
          </cell>
          <cell r="K316">
            <v>465.42014051522273</v>
          </cell>
          <cell r="L316">
            <v>0.152</v>
          </cell>
          <cell r="M316">
            <v>1.599</v>
          </cell>
        </row>
        <row r="317">
          <cell r="G317" t="str">
            <v>Hassani Gunda</v>
          </cell>
          <cell r="H317" t="str">
            <v>I1</v>
          </cell>
          <cell r="I317" t="str">
            <v>0-15</v>
          </cell>
          <cell r="J317">
            <v>0.73299999999999998</v>
          </cell>
          <cell r="K317">
            <v>490.1628511629778</v>
          </cell>
          <cell r="L317">
            <v>0.14199999999999999</v>
          </cell>
          <cell r="M317">
            <v>1.464</v>
          </cell>
        </row>
        <row r="318">
          <cell r="G318" t="str">
            <v>Hassani Abdi Hau</v>
          </cell>
          <cell r="H318" t="str">
            <v>I1</v>
          </cell>
          <cell r="I318" t="str">
            <v>0-15</v>
          </cell>
          <cell r="J318">
            <v>0.88300000000000001</v>
          </cell>
          <cell r="K318">
            <v>281.01808577952613</v>
          </cell>
          <cell r="L318">
            <v>0.13100000000000001</v>
          </cell>
          <cell r="M318">
            <v>1.1679999999999999</v>
          </cell>
        </row>
        <row r="319">
          <cell r="G319" t="str">
            <v>Hayma Hiiti Farayo</v>
          </cell>
          <cell r="H319" t="str">
            <v>I1</v>
          </cell>
          <cell r="I319" t="str">
            <v>0-15</v>
          </cell>
          <cell r="J319">
            <v>0.19700000000000001</v>
          </cell>
          <cell r="K319">
            <v>1233.7944739423046</v>
          </cell>
          <cell r="L319">
            <v>0.20499999999999999</v>
          </cell>
          <cell r="M319">
            <v>2.4780000000000002</v>
          </cell>
        </row>
        <row r="320">
          <cell r="G320" t="str">
            <v>Hitambe P/school</v>
          </cell>
          <cell r="H320" t="str">
            <v>I1</v>
          </cell>
          <cell r="I320" t="str">
            <v>0-15</v>
          </cell>
          <cell r="J320">
            <v>0.97799999999999998</v>
          </cell>
          <cell r="K320">
            <v>159.52605407491251</v>
          </cell>
          <cell r="L320">
            <v>0.11700000000000001</v>
          </cell>
          <cell r="M320">
            <v>1.0429999999999999</v>
          </cell>
        </row>
        <row r="321">
          <cell r="G321" t="str">
            <v>Humasay Doho Bombo</v>
          </cell>
          <cell r="H321" t="str">
            <v>I1</v>
          </cell>
          <cell r="I321" t="str">
            <v>0-15</v>
          </cell>
          <cell r="J321">
            <v>0.94399999999999995</v>
          </cell>
          <cell r="K321">
            <v>193.00158950251975</v>
          </cell>
          <cell r="L321">
            <v>9.6000000000000002E-2</v>
          </cell>
          <cell r="M321">
            <v>0.97299999999999998</v>
          </cell>
        </row>
        <row r="322">
          <cell r="G322" t="str">
            <v>Iddi Daudi Mkomboji</v>
          </cell>
          <cell r="H322" t="str">
            <v>I1</v>
          </cell>
          <cell r="I322" t="str">
            <v>0-15</v>
          </cell>
          <cell r="J322">
            <v>0.93799999999999994</v>
          </cell>
          <cell r="K322">
            <v>204.3316718055944</v>
          </cell>
          <cell r="L322">
            <v>0.11600000000000001</v>
          </cell>
          <cell r="M322">
            <v>1.06</v>
          </cell>
        </row>
        <row r="323">
          <cell r="G323" t="str">
            <v>Iddi Salimu Mumba</v>
          </cell>
          <cell r="H323" t="str">
            <v>I1</v>
          </cell>
          <cell r="I323" t="str">
            <v>0-15</v>
          </cell>
          <cell r="J323">
            <v>0.82799999999999996</v>
          </cell>
          <cell r="K323">
            <v>357.70449975345872</v>
          </cell>
          <cell r="L323">
            <v>0.14899999999999999</v>
          </cell>
          <cell r="M323">
            <v>1.6839999999999999</v>
          </cell>
        </row>
        <row r="324">
          <cell r="G324" t="str">
            <v>Iddi Shabani</v>
          </cell>
          <cell r="H324" t="str">
            <v>I1</v>
          </cell>
          <cell r="I324" t="str">
            <v>0-15</v>
          </cell>
          <cell r="J324">
            <v>0.77600000000000002</v>
          </cell>
          <cell r="K324">
            <v>417.66021711276636</v>
          </cell>
          <cell r="L324">
            <v>0.14299999999999999</v>
          </cell>
          <cell r="M324">
            <v>1.8759999999999999</v>
          </cell>
        </row>
        <row r="325">
          <cell r="G325" t="str">
            <v>Imanueli Gewe</v>
          </cell>
          <cell r="H325" t="str">
            <v>I1</v>
          </cell>
          <cell r="I325" t="str">
            <v>0-15</v>
          </cell>
          <cell r="J325">
            <v>0.63600000000000001</v>
          </cell>
          <cell r="K325">
            <v>577.32487118986876</v>
          </cell>
          <cell r="L325">
            <v>0.14499999999999999</v>
          </cell>
          <cell r="M325">
            <v>1.405</v>
          </cell>
        </row>
        <row r="326">
          <cell r="G326" t="str">
            <v>Isaka Zebedayo</v>
          </cell>
          <cell r="H326" t="str">
            <v>I1</v>
          </cell>
          <cell r="I326" t="str">
            <v>0-15</v>
          </cell>
          <cell r="J326">
            <v>0.89500000000000002</v>
          </cell>
          <cell r="K326">
            <v>230.79980993851393</v>
          </cell>
          <cell r="L326">
            <v>0.20699999999999999</v>
          </cell>
          <cell r="M326">
            <v>1.825</v>
          </cell>
        </row>
        <row r="327">
          <cell r="G327" t="str">
            <v>Isaya Safari</v>
          </cell>
          <cell r="H327" t="str">
            <v>I1</v>
          </cell>
          <cell r="I327" t="str">
            <v>0-15</v>
          </cell>
          <cell r="J327">
            <v>0.90100000000000002</v>
          </cell>
          <cell r="K327">
            <v>247.81986358543793</v>
          </cell>
          <cell r="L327">
            <v>9.1999999999999998E-2</v>
          </cell>
          <cell r="M327">
            <v>0.86399999999999999</v>
          </cell>
        </row>
        <row r="328">
          <cell r="G328" t="str">
            <v>Israel Petro</v>
          </cell>
          <cell r="H328" t="str">
            <v>I1</v>
          </cell>
          <cell r="I328" t="str">
            <v>0-15</v>
          </cell>
          <cell r="J328">
            <v>1.0409999999999999</v>
          </cell>
          <cell r="K328">
            <v>44.5602728942536</v>
          </cell>
          <cell r="L328">
            <v>0.16400000000000001</v>
          </cell>
          <cell r="M328">
            <v>1.5069999999999999</v>
          </cell>
        </row>
        <row r="329">
          <cell r="G329" t="str">
            <v>Jacob Joseph Kijuu</v>
          </cell>
          <cell r="H329" t="str">
            <v>I1</v>
          </cell>
          <cell r="I329" t="str">
            <v>0-15</v>
          </cell>
          <cell r="J329">
            <v>0.94799999999999995</v>
          </cell>
          <cell r="K329">
            <v>178.96485770693903</v>
          </cell>
          <cell r="L329">
            <v>0.112</v>
          </cell>
          <cell r="M329">
            <v>0.98299999999999998</v>
          </cell>
        </row>
        <row r="330">
          <cell r="G330" t="str">
            <v>Jamila Jumanne Maja</v>
          </cell>
          <cell r="H330" t="str">
            <v>I1</v>
          </cell>
          <cell r="I330" t="str">
            <v>0-15</v>
          </cell>
          <cell r="J330">
            <v>0.90800000000000003</v>
          </cell>
          <cell r="K330">
            <v>246.16062488228459</v>
          </cell>
          <cell r="L330">
            <v>0.14199999999999999</v>
          </cell>
          <cell r="M330">
            <v>1.08</v>
          </cell>
        </row>
        <row r="331">
          <cell r="G331" t="str">
            <v>Jeremiah Gabriel</v>
          </cell>
          <cell r="H331" t="str">
            <v>I1</v>
          </cell>
          <cell r="I331" t="str">
            <v>0-15</v>
          </cell>
          <cell r="J331">
            <v>0.89200000000000002</v>
          </cell>
          <cell r="K331">
            <v>250.46537294746483</v>
          </cell>
          <cell r="L331">
            <v>0.14899999999999999</v>
          </cell>
          <cell r="M331">
            <v>2.5049999999999999</v>
          </cell>
        </row>
        <row r="332">
          <cell r="G332" t="str">
            <v>Joel Joram Mason</v>
          </cell>
          <cell r="H332" t="str">
            <v>I1</v>
          </cell>
          <cell r="I332" t="str">
            <v>0-15</v>
          </cell>
          <cell r="J332">
            <v>0.753</v>
          </cell>
          <cell r="K332">
            <v>466.79589874297653</v>
          </cell>
          <cell r="L332">
            <v>0.14000000000000001</v>
          </cell>
          <cell r="M332">
            <v>1.5609999999999999</v>
          </cell>
        </row>
        <row r="333">
          <cell r="G333" t="str">
            <v>John Arkadi</v>
          </cell>
          <cell r="H333" t="str">
            <v>I1</v>
          </cell>
          <cell r="I333" t="str">
            <v>0-15</v>
          </cell>
          <cell r="J333">
            <v>0.745</v>
          </cell>
          <cell r="K333">
            <v>438.15422545384513</v>
          </cell>
          <cell r="L333">
            <v>0.26800000000000002</v>
          </cell>
          <cell r="M333">
            <v>2.774</v>
          </cell>
        </row>
        <row r="334">
          <cell r="G334" t="str">
            <v>John Andrea Philipo</v>
          </cell>
          <cell r="H334" t="str">
            <v>I1</v>
          </cell>
          <cell r="I334" t="str">
            <v>0-15</v>
          </cell>
          <cell r="J334">
            <v>0.88800000000000001</v>
          </cell>
          <cell r="K334">
            <v>265.48326035228052</v>
          </cell>
          <cell r="L334">
            <v>0.14799999999999999</v>
          </cell>
          <cell r="M334">
            <v>1.8480000000000001</v>
          </cell>
        </row>
        <row r="335">
          <cell r="G335" t="str">
            <v>John Bahi Tenga</v>
          </cell>
          <cell r="H335" t="str">
            <v>I1</v>
          </cell>
          <cell r="I335" t="str">
            <v>0-15</v>
          </cell>
          <cell r="J335">
            <v>0.81299999999999994</v>
          </cell>
          <cell r="K335">
            <v>375.52350096384743</v>
          </cell>
          <cell r="L335">
            <v>0.17499999999999999</v>
          </cell>
          <cell r="M335">
            <v>1.752</v>
          </cell>
        </row>
        <row r="336">
          <cell r="G336" t="str">
            <v>John Bahi Tenga</v>
          </cell>
          <cell r="H336" t="str">
            <v>I1</v>
          </cell>
          <cell r="I336" t="str">
            <v>0-15</v>
          </cell>
          <cell r="J336">
            <v>0.75600000000000001</v>
          </cell>
          <cell r="K336">
            <v>454.94143190503581</v>
          </cell>
          <cell r="L336">
            <v>0.184</v>
          </cell>
          <cell r="M336">
            <v>1.917</v>
          </cell>
        </row>
        <row r="337">
          <cell r="G337" t="str">
            <v>John Darabe Dagharo</v>
          </cell>
          <cell r="H337" t="str">
            <v>I1</v>
          </cell>
          <cell r="I337" t="str">
            <v>0-15</v>
          </cell>
          <cell r="J337">
            <v>0.997</v>
          </cell>
          <cell r="K337">
            <v>122.06806408810331</v>
          </cell>
          <cell r="L337">
            <v>0.11899999999999999</v>
          </cell>
          <cell r="M337">
            <v>1.0509999999999999</v>
          </cell>
        </row>
        <row r="338">
          <cell r="G338" t="str">
            <v>John Gwandu Tsere</v>
          </cell>
          <cell r="H338" t="str">
            <v>I1</v>
          </cell>
          <cell r="I338" t="str">
            <v>0-15</v>
          </cell>
          <cell r="J338">
            <v>0.78100000000000003</v>
          </cell>
          <cell r="K338">
            <v>420.10900605363736</v>
          </cell>
          <cell r="L338">
            <v>0.153</v>
          </cell>
          <cell r="M338">
            <v>1.724</v>
          </cell>
        </row>
        <row r="339">
          <cell r="G339" t="str">
            <v>John Tembea</v>
          </cell>
          <cell r="H339" t="str">
            <v>I1</v>
          </cell>
          <cell r="I339" t="str">
            <v>0-15</v>
          </cell>
          <cell r="J339">
            <v>0.80800000000000005</v>
          </cell>
          <cell r="K339">
            <v>391.12919621651605</v>
          </cell>
          <cell r="L339"/>
          <cell r="M339"/>
        </row>
        <row r="340">
          <cell r="G340" t="str">
            <v>Joji Leonard Jabu</v>
          </cell>
          <cell r="H340" t="str">
            <v>I1</v>
          </cell>
          <cell r="I340" t="str">
            <v>0-15</v>
          </cell>
          <cell r="J340">
            <v>0.73799999999999999</v>
          </cell>
          <cell r="K340">
            <v>480.02077851804273</v>
          </cell>
          <cell r="L340">
            <v>0.17399999999999999</v>
          </cell>
          <cell r="M340">
            <v>2.2469999999999999</v>
          </cell>
        </row>
        <row r="341">
          <cell r="G341" t="str">
            <v>Jonathan Qamara</v>
          </cell>
          <cell r="H341" t="str">
            <v>I1</v>
          </cell>
          <cell r="I341" t="str">
            <v>0-15</v>
          </cell>
          <cell r="J341">
            <v>1.0469999999999999</v>
          </cell>
          <cell r="K341">
            <v>49.446330665519206</v>
          </cell>
          <cell r="L341">
            <v>8.5000000000000006E-2</v>
          </cell>
          <cell r="M341">
            <v>0.48499999999999999</v>
          </cell>
        </row>
        <row r="342">
          <cell r="G342" t="str">
            <v>Joseph Bura</v>
          </cell>
          <cell r="H342" t="str">
            <v>I1</v>
          </cell>
          <cell r="I342" t="str">
            <v>0-15</v>
          </cell>
          <cell r="J342">
            <v>0.81699999999999995</v>
          </cell>
          <cell r="K342">
            <v>346.22499157316912</v>
          </cell>
          <cell r="L342">
            <v>0.16500000000000001</v>
          </cell>
          <cell r="M342">
            <v>1.7030000000000001</v>
          </cell>
        </row>
        <row r="343">
          <cell r="G343" t="str">
            <v>Joseph Tahani</v>
          </cell>
          <cell r="H343" t="str">
            <v>I1</v>
          </cell>
          <cell r="I343" t="str">
            <v>0-15</v>
          </cell>
          <cell r="J343">
            <v>0.88700000000000001</v>
          </cell>
          <cell r="K343">
            <v>266.84198318049908</v>
          </cell>
          <cell r="L343">
            <v>0.155</v>
          </cell>
          <cell r="M343">
            <v>1.171</v>
          </cell>
        </row>
        <row r="344">
          <cell r="G344" t="str">
            <v>Joshua Bombo</v>
          </cell>
          <cell r="H344" t="str">
            <v>I1</v>
          </cell>
          <cell r="I344" t="str">
            <v>0-15</v>
          </cell>
          <cell r="J344">
            <v>0.75600000000000001</v>
          </cell>
          <cell r="K344">
            <v>424.10948138874181</v>
          </cell>
          <cell r="L344">
            <v>0.153</v>
          </cell>
          <cell r="M344">
            <v>1.371</v>
          </cell>
        </row>
        <row r="345">
          <cell r="G345" t="str">
            <v>Joshua Dobe</v>
          </cell>
          <cell r="H345" t="str">
            <v>I1</v>
          </cell>
          <cell r="I345" t="str">
            <v>0-15</v>
          </cell>
          <cell r="J345">
            <v>0.88700000000000001</v>
          </cell>
          <cell r="K345">
            <v>256.84934752251172</v>
          </cell>
          <cell r="L345">
            <v>0.10299999999999999</v>
          </cell>
          <cell r="M345">
            <v>0.91500000000000004</v>
          </cell>
        </row>
        <row r="346">
          <cell r="G346" t="str">
            <v>Julias Saitabau Mollel</v>
          </cell>
          <cell r="H346" t="str">
            <v>I1</v>
          </cell>
          <cell r="I346" t="str">
            <v>0-15</v>
          </cell>
          <cell r="J346">
            <v>0.72</v>
          </cell>
          <cell r="K346">
            <v>510.05789830154231</v>
          </cell>
          <cell r="L346">
            <v>0.14899999999999999</v>
          </cell>
          <cell r="M346">
            <v>1.506</v>
          </cell>
        </row>
        <row r="347">
          <cell r="G347" t="str">
            <v>Juma Iddi</v>
          </cell>
          <cell r="H347" t="str">
            <v>I1</v>
          </cell>
          <cell r="I347" t="str">
            <v>0-15</v>
          </cell>
          <cell r="J347">
            <v>0.90400000000000003</v>
          </cell>
          <cell r="K347">
            <v>243.74369510078216</v>
          </cell>
          <cell r="L347">
            <v>0.13900000000000001</v>
          </cell>
          <cell r="M347">
            <v>1.53</v>
          </cell>
        </row>
        <row r="348">
          <cell r="G348" t="str">
            <v>Juma Mola</v>
          </cell>
          <cell r="H348" t="str">
            <v>I1</v>
          </cell>
          <cell r="I348" t="str">
            <v>0-15</v>
          </cell>
          <cell r="J348">
            <v>0.89900000000000002</v>
          </cell>
          <cell r="K348">
            <v>265.93519749091797</v>
          </cell>
          <cell r="L348">
            <v>0.13300000000000001</v>
          </cell>
          <cell r="M348">
            <v>1.3009999999999999</v>
          </cell>
        </row>
        <row r="349">
          <cell r="G349" t="str">
            <v>Kamili Mayo</v>
          </cell>
          <cell r="H349" t="str">
            <v>I1</v>
          </cell>
          <cell r="I349" t="str">
            <v>0-15</v>
          </cell>
          <cell r="J349">
            <v>1.1419999999999999</v>
          </cell>
          <cell r="K349">
            <v>-68.733355804882606</v>
          </cell>
          <cell r="L349">
            <v>0.153</v>
          </cell>
          <cell r="M349">
            <v>1.0920000000000001</v>
          </cell>
        </row>
        <row r="350">
          <cell r="G350" t="str">
            <v>Karimu Saidi Mbao</v>
          </cell>
          <cell r="H350" t="str">
            <v>I1</v>
          </cell>
          <cell r="I350" t="str">
            <v>0-15</v>
          </cell>
          <cell r="J350">
            <v>0.91800000000000004</v>
          </cell>
          <cell r="K350">
            <v>229.227312387974</v>
          </cell>
          <cell r="L350">
            <v>9.4E-2</v>
          </cell>
          <cell r="M350">
            <v>0.78200000000000003</v>
          </cell>
        </row>
        <row r="351">
          <cell r="G351" t="str">
            <v>Kasiani Gurtu Samani</v>
          </cell>
          <cell r="H351" t="str">
            <v>I1</v>
          </cell>
          <cell r="I351" t="str">
            <v>0-15</v>
          </cell>
          <cell r="J351">
            <v>1.06</v>
          </cell>
          <cell r="K351">
            <v>20.323620813151283</v>
          </cell>
          <cell r="L351">
            <v>0.14499999999999999</v>
          </cell>
          <cell r="M351">
            <v>1.29</v>
          </cell>
        </row>
        <row r="352">
          <cell r="G352" t="str">
            <v>Kwaselema Mulki Thehema</v>
          </cell>
          <cell r="H352" t="str">
            <v>I1</v>
          </cell>
          <cell r="I352" t="str">
            <v>0-15</v>
          </cell>
          <cell r="J352">
            <v>0.76500000000000001</v>
          </cell>
          <cell r="K352">
            <v>396.62953470395104</v>
          </cell>
          <cell r="L352">
            <v>0.19800000000000001</v>
          </cell>
          <cell r="M352">
            <v>1.802</v>
          </cell>
        </row>
        <row r="353">
          <cell r="G353" t="str">
            <v>Leandey Daniel</v>
          </cell>
          <cell r="H353" t="str">
            <v>I1</v>
          </cell>
          <cell r="I353" t="str">
            <v>0-15</v>
          </cell>
          <cell r="J353">
            <v>0.78300000000000003</v>
          </cell>
          <cell r="K353">
            <v>417.32241198552543</v>
          </cell>
          <cell r="L353">
            <v>0.14399999999999999</v>
          </cell>
          <cell r="M353">
            <v>1.55</v>
          </cell>
        </row>
        <row r="354">
          <cell r="G354" t="str">
            <v>Leonard Edward</v>
          </cell>
          <cell r="H354" t="str">
            <v>I1</v>
          </cell>
          <cell r="I354" t="str">
            <v>0-15</v>
          </cell>
          <cell r="J354">
            <v>0.878</v>
          </cell>
          <cell r="K354">
            <v>294.82612027374853</v>
          </cell>
          <cell r="L354"/>
          <cell r="M354"/>
        </row>
        <row r="355">
          <cell r="G355" t="str">
            <v>Leonce Sirili Sule</v>
          </cell>
          <cell r="H355" t="str">
            <v>I1</v>
          </cell>
          <cell r="I355" t="str">
            <v>0-15</v>
          </cell>
          <cell r="J355">
            <v>0.72199999999999998</v>
          </cell>
          <cell r="K355">
            <v>502.31353106293767</v>
          </cell>
          <cell r="L355">
            <v>0.161</v>
          </cell>
          <cell r="M355">
            <v>1.5740000000000001</v>
          </cell>
        </row>
        <row r="356">
          <cell r="G356" t="str">
            <v>Lindael Paulo</v>
          </cell>
          <cell r="H356" t="str">
            <v>I1</v>
          </cell>
          <cell r="I356" t="str">
            <v>0-15</v>
          </cell>
          <cell r="J356">
            <v>0.98</v>
          </cell>
          <cell r="K356">
            <v>122.37268220726635</v>
          </cell>
          <cell r="L356">
            <v>0.21199999999999999</v>
          </cell>
          <cell r="M356">
            <v>1.8169999999999999</v>
          </cell>
        </row>
        <row r="357">
          <cell r="G357" t="str">
            <v>Lobulu Ndiyogi Mitamey</v>
          </cell>
          <cell r="H357" t="str">
            <v>I1</v>
          </cell>
          <cell r="I357" t="str">
            <v>0-15</v>
          </cell>
          <cell r="J357">
            <v>0.90100000000000002</v>
          </cell>
          <cell r="K357">
            <v>247.81986358543793</v>
          </cell>
          <cell r="L357">
            <v>0.115</v>
          </cell>
          <cell r="M357">
            <v>1.139</v>
          </cell>
        </row>
        <row r="358">
          <cell r="G358" t="str">
            <v>Lotti Kayani Chako</v>
          </cell>
          <cell r="H358" t="str">
            <v>I1</v>
          </cell>
          <cell r="I358" t="str">
            <v>0-15</v>
          </cell>
          <cell r="J358">
            <v>0.98399999999999999</v>
          </cell>
          <cell r="K358">
            <v>135.04586884329248</v>
          </cell>
          <cell r="L358">
            <v>9.0999999999999998E-2</v>
          </cell>
          <cell r="M358">
            <v>0.70899999999999996</v>
          </cell>
        </row>
        <row r="359">
          <cell r="G359" t="str">
            <v>Lukas Ngwandu</v>
          </cell>
          <cell r="H359" t="str">
            <v>I1</v>
          </cell>
          <cell r="I359" t="str">
            <v>0-15</v>
          </cell>
          <cell r="J359">
            <v>0.94099999999999995</v>
          </cell>
          <cell r="K359">
            <v>187.90242211200467</v>
          </cell>
          <cell r="L359">
            <v>0.184</v>
          </cell>
          <cell r="M359">
            <v>1.554</v>
          </cell>
        </row>
        <row r="360">
          <cell r="G360" t="str">
            <v>Mafita Magingi Issa</v>
          </cell>
          <cell r="H360" t="str">
            <v>I1</v>
          </cell>
          <cell r="I360" t="str">
            <v>0-15</v>
          </cell>
          <cell r="J360">
            <v>0.80300000000000005</v>
          </cell>
          <cell r="K360">
            <v>389.45647130440676</v>
          </cell>
          <cell r="L360">
            <v>0.155</v>
          </cell>
          <cell r="M360">
            <v>1.4550000000000001</v>
          </cell>
        </row>
        <row r="361">
          <cell r="G361" t="str">
            <v>Magdalena Petro Lagwe</v>
          </cell>
          <cell r="H361" t="str">
            <v>I1</v>
          </cell>
          <cell r="I361" t="str">
            <v>0-15</v>
          </cell>
          <cell r="J361">
            <v>0.80600000000000005</v>
          </cell>
          <cell r="K361">
            <v>376.8985322662075</v>
          </cell>
          <cell r="L361">
            <v>0.155</v>
          </cell>
          <cell r="M361">
            <v>1.7549999999999999</v>
          </cell>
        </row>
        <row r="362">
          <cell r="G362" t="str">
            <v>Magreti Suni Qwadue</v>
          </cell>
          <cell r="H362" t="str">
            <v>I1</v>
          </cell>
          <cell r="I362" t="str">
            <v>0-15</v>
          </cell>
          <cell r="J362">
            <v>0.85599999999999998</v>
          </cell>
          <cell r="K362">
            <v>318.66414354854766</v>
          </cell>
          <cell r="L362">
            <v>0.192</v>
          </cell>
          <cell r="M362">
            <v>1.71</v>
          </cell>
        </row>
        <row r="363">
          <cell r="G363" t="str">
            <v>Maneno Malimu Simba</v>
          </cell>
          <cell r="H363" t="str">
            <v>I1</v>
          </cell>
          <cell r="I363" t="str">
            <v>0-15</v>
          </cell>
          <cell r="J363">
            <v>0.82599999999999996</v>
          </cell>
          <cell r="K363">
            <v>357.4106395211204</v>
          </cell>
          <cell r="L363">
            <v>0.156</v>
          </cell>
          <cell r="M363">
            <v>1.7869999999999999</v>
          </cell>
        </row>
        <row r="364">
          <cell r="G364" t="str">
            <v>Marbina Barhe</v>
          </cell>
          <cell r="H364" t="str">
            <v>I1</v>
          </cell>
          <cell r="I364" t="str">
            <v>0-15</v>
          </cell>
          <cell r="J364">
            <v>0.93</v>
          </cell>
          <cell r="K364">
            <v>186.15334557858839</v>
          </cell>
          <cell r="L364">
            <v>0.14499999999999999</v>
          </cell>
          <cell r="M364">
            <v>1.3069999999999999</v>
          </cell>
        </row>
        <row r="365">
          <cell r="G365" t="str">
            <v>Mariam Hassani Schelwe</v>
          </cell>
          <cell r="H365" t="str">
            <v>I1</v>
          </cell>
          <cell r="I365" t="str">
            <v>0-15</v>
          </cell>
          <cell r="J365">
            <v>0.68300000000000005</v>
          </cell>
          <cell r="K365">
            <v>563.09897468574434</v>
          </cell>
          <cell r="L365">
            <v>0.161</v>
          </cell>
          <cell r="M365">
            <v>2.1949999999999998</v>
          </cell>
        </row>
        <row r="366">
          <cell r="G366" t="str">
            <v>Marium Iddi Kijuu</v>
          </cell>
          <cell r="H366" t="str">
            <v>I1</v>
          </cell>
          <cell r="I366" t="str">
            <v>0-15</v>
          </cell>
          <cell r="J366">
            <v>1.0429999999999999</v>
          </cell>
          <cell r="K366">
            <v>54.88122197839354</v>
          </cell>
          <cell r="L366">
            <v>8.5000000000000006E-2</v>
          </cell>
          <cell r="M366">
            <v>0.624</v>
          </cell>
        </row>
        <row r="367">
          <cell r="G367" t="str">
            <v>Markoriokoli Tiofili</v>
          </cell>
          <cell r="H367" t="str">
            <v>I1</v>
          </cell>
          <cell r="I367" t="str">
            <v>0-15</v>
          </cell>
          <cell r="J367">
            <v>0.89800000000000002</v>
          </cell>
          <cell r="K367">
            <v>267.31095571867206</v>
          </cell>
          <cell r="L367">
            <v>0.17</v>
          </cell>
          <cell r="M367">
            <v>1.5309999999999999</v>
          </cell>
        </row>
        <row r="368">
          <cell r="G368" t="str">
            <v>Markoriokoli Tiofili</v>
          </cell>
          <cell r="H368" t="str">
            <v>I1</v>
          </cell>
          <cell r="I368" t="str">
            <v>0-15</v>
          </cell>
          <cell r="J368">
            <v>1.032</v>
          </cell>
          <cell r="K368">
            <v>98.905985290182414</v>
          </cell>
          <cell r="L368">
            <v>0.17</v>
          </cell>
          <cell r="M368">
            <v>1.5309999999999999</v>
          </cell>
        </row>
        <row r="369">
          <cell r="G369" t="str">
            <v>Martin Dali</v>
          </cell>
          <cell r="H369" t="str">
            <v>I1</v>
          </cell>
          <cell r="I369" t="str">
            <v>0-15</v>
          </cell>
          <cell r="J369">
            <v>0.85599999999999998</v>
          </cell>
          <cell r="K369">
            <v>308.96239085527617</v>
          </cell>
          <cell r="L369">
            <v>0.113</v>
          </cell>
          <cell r="M369">
            <v>1.216</v>
          </cell>
        </row>
        <row r="370">
          <cell r="G370" t="str">
            <v>Martin Leonce</v>
          </cell>
          <cell r="H370" t="str">
            <v>I1</v>
          </cell>
          <cell r="I370" t="str">
            <v>0-15</v>
          </cell>
          <cell r="J370">
            <v>0.754</v>
          </cell>
          <cell r="K370">
            <v>405.08004466970209</v>
          </cell>
          <cell r="L370">
            <v>0.17599999999999999</v>
          </cell>
          <cell r="M370">
            <v>1.6659999999999999</v>
          </cell>
        </row>
        <row r="371">
          <cell r="G371" t="str">
            <v>Martini Marmo Bayo</v>
          </cell>
          <cell r="H371" t="str">
            <v>I1</v>
          </cell>
          <cell r="I371" t="str">
            <v>0-15</v>
          </cell>
          <cell r="J371">
            <v>0.79800000000000004</v>
          </cell>
          <cell r="K371">
            <v>348.93723906880854</v>
          </cell>
          <cell r="L371">
            <v>0.14099999999999999</v>
          </cell>
          <cell r="M371">
            <v>1.371</v>
          </cell>
        </row>
        <row r="372">
          <cell r="G372" t="str">
            <v>Martini Wema Tsikho</v>
          </cell>
          <cell r="H372" t="str">
            <v>I1</v>
          </cell>
          <cell r="I372" t="str">
            <v>0-15</v>
          </cell>
          <cell r="J372">
            <v>0.88500000000000001</v>
          </cell>
          <cell r="K372">
            <v>269.55942883693626</v>
          </cell>
          <cell r="L372">
            <v>0.10199999999999999</v>
          </cell>
          <cell r="M372">
            <v>0.98599999999999999</v>
          </cell>
        </row>
        <row r="373">
          <cell r="G373" t="str">
            <v>Maulidi Ramadhani Ally</v>
          </cell>
          <cell r="H373" t="str">
            <v>I1</v>
          </cell>
          <cell r="I373" t="str">
            <v>0-15</v>
          </cell>
          <cell r="J373">
            <v>0.79700000000000004</v>
          </cell>
          <cell r="K373">
            <v>397.81625350874231</v>
          </cell>
          <cell r="L373">
            <v>0.13300000000000001</v>
          </cell>
          <cell r="M373">
            <v>1.5649999999999999</v>
          </cell>
        </row>
        <row r="374">
          <cell r="G374" t="str">
            <v>Michael Bado</v>
          </cell>
          <cell r="H374" t="str">
            <v>I1</v>
          </cell>
          <cell r="I374" t="str">
            <v>0-15</v>
          </cell>
          <cell r="J374">
            <v>0.79700000000000004</v>
          </cell>
          <cell r="K374">
            <v>371.7608898733568</v>
          </cell>
          <cell r="L374">
            <v>0.20200000000000001</v>
          </cell>
          <cell r="M374">
            <v>1.772</v>
          </cell>
        </row>
        <row r="375">
          <cell r="G375" t="str">
            <v>Michael Mefurda</v>
          </cell>
          <cell r="H375" t="str">
            <v>I1</v>
          </cell>
          <cell r="I375" t="str">
            <v>0-15</v>
          </cell>
          <cell r="J375">
            <v>0.82199999999999995</v>
          </cell>
          <cell r="K375">
            <v>339.84101699812226</v>
          </cell>
          <cell r="L375">
            <v>0.161</v>
          </cell>
          <cell r="M375">
            <v>1.33</v>
          </cell>
        </row>
        <row r="376">
          <cell r="G376" t="str">
            <v>Michael Mefurda</v>
          </cell>
          <cell r="H376" t="str">
            <v>I1</v>
          </cell>
          <cell r="I376" t="str">
            <v>0-15</v>
          </cell>
          <cell r="J376">
            <v>0.97499999999999998</v>
          </cell>
          <cell r="K376">
            <v>123.09004381066913</v>
          </cell>
          <cell r="L376">
            <v>0.129</v>
          </cell>
          <cell r="M376">
            <v>1.073</v>
          </cell>
        </row>
        <row r="377">
          <cell r="G377" t="str">
            <v>Miki Daniel Qwaraida</v>
          </cell>
          <cell r="H377" t="str">
            <v>I1</v>
          </cell>
          <cell r="I377" t="str">
            <v>0-15</v>
          </cell>
          <cell r="J377">
            <v>0.66300000000000003</v>
          </cell>
          <cell r="K377">
            <v>584.51805607223787</v>
          </cell>
          <cell r="L377">
            <v>0.14000000000000001</v>
          </cell>
          <cell r="M377">
            <v>1.597</v>
          </cell>
        </row>
        <row r="378">
          <cell r="G378" t="str">
            <v>Mohamedi Hamisi Leso</v>
          </cell>
          <cell r="H378" t="str">
            <v>I1</v>
          </cell>
          <cell r="I378" t="str">
            <v>0-15</v>
          </cell>
          <cell r="J378">
            <v>0.95</v>
          </cell>
          <cell r="K378">
            <v>184.6418072981842</v>
          </cell>
          <cell r="L378">
            <v>0.10199999999999999</v>
          </cell>
          <cell r="M378">
            <v>0.88300000000000001</v>
          </cell>
        </row>
        <row r="379">
          <cell r="G379" t="str">
            <v>Mustafa Hassani Ally</v>
          </cell>
          <cell r="H379" t="str">
            <v>I1</v>
          </cell>
          <cell r="I379" t="str">
            <v>0-15</v>
          </cell>
          <cell r="J379">
            <v>0.47</v>
          </cell>
          <cell r="K379">
            <v>853.42438364503391</v>
          </cell>
          <cell r="L379">
            <v>0.157</v>
          </cell>
          <cell r="M379">
            <v>1.712</v>
          </cell>
        </row>
        <row r="380">
          <cell r="G380" t="str">
            <v>Nada Karani Jumbe</v>
          </cell>
          <cell r="H380" t="str">
            <v>I1</v>
          </cell>
          <cell r="I380" t="str">
            <v>0-15</v>
          </cell>
          <cell r="J380">
            <v>1.0129999999999999</v>
          </cell>
          <cell r="K380">
            <v>95.973188231328663</v>
          </cell>
          <cell r="L380">
            <v>9.1999999999999998E-2</v>
          </cell>
          <cell r="M380">
            <v>0.77</v>
          </cell>
        </row>
        <row r="381">
          <cell r="G381" t="str">
            <v>Nada Qalimi</v>
          </cell>
          <cell r="H381" t="str">
            <v>I1</v>
          </cell>
          <cell r="I381" t="str">
            <v>0-15</v>
          </cell>
          <cell r="J381">
            <v>0.94699999999999995</v>
          </cell>
          <cell r="K381">
            <v>180.24165262194853</v>
          </cell>
          <cell r="L381">
            <v>8.5999999999999993E-2</v>
          </cell>
          <cell r="M381">
            <v>0.874</v>
          </cell>
        </row>
        <row r="382">
          <cell r="G382" t="str">
            <v>Nada Slaa Mando</v>
          </cell>
          <cell r="H382" t="str">
            <v>I1</v>
          </cell>
          <cell r="I382" t="str">
            <v>0-15</v>
          </cell>
          <cell r="J382">
            <v>0.86599999999999999</v>
          </cell>
          <cell r="K382">
            <v>295.37516257308982</v>
          </cell>
          <cell r="L382">
            <v>0.127</v>
          </cell>
          <cell r="M382">
            <v>1.345</v>
          </cell>
        </row>
        <row r="383">
          <cell r="G383" t="str">
            <v>Nasoro Ramadhani Abdala</v>
          </cell>
          <cell r="H383" t="str">
            <v>I1</v>
          </cell>
          <cell r="I383" t="str">
            <v>0-15</v>
          </cell>
          <cell r="J383">
            <v>0.91500000000000004</v>
          </cell>
          <cell r="K383">
            <v>228.79774399037726</v>
          </cell>
          <cell r="L383">
            <v>0.11</v>
          </cell>
          <cell r="M383">
            <v>1.119</v>
          </cell>
        </row>
        <row r="384">
          <cell r="G384" t="str">
            <v>Neemia Yona Mugusi</v>
          </cell>
          <cell r="H384" t="str">
            <v>I1</v>
          </cell>
          <cell r="I384" t="str">
            <v>0-15</v>
          </cell>
          <cell r="J384">
            <v>0.99199999999999999</v>
          </cell>
          <cell r="K384">
            <v>122.78588144652581</v>
          </cell>
          <cell r="L384">
            <v>0.11</v>
          </cell>
          <cell r="M384">
            <v>1.0920000000000001</v>
          </cell>
        </row>
        <row r="385">
          <cell r="G385" t="str">
            <v>Nicodemus Qambaro</v>
          </cell>
          <cell r="H385" t="str">
            <v>I1</v>
          </cell>
          <cell r="I385" t="str">
            <v>0-15</v>
          </cell>
          <cell r="J385">
            <v>1.0680000000000001</v>
          </cell>
          <cell r="K385">
            <v>23.072875139936137</v>
          </cell>
          <cell r="L385">
            <v>0.08</v>
          </cell>
          <cell r="M385">
            <v>0.58699999999999997</v>
          </cell>
        </row>
        <row r="386">
          <cell r="G386" t="str">
            <v>Omary Dodo Tekway</v>
          </cell>
          <cell r="H386" t="str">
            <v>I1</v>
          </cell>
          <cell r="I386" t="str">
            <v>0-15</v>
          </cell>
          <cell r="J386">
            <v>0.87</v>
          </cell>
          <cell r="K386">
            <v>299.14396544609201</v>
          </cell>
          <cell r="L386">
            <v>0.17</v>
          </cell>
          <cell r="M386">
            <v>1.903</v>
          </cell>
        </row>
        <row r="387">
          <cell r="G387" t="str">
            <v>Pascal Ng'andi</v>
          </cell>
          <cell r="H387" t="str">
            <v>I1</v>
          </cell>
          <cell r="I387" t="str">
            <v>0-15</v>
          </cell>
          <cell r="J387">
            <v>1.0569999999999999</v>
          </cell>
          <cell r="K387">
            <v>39.794211970915427</v>
          </cell>
          <cell r="L387">
            <v>0.13400000000000001</v>
          </cell>
          <cell r="M387">
            <v>1.3720000000000001</v>
          </cell>
        </row>
        <row r="388">
          <cell r="G388" t="str">
            <v>Pascal Singay Sule</v>
          </cell>
          <cell r="H388" t="str">
            <v>I1</v>
          </cell>
          <cell r="I388" t="str">
            <v>0-15</v>
          </cell>
          <cell r="J388">
            <v>0.98</v>
          </cell>
          <cell r="K388">
            <v>145.7711374982276</v>
          </cell>
          <cell r="L388">
            <v>0.10299999999999999</v>
          </cell>
          <cell r="M388">
            <v>0.93300000000000005</v>
          </cell>
        </row>
        <row r="389">
          <cell r="G389" t="str">
            <v>Paskali Danieli Kalambai</v>
          </cell>
          <cell r="H389" t="str">
            <v>I1</v>
          </cell>
          <cell r="I389" t="str">
            <v>0-15</v>
          </cell>
          <cell r="J389">
            <v>0.94799999999999995</v>
          </cell>
          <cell r="K389">
            <v>190.38868744669747</v>
          </cell>
          <cell r="L389">
            <v>0.106</v>
          </cell>
          <cell r="M389">
            <v>0.88800000000000001</v>
          </cell>
        </row>
        <row r="390">
          <cell r="G390" t="str">
            <v>Paskali Zakayo Barie</v>
          </cell>
          <cell r="H390" t="str">
            <v>I1</v>
          </cell>
          <cell r="I390" t="str">
            <v>0-15</v>
          </cell>
          <cell r="J390">
            <v>0.83099999999999996</v>
          </cell>
          <cell r="K390">
            <v>342.93046156074189</v>
          </cell>
          <cell r="L390">
            <v>0.125</v>
          </cell>
          <cell r="M390">
            <v>1.3620000000000001</v>
          </cell>
        </row>
        <row r="391">
          <cell r="G391" t="str">
            <v>Patricia Mbung'e</v>
          </cell>
          <cell r="H391" t="str">
            <v>I1</v>
          </cell>
          <cell r="I391" t="str">
            <v>0-15</v>
          </cell>
          <cell r="J391">
            <v>0.74</v>
          </cell>
          <cell r="K391">
            <v>477.23418444993086</v>
          </cell>
          <cell r="L391">
            <v>8.2000000000000003E-2</v>
          </cell>
          <cell r="M391">
            <v>0.70699999999999996</v>
          </cell>
        </row>
        <row r="392">
          <cell r="G392" t="str">
            <v>Paulina Yame Kutu</v>
          </cell>
          <cell r="H392" t="str">
            <v>I1</v>
          </cell>
          <cell r="I392" t="str">
            <v>0-15</v>
          </cell>
          <cell r="J392">
            <v>0.92</v>
          </cell>
          <cell r="K392">
            <v>237.0442747080879</v>
          </cell>
          <cell r="L392">
            <v>0.122</v>
          </cell>
          <cell r="M392">
            <v>1.2929999999999999</v>
          </cell>
        </row>
        <row r="393">
          <cell r="G393" t="str">
            <v>Paulo Gelasi Polini</v>
          </cell>
          <cell r="H393" t="str">
            <v>I1</v>
          </cell>
          <cell r="I393" t="str">
            <v>0-15</v>
          </cell>
          <cell r="J393">
            <v>0.65700000000000003</v>
          </cell>
          <cell r="K393">
            <v>550.51217797467154</v>
          </cell>
          <cell r="L393">
            <v>0.17399999999999999</v>
          </cell>
          <cell r="M393">
            <v>1.599</v>
          </cell>
        </row>
        <row r="394">
          <cell r="G394" t="str">
            <v>Paulo Gobre</v>
          </cell>
          <cell r="H394" t="str">
            <v>I1</v>
          </cell>
          <cell r="I394" t="str">
            <v>0-15</v>
          </cell>
          <cell r="J394">
            <v>0.95599999999999996</v>
          </cell>
          <cell r="K394">
            <v>189.4163663733074</v>
          </cell>
          <cell r="L394">
            <v>0.115</v>
          </cell>
          <cell r="M394">
            <v>0.95799999999999996</v>
          </cell>
        </row>
        <row r="395">
          <cell r="G395" t="str">
            <v>Paulo Ingi</v>
          </cell>
          <cell r="H395" t="str">
            <v>I1</v>
          </cell>
          <cell r="I395" t="str">
            <v>0-15</v>
          </cell>
          <cell r="J395">
            <v>0.78500000000000003</v>
          </cell>
          <cell r="K395">
            <v>371.11726935542225</v>
          </cell>
          <cell r="L395">
            <v>0.17399999999999999</v>
          </cell>
          <cell r="M395">
            <v>1.748</v>
          </cell>
        </row>
        <row r="396">
          <cell r="G396" t="str">
            <v>Paulo Joakim</v>
          </cell>
          <cell r="H396" t="str">
            <v>I1</v>
          </cell>
          <cell r="I396" t="str">
            <v>0-15</v>
          </cell>
          <cell r="J396">
            <v>0.86899999999999999</v>
          </cell>
          <cell r="K396">
            <v>279.83165599268091</v>
          </cell>
          <cell r="L396">
            <v>0.17299999999999999</v>
          </cell>
          <cell r="M396">
            <v>1.66</v>
          </cell>
        </row>
        <row r="397">
          <cell r="G397" t="str">
            <v>Paulo Manase Panga</v>
          </cell>
          <cell r="H397" t="str">
            <v>I1</v>
          </cell>
          <cell r="I397" t="str">
            <v>0-15</v>
          </cell>
          <cell r="J397">
            <v>0.91300000000000003</v>
          </cell>
          <cell r="K397">
            <v>231.51518964681441</v>
          </cell>
          <cell r="L397">
            <v>0.187</v>
          </cell>
          <cell r="M397">
            <v>0.91</v>
          </cell>
        </row>
        <row r="398">
          <cell r="G398" t="str">
            <v>Paulo Nada</v>
          </cell>
          <cell r="H398" t="str">
            <v>I1</v>
          </cell>
          <cell r="I398" t="str">
            <v>0-15</v>
          </cell>
          <cell r="J398">
            <v>0.88700000000000001</v>
          </cell>
          <cell r="K398">
            <v>272.41952044370817</v>
          </cell>
          <cell r="L398">
            <v>0.11700000000000001</v>
          </cell>
          <cell r="M398">
            <v>0.97299999999999998</v>
          </cell>
        </row>
        <row r="399">
          <cell r="G399" t="str">
            <v>Paulo Zacharia Boay</v>
          </cell>
          <cell r="H399" t="str">
            <v>I1</v>
          </cell>
          <cell r="I399" t="str">
            <v>0-15</v>
          </cell>
          <cell r="J399">
            <v>0.90800000000000003</v>
          </cell>
          <cell r="K399">
            <v>243.16028272853336</v>
          </cell>
          <cell r="L399">
            <v>0.111</v>
          </cell>
          <cell r="M399">
            <v>1.012</v>
          </cell>
        </row>
        <row r="400">
          <cell r="G400" t="str">
            <v>Petro Haima Qhwanga</v>
          </cell>
          <cell r="H400" t="str">
            <v>I1</v>
          </cell>
          <cell r="I400" t="str">
            <v>0-15</v>
          </cell>
          <cell r="J400">
            <v>0.98099999999999998</v>
          </cell>
          <cell r="K400">
            <v>139.12203732794822</v>
          </cell>
          <cell r="L400">
            <v>0.10100000000000001</v>
          </cell>
          <cell r="M400">
            <v>1.0389999999999999</v>
          </cell>
        </row>
        <row r="401">
          <cell r="G401" t="str">
            <v>Petro Lohay Akweso</v>
          </cell>
          <cell r="H401" t="str">
            <v>I1</v>
          </cell>
          <cell r="I401" t="str">
            <v>0-15</v>
          </cell>
          <cell r="J401">
            <v>0.79700000000000004</v>
          </cell>
          <cell r="K401">
            <v>371.7608898733568</v>
          </cell>
          <cell r="L401">
            <v>0.216</v>
          </cell>
          <cell r="M401">
            <v>1.8540000000000001</v>
          </cell>
        </row>
        <row r="402">
          <cell r="G402" t="str">
            <v>Petro Ndirang'</v>
          </cell>
          <cell r="H402" t="str">
            <v>I1</v>
          </cell>
          <cell r="I402" t="str">
            <v>0-15</v>
          </cell>
          <cell r="J402">
            <v>0.85099999999999998</v>
          </cell>
          <cell r="K402">
            <v>302.81396446284987</v>
          </cell>
          <cell r="L402">
            <v>0.155</v>
          </cell>
          <cell r="M402">
            <v>1.304</v>
          </cell>
        </row>
        <row r="403">
          <cell r="G403" t="str">
            <v xml:space="preserve">Petrolina Baa Tlaa </v>
          </cell>
          <cell r="H403" t="str">
            <v>I1</v>
          </cell>
          <cell r="I403" t="str">
            <v>0-15</v>
          </cell>
          <cell r="J403">
            <v>0.78600000000000003</v>
          </cell>
          <cell r="K403">
            <v>416.26503406082486</v>
          </cell>
          <cell r="L403">
            <v>0.13300000000000001</v>
          </cell>
          <cell r="M403">
            <v>1.2709999999999999</v>
          </cell>
        </row>
        <row r="404">
          <cell r="G404" t="str">
            <v xml:space="preserve">Petrolina Baa Tlaa </v>
          </cell>
          <cell r="H404" t="str">
            <v>I1</v>
          </cell>
          <cell r="I404" t="str">
            <v>0-15</v>
          </cell>
          <cell r="J404">
            <v>0.70199999999999996</v>
          </cell>
          <cell r="K404">
            <v>533.38610267555782</v>
          </cell>
          <cell r="L404">
            <v>0.13300000000000001</v>
          </cell>
          <cell r="M404">
            <v>1.2709999999999999</v>
          </cell>
        </row>
        <row r="405">
          <cell r="G405" t="str">
            <v>Porotus Hero Dadwe</v>
          </cell>
          <cell r="H405" t="str">
            <v>I1</v>
          </cell>
          <cell r="I405" t="str">
            <v>0-15</v>
          </cell>
          <cell r="J405">
            <v>0.90500000000000003</v>
          </cell>
          <cell r="K405">
            <v>250.34352018995361</v>
          </cell>
          <cell r="L405">
            <v>0.14199999999999999</v>
          </cell>
          <cell r="M405">
            <v>1.4670000000000001</v>
          </cell>
        </row>
        <row r="406">
          <cell r="G406" t="str">
            <v>Qamara Suloo</v>
          </cell>
          <cell r="H406" t="str">
            <v>I1</v>
          </cell>
          <cell r="I406" t="str">
            <v>0-15</v>
          </cell>
          <cell r="J406">
            <v>0.88</v>
          </cell>
          <cell r="K406">
            <v>285.20098108719515</v>
          </cell>
          <cell r="L406">
            <v>0.104</v>
          </cell>
          <cell r="M406">
            <v>1.0649999999999999</v>
          </cell>
        </row>
        <row r="407">
          <cell r="G407" t="str">
            <v>Rabia Halifa Hamadi</v>
          </cell>
          <cell r="H407" t="str">
            <v>I1</v>
          </cell>
          <cell r="I407" t="str">
            <v>0-15</v>
          </cell>
          <cell r="J407">
            <v>1.0029999999999999</v>
          </cell>
          <cell r="K407">
            <v>110.79706449321955</v>
          </cell>
          <cell r="L407">
            <v>0.10100000000000001</v>
          </cell>
          <cell r="M407">
            <v>0.94499999999999995</v>
          </cell>
        </row>
        <row r="408">
          <cell r="G408" t="str">
            <v>Rajabu Hayma Hiiti</v>
          </cell>
          <cell r="H408" t="str">
            <v>I1</v>
          </cell>
          <cell r="I408" t="str">
            <v>0-15</v>
          </cell>
          <cell r="J408">
            <v>0.24099999999999999</v>
          </cell>
          <cell r="K408">
            <v>1172.4894044438436</v>
          </cell>
          <cell r="L408">
            <v>0.16</v>
          </cell>
          <cell r="M408">
            <v>1.585</v>
          </cell>
        </row>
        <row r="409">
          <cell r="G409" t="str">
            <v>Rajabu Omary Khinsa</v>
          </cell>
          <cell r="H409" t="str">
            <v>I1</v>
          </cell>
          <cell r="I409" t="str">
            <v>0-15</v>
          </cell>
          <cell r="J409">
            <v>0.87</v>
          </cell>
          <cell r="K409">
            <v>299.14396544609201</v>
          </cell>
          <cell r="L409">
            <v>0.17499999999999999</v>
          </cell>
          <cell r="M409">
            <v>1.8180000000000001</v>
          </cell>
        </row>
        <row r="410">
          <cell r="G410" t="str">
            <v>Regina Andrea</v>
          </cell>
          <cell r="H410" t="str">
            <v>I1</v>
          </cell>
          <cell r="I410" t="str">
            <v>0-15</v>
          </cell>
          <cell r="J410">
            <v>0.68899999999999995</v>
          </cell>
          <cell r="K410">
            <v>548.29233318678371</v>
          </cell>
          <cell r="L410"/>
          <cell r="M410"/>
        </row>
        <row r="411">
          <cell r="G411" t="str">
            <v>Regina Willium Qamara</v>
          </cell>
          <cell r="H411" t="str">
            <v>I1</v>
          </cell>
          <cell r="I411" t="str">
            <v>0-15</v>
          </cell>
          <cell r="J411">
            <v>0.999</v>
          </cell>
          <cell r="K411">
            <v>119.27946721632362</v>
          </cell>
          <cell r="L411">
            <v>0.13800000000000001</v>
          </cell>
          <cell r="M411">
            <v>1.456</v>
          </cell>
        </row>
        <row r="412">
          <cell r="G412" t="str">
            <v>Rehema Iddy Hotti</v>
          </cell>
          <cell r="H412" t="str">
            <v>I1</v>
          </cell>
          <cell r="I412" t="str">
            <v>0-15</v>
          </cell>
          <cell r="J412">
            <v>0.94499999999999995</v>
          </cell>
          <cell r="K412">
            <v>194.57158275436652</v>
          </cell>
          <cell r="L412">
            <v>0.114</v>
          </cell>
          <cell r="M412">
            <v>1.1599999999999999</v>
          </cell>
        </row>
        <row r="413">
          <cell r="G413" t="str">
            <v>Rehema Issa Iddi</v>
          </cell>
          <cell r="H413" t="str">
            <v>I1</v>
          </cell>
          <cell r="I413" t="str">
            <v>0-15</v>
          </cell>
          <cell r="J413">
            <v>0.95</v>
          </cell>
          <cell r="K413">
            <v>187.6000905749178</v>
          </cell>
          <cell r="L413">
            <v>9.7000000000000003E-2</v>
          </cell>
          <cell r="M413">
            <v>0.77400000000000002</v>
          </cell>
        </row>
        <row r="414">
          <cell r="G414" t="str">
            <v>Safari Baghayo Mjungu</v>
          </cell>
          <cell r="H414" t="str">
            <v>I1</v>
          </cell>
          <cell r="I414" t="str">
            <v>0-15</v>
          </cell>
          <cell r="J414">
            <v>0.90500000000000003</v>
          </cell>
          <cell r="K414">
            <v>247.34017383070125</v>
          </cell>
          <cell r="L414">
            <v>0.129</v>
          </cell>
          <cell r="M414">
            <v>1.139</v>
          </cell>
        </row>
        <row r="415">
          <cell r="G415" t="str">
            <v>Safari Baghayo Mjungu</v>
          </cell>
          <cell r="H415" t="str">
            <v>I1</v>
          </cell>
          <cell r="I415" t="str">
            <v>0-15</v>
          </cell>
          <cell r="J415">
            <v>0.90300000000000002</v>
          </cell>
          <cell r="K415">
            <v>261.42484600125829</v>
          </cell>
          <cell r="L415">
            <v>0.13800000000000001</v>
          </cell>
          <cell r="M415">
            <v>1.258</v>
          </cell>
        </row>
        <row r="416">
          <cell r="G416" t="str">
            <v>Safari Bombo</v>
          </cell>
          <cell r="H416" t="str">
            <v>I1</v>
          </cell>
          <cell r="I416" t="str">
            <v>0-15</v>
          </cell>
          <cell r="J416">
            <v>0.622</v>
          </cell>
          <cell r="K416">
            <v>595.20000000000016</v>
          </cell>
          <cell r="L416">
            <v>0.154</v>
          </cell>
          <cell r="M416">
            <v>1.1279999999999999</v>
          </cell>
        </row>
        <row r="417">
          <cell r="G417" t="str">
            <v>Saidi Swalehe Hadaa</v>
          </cell>
          <cell r="H417" t="str">
            <v>I1</v>
          </cell>
          <cell r="I417" t="str">
            <v>0-15</v>
          </cell>
          <cell r="J417">
            <v>0.82799999999999996</v>
          </cell>
          <cell r="K417">
            <v>363.32363792760424</v>
          </cell>
          <cell r="L417">
            <v>0.13300000000000001</v>
          </cell>
          <cell r="M417">
            <v>1.194</v>
          </cell>
        </row>
        <row r="418">
          <cell r="G418" t="str">
            <v>Salha Issa Kijuu</v>
          </cell>
          <cell r="H418" t="str">
            <v>I1</v>
          </cell>
          <cell r="I418" t="str">
            <v>0-15</v>
          </cell>
          <cell r="J418">
            <v>0.86399999999999999</v>
          </cell>
          <cell r="K418">
            <v>307.5097560614301</v>
          </cell>
          <cell r="L418">
            <v>0.127</v>
          </cell>
          <cell r="M418">
            <v>1.3480000000000001</v>
          </cell>
        </row>
        <row r="419">
          <cell r="G419" t="str">
            <v>Salimu Shaban</v>
          </cell>
          <cell r="H419" t="str">
            <v>I1</v>
          </cell>
          <cell r="I419" t="str">
            <v>0-15</v>
          </cell>
          <cell r="J419">
            <v>0.85599999999999998</v>
          </cell>
          <cell r="K419">
            <v>325.09280128433255</v>
          </cell>
          <cell r="L419"/>
          <cell r="M419"/>
        </row>
        <row r="420">
          <cell r="G420" t="str">
            <v>Salustiani Bilauri Paulo</v>
          </cell>
          <cell r="H420" t="str">
            <v>I1</v>
          </cell>
          <cell r="I420" t="str">
            <v>0-15</v>
          </cell>
          <cell r="J420">
            <v>0.84499999999999997</v>
          </cell>
          <cell r="K420">
            <v>334.00142634333417</v>
          </cell>
          <cell r="L420">
            <v>0.156</v>
          </cell>
          <cell r="M420">
            <v>2.2530000000000001</v>
          </cell>
        </row>
        <row r="421">
          <cell r="G421" t="str">
            <v>Samwel Mohamedi Harseo</v>
          </cell>
          <cell r="H421" t="str">
            <v>I1</v>
          </cell>
          <cell r="I421" t="str">
            <v>0-15</v>
          </cell>
          <cell r="J421">
            <v>0.79600000000000004</v>
          </cell>
          <cell r="K421">
            <v>373.03768478836628</v>
          </cell>
          <cell r="L421">
            <v>0.16400000000000001</v>
          </cell>
          <cell r="M421">
            <v>1.6970000000000001</v>
          </cell>
        </row>
        <row r="422">
          <cell r="G422" t="str">
            <v>Samuel Qamara</v>
          </cell>
          <cell r="H422" t="str">
            <v>I1</v>
          </cell>
          <cell r="I422" t="str">
            <v>0-15</v>
          </cell>
          <cell r="J422">
            <v>1.056</v>
          </cell>
          <cell r="K422">
            <v>37.217825211550952</v>
          </cell>
          <cell r="L422">
            <v>7.4999999999999997E-2</v>
          </cell>
          <cell r="M422">
            <v>0.52100000000000002</v>
          </cell>
        </row>
        <row r="423">
          <cell r="G423" t="str">
            <v>Shabani Huseni Mbisha</v>
          </cell>
          <cell r="H423" t="str">
            <v>I1</v>
          </cell>
          <cell r="I423" t="str">
            <v>0-15</v>
          </cell>
          <cell r="J423">
            <v>0.877</v>
          </cell>
          <cell r="K423">
            <v>296.20187850150211</v>
          </cell>
          <cell r="L423">
            <v>0.13500000000000001</v>
          </cell>
          <cell r="M423">
            <v>1.421</v>
          </cell>
        </row>
        <row r="424">
          <cell r="G424" t="str">
            <v>Sharifa Juma Mohamedi</v>
          </cell>
          <cell r="H424" t="str">
            <v>I1</v>
          </cell>
          <cell r="I424" t="str">
            <v>0-15</v>
          </cell>
          <cell r="J424">
            <v>0.90700000000000003</v>
          </cell>
          <cell r="K424">
            <v>254.92913166888718</v>
          </cell>
          <cell r="L424">
            <v>0.106</v>
          </cell>
          <cell r="M424">
            <v>0.873</v>
          </cell>
        </row>
        <row r="425">
          <cell r="G425" t="str">
            <v>Sige Hewasi</v>
          </cell>
          <cell r="H425" t="str">
            <v>I1</v>
          </cell>
          <cell r="I425" t="str">
            <v>0-15</v>
          </cell>
          <cell r="J425">
            <v>1.0169999999999999</v>
          </cell>
          <cell r="K425">
            <v>103.59572661596685</v>
          </cell>
          <cell r="L425">
            <v>8.3000000000000004E-2</v>
          </cell>
          <cell r="M425">
            <v>0.64100000000000001</v>
          </cell>
        </row>
        <row r="426">
          <cell r="G426" t="str">
            <v>Silvini Jabu Bombo</v>
          </cell>
          <cell r="H426" t="str">
            <v>I1</v>
          </cell>
          <cell r="I426" t="str">
            <v>0-15</v>
          </cell>
          <cell r="J426">
            <v>0.81599999999999995</v>
          </cell>
          <cell r="K426">
            <v>371.34360986167974</v>
          </cell>
          <cell r="L426">
            <v>0.16800000000000001</v>
          </cell>
          <cell r="M426">
            <v>1.704</v>
          </cell>
        </row>
        <row r="427">
          <cell r="G427" t="str">
            <v>Silvinia Anthony</v>
          </cell>
          <cell r="H427" t="str">
            <v>I1</v>
          </cell>
          <cell r="I427" t="str">
            <v>0-15</v>
          </cell>
          <cell r="J427">
            <v>0.92800000000000005</v>
          </cell>
          <cell r="K427">
            <v>188.70457211344129</v>
          </cell>
          <cell r="L427">
            <v>0.20399999999999999</v>
          </cell>
          <cell r="M427">
            <v>1.8620000000000001</v>
          </cell>
        </row>
        <row r="428">
          <cell r="G428" t="str">
            <v>Simon Joseph</v>
          </cell>
          <cell r="H428" t="str">
            <v>I1</v>
          </cell>
          <cell r="I428" t="str">
            <v>0-15</v>
          </cell>
          <cell r="J428">
            <v>0.95</v>
          </cell>
          <cell r="K428">
            <v>176.41126787692033</v>
          </cell>
          <cell r="L428">
            <v>0.14399999999999999</v>
          </cell>
          <cell r="M428">
            <v>1.06</v>
          </cell>
        </row>
        <row r="429">
          <cell r="G429" t="str">
            <v>Sinorina Paulo</v>
          </cell>
          <cell r="H429" t="str">
            <v>I1</v>
          </cell>
          <cell r="I429" t="str">
            <v>0-15</v>
          </cell>
          <cell r="J429">
            <v>1.0640000000000001</v>
          </cell>
          <cell r="K429">
            <v>15.221167743445479</v>
          </cell>
          <cell r="L429">
            <v>0.2</v>
          </cell>
          <cell r="M429">
            <v>1.5669999999999999</v>
          </cell>
        </row>
        <row r="430">
          <cell r="G430" t="str">
            <v>Siptalino Gadie</v>
          </cell>
          <cell r="H430" t="str">
            <v>I1</v>
          </cell>
          <cell r="I430" t="str">
            <v>0-15</v>
          </cell>
          <cell r="J430">
            <v>0.70899999999999996</v>
          </cell>
          <cell r="K430">
            <v>484.11884239418328</v>
          </cell>
          <cell r="L430"/>
          <cell r="M430"/>
        </row>
        <row r="431">
          <cell r="G431" t="str">
            <v>Stanslaus Nicodemus</v>
          </cell>
          <cell r="H431" t="str">
            <v>I1</v>
          </cell>
          <cell r="I431" t="str">
            <v>0-15</v>
          </cell>
          <cell r="J431">
            <v>1.032</v>
          </cell>
          <cell r="K431">
            <v>56.040792301091408</v>
          </cell>
          <cell r="L431">
            <v>0.158</v>
          </cell>
          <cell r="M431">
            <v>1.306</v>
          </cell>
        </row>
        <row r="432">
          <cell r="G432" t="str">
            <v>Stephano Chapa Siasi</v>
          </cell>
          <cell r="H432" t="str">
            <v>I1</v>
          </cell>
          <cell r="I432" t="str">
            <v>0-15</v>
          </cell>
          <cell r="J432">
            <v>0.94599999999999995</v>
          </cell>
          <cell r="K432">
            <v>201.27456078648834</v>
          </cell>
          <cell r="L432">
            <v>9.9000000000000005E-2</v>
          </cell>
          <cell r="M432">
            <v>0.74</v>
          </cell>
        </row>
        <row r="433">
          <cell r="G433" t="str">
            <v>Tanu Humay Qwendo</v>
          </cell>
          <cell r="H433" t="str">
            <v>I1</v>
          </cell>
          <cell r="I433" t="str">
            <v>0-15</v>
          </cell>
          <cell r="J433">
            <v>0.97799999999999998</v>
          </cell>
          <cell r="K433">
            <v>145.62949034461792</v>
          </cell>
          <cell r="L433">
            <v>8.6999999999999994E-2</v>
          </cell>
          <cell r="M433">
            <v>0.85099999999999998</v>
          </cell>
        </row>
        <row r="434">
          <cell r="G434" t="str">
            <v>Teopista Cosmasi Temba</v>
          </cell>
          <cell r="H434" t="str">
            <v>I1</v>
          </cell>
          <cell r="I434" t="str">
            <v>0-15</v>
          </cell>
          <cell r="J434">
            <v>0.97199999999999998</v>
          </cell>
          <cell r="K434">
            <v>153.98927254895347</v>
          </cell>
          <cell r="L434">
            <v>0.1</v>
          </cell>
          <cell r="M434">
            <v>1.085</v>
          </cell>
        </row>
        <row r="435">
          <cell r="G435" t="str">
            <v>Teresia Zuberi Tarimo</v>
          </cell>
          <cell r="H435" t="str">
            <v>I1</v>
          </cell>
          <cell r="I435" t="str">
            <v>0-15</v>
          </cell>
          <cell r="J435">
            <v>0.91800000000000004</v>
          </cell>
          <cell r="K435">
            <v>229.227312387974</v>
          </cell>
          <cell r="L435">
            <v>0.14199999999999999</v>
          </cell>
          <cell r="M435">
            <v>1.4650000000000001</v>
          </cell>
        </row>
        <row r="436">
          <cell r="G436" t="str">
            <v>Tobias Keudiesia</v>
          </cell>
          <cell r="H436" t="str">
            <v>I1</v>
          </cell>
          <cell r="I436" t="str">
            <v>0-15</v>
          </cell>
          <cell r="J436">
            <v>0.83299999999999996</v>
          </cell>
          <cell r="K436">
            <v>350.73300757401023</v>
          </cell>
          <cell r="L436">
            <v>0.121</v>
          </cell>
          <cell r="M436">
            <v>1.232</v>
          </cell>
        </row>
        <row r="437">
          <cell r="G437" t="str">
            <v>Tsaqwa Amsi</v>
          </cell>
          <cell r="H437" t="str">
            <v>I1</v>
          </cell>
          <cell r="I437" t="str">
            <v>0-15</v>
          </cell>
          <cell r="J437">
            <v>1.0649999999999999</v>
          </cell>
          <cell r="K437">
            <v>13.945554476019279</v>
          </cell>
          <cell r="L437"/>
          <cell r="M437"/>
        </row>
        <row r="438">
          <cell r="G438" t="str">
            <v>Veronica Amsi Maibangi</v>
          </cell>
          <cell r="H438" t="str">
            <v>I1</v>
          </cell>
          <cell r="I438" t="str">
            <v>0-15</v>
          </cell>
          <cell r="J438">
            <v>1.0649999999999999</v>
          </cell>
          <cell r="K438">
            <v>37.559331683783142</v>
          </cell>
          <cell r="L438">
            <v>9.6000000000000002E-2</v>
          </cell>
          <cell r="M438">
            <v>0.81499999999999995</v>
          </cell>
        </row>
        <row r="439">
          <cell r="G439" t="str">
            <v>Veronica Amsi Maibangi</v>
          </cell>
          <cell r="H439" t="str">
            <v>I1</v>
          </cell>
          <cell r="I439" t="str">
            <v>0-15</v>
          </cell>
          <cell r="J439">
            <v>0.752</v>
          </cell>
          <cell r="K439">
            <v>468.1716569707304</v>
          </cell>
          <cell r="L439">
            <v>0.12</v>
          </cell>
          <cell r="M439">
            <v>1.04</v>
          </cell>
        </row>
        <row r="440">
          <cell r="G440" t="str">
            <v>Victoria Barhe</v>
          </cell>
          <cell r="H440" t="str">
            <v>I1</v>
          </cell>
          <cell r="I440" t="str">
            <v>0-15</v>
          </cell>
          <cell r="J440">
            <v>0.94399999999999995</v>
          </cell>
          <cell r="K440">
            <v>184.07203736697673</v>
          </cell>
          <cell r="L440">
            <v>0.121</v>
          </cell>
          <cell r="M440">
            <v>0.78700000000000003</v>
          </cell>
        </row>
        <row r="441">
          <cell r="G441" t="str">
            <v>Victoria Barhe</v>
          </cell>
          <cell r="H441" t="str">
            <v>I1</v>
          </cell>
          <cell r="I441" t="str">
            <v>0-15</v>
          </cell>
          <cell r="J441">
            <v>0.96799999999999997</v>
          </cell>
          <cell r="K441">
            <v>132.02185379262949</v>
          </cell>
          <cell r="L441">
            <v>0.115</v>
          </cell>
          <cell r="M441">
            <v>0.85799999999999998</v>
          </cell>
        </row>
        <row r="442">
          <cell r="G442" t="str">
            <v>Yasini Salimu Fuchu</v>
          </cell>
          <cell r="H442" t="str">
            <v>I1</v>
          </cell>
          <cell r="I442" t="str">
            <v>0-15</v>
          </cell>
          <cell r="J442">
            <v>0.93600000000000005</v>
          </cell>
          <cell r="K442">
            <v>204.14796577496708</v>
          </cell>
          <cell r="L442">
            <v>0.14799999999999999</v>
          </cell>
          <cell r="M442">
            <v>1.29</v>
          </cell>
        </row>
        <row r="443">
          <cell r="G443" t="str">
            <v>Yohana Gewe</v>
          </cell>
          <cell r="H443" t="str">
            <v>I1</v>
          </cell>
          <cell r="I443" t="str">
            <v>0-15</v>
          </cell>
          <cell r="J443">
            <v>0.86499999999999999</v>
          </cell>
          <cell r="K443">
            <v>284.93883565271835</v>
          </cell>
          <cell r="L443">
            <v>0.12</v>
          </cell>
          <cell r="M443">
            <v>0.95799999999999996</v>
          </cell>
        </row>
        <row r="444">
          <cell r="G444" t="str">
            <v>Zainabu Juma iddi</v>
          </cell>
          <cell r="H444" t="str">
            <v>I1</v>
          </cell>
          <cell r="I444" t="str">
            <v>0-15</v>
          </cell>
          <cell r="J444">
            <v>0.80300000000000005</v>
          </cell>
          <cell r="K444">
            <v>380.97470075086335</v>
          </cell>
          <cell r="L444">
            <v>0.15</v>
          </cell>
          <cell r="M444">
            <v>1.464</v>
          </cell>
        </row>
        <row r="445">
          <cell r="G445" t="str">
            <v>Zainabu Sefu Hamisi</v>
          </cell>
          <cell r="H445" t="str">
            <v>I1</v>
          </cell>
          <cell r="I445" t="str">
            <v>0-15</v>
          </cell>
          <cell r="J445">
            <v>1.0900000000000001</v>
          </cell>
          <cell r="K445">
            <v>19.753685968909835</v>
          </cell>
          <cell r="L445">
            <v>6.5000000000000002E-2</v>
          </cell>
          <cell r="M445">
            <v>0.436</v>
          </cell>
        </row>
        <row r="446">
          <cell r="G446" t="str">
            <v>Zedekiah Bombo</v>
          </cell>
          <cell r="H446" t="str">
            <v>I1</v>
          </cell>
          <cell r="I446" t="str">
            <v>0-15</v>
          </cell>
          <cell r="J446">
            <v>0.91200000000000003</v>
          </cell>
          <cell r="K446">
            <v>224.92947464727692</v>
          </cell>
          <cell r="L446">
            <v>0.153</v>
          </cell>
          <cell r="M446">
            <v>1.3340000000000001</v>
          </cell>
        </row>
        <row r="447">
          <cell r="G447" t="str">
            <v>Zedekiah Israeli</v>
          </cell>
          <cell r="H447" t="str">
            <v>I1</v>
          </cell>
          <cell r="I447" t="str">
            <v>0-15</v>
          </cell>
          <cell r="J447">
            <v>0.86699999999999999</v>
          </cell>
          <cell r="K447">
            <v>282.38524582269963</v>
          </cell>
          <cell r="L447">
            <v>0.23499999999999999</v>
          </cell>
          <cell r="M447">
            <v>2.181</v>
          </cell>
        </row>
        <row r="448">
          <cell r="G448" t="str">
            <v>Zena Mukusi Haima</v>
          </cell>
          <cell r="H448" t="str">
            <v>I1</v>
          </cell>
          <cell r="I448" t="str">
            <v>0-15</v>
          </cell>
          <cell r="J448">
            <v>1.014</v>
          </cell>
          <cell r="K448">
            <v>107.72300129922816</v>
          </cell>
          <cell r="L448">
            <v>9.2999999999999999E-2</v>
          </cell>
          <cell r="M448">
            <v>0.90100000000000002</v>
          </cell>
        </row>
        <row r="449">
          <cell r="G449" t="str">
            <v>Zubeda Musa Issa</v>
          </cell>
          <cell r="H449" t="str">
            <v>I1</v>
          </cell>
          <cell r="I449" t="str">
            <v>0-15</v>
          </cell>
          <cell r="J449">
            <v>0.73499999999999999</v>
          </cell>
          <cell r="K449">
            <v>491.55954684254544</v>
          </cell>
          <cell r="L449">
            <v>0.151</v>
          </cell>
          <cell r="M449">
            <v>1.5740000000000001</v>
          </cell>
        </row>
        <row r="450">
          <cell r="G450" t="str">
            <v>Zuhura Iddi Kijuu</v>
          </cell>
          <cell r="H450" t="str">
            <v>I1</v>
          </cell>
          <cell r="I450" t="str">
            <v>0-15</v>
          </cell>
          <cell r="J450">
            <v>0.873</v>
          </cell>
          <cell r="K450">
            <v>294.961070138423</v>
          </cell>
          <cell r="L450">
            <v>0.13600000000000001</v>
          </cell>
          <cell r="M450">
            <v>1.3089999999999999</v>
          </cell>
        </row>
        <row r="451">
          <cell r="G451" t="str">
            <v>Hiiti Baghayo Mjungu</v>
          </cell>
          <cell r="H451" t="str">
            <v>I1</v>
          </cell>
          <cell r="I451" t="str">
            <v>0-15</v>
          </cell>
          <cell r="J451">
            <v>1.083</v>
          </cell>
          <cell r="K451">
            <v>16.867745378028236</v>
          </cell>
          <cell r="L451">
            <v>8.1000000000000003E-2</v>
          </cell>
          <cell r="M451">
            <v>0.57399999999999995</v>
          </cell>
        </row>
        <row r="452">
          <cell r="G452" t="str">
            <v>Stefano Nada</v>
          </cell>
          <cell r="H452" t="str">
            <v>I1</v>
          </cell>
          <cell r="I452" t="str">
            <v xml:space="preserve">0-15 </v>
          </cell>
          <cell r="J452">
            <v>0.79900000000000004</v>
          </cell>
          <cell r="K452">
            <v>395.02965944063055</v>
          </cell>
          <cell r="L452">
            <v>0.111</v>
          </cell>
          <cell r="M452">
            <v>1.0549999999999999</v>
          </cell>
        </row>
        <row r="453">
          <cell r="G453" t="str">
            <v>Lucia Doho Bombo</v>
          </cell>
          <cell r="H453" t="str">
            <v>I2</v>
          </cell>
          <cell r="I453" t="str">
            <v>0-15</v>
          </cell>
          <cell r="J453">
            <v>0.69299999999999995</v>
          </cell>
          <cell r="K453">
            <v>542.71914505055997</v>
          </cell>
          <cell r="L453">
            <v>0.17299999999999999</v>
          </cell>
          <cell r="M453">
            <v>2.202</v>
          </cell>
        </row>
        <row r="454">
          <cell r="G454" t="str">
            <v>Marki Tiodori Stanslaus</v>
          </cell>
          <cell r="H454" t="str">
            <v>I2</v>
          </cell>
          <cell r="I454" t="str">
            <v>0-15</v>
          </cell>
          <cell r="J454">
            <v>0.75900000000000001</v>
          </cell>
          <cell r="K454">
            <v>458.54134937645358</v>
          </cell>
          <cell r="L454">
            <v>0.21099999999999999</v>
          </cell>
          <cell r="M454">
            <v>2.153</v>
          </cell>
        </row>
        <row r="455">
          <cell r="G455" t="str">
            <v>Abdilah Abdala Yusufu</v>
          </cell>
          <cell r="H455" t="str">
            <v>I2</v>
          </cell>
          <cell r="I455" t="str">
            <v>15-50</v>
          </cell>
          <cell r="J455">
            <v>0.77100000000000002</v>
          </cell>
          <cell r="K455">
            <v>434.04197639419681</v>
          </cell>
        </row>
        <row r="456">
          <cell r="G456" t="str">
            <v>Hitema Secondary School</v>
          </cell>
          <cell r="H456" t="str">
            <v>I2</v>
          </cell>
          <cell r="I456" t="str">
            <v>15-50</v>
          </cell>
          <cell r="J456">
            <v>1.028</v>
          </cell>
          <cell r="K456">
            <v>91.593526124015284</v>
          </cell>
        </row>
        <row r="457">
          <cell r="G457" t="str">
            <v>Jumanne Sochore</v>
          </cell>
          <cell r="H457" t="str">
            <v>I2</v>
          </cell>
          <cell r="I457" t="str">
            <v>15-50</v>
          </cell>
          <cell r="J457">
            <v>1.01</v>
          </cell>
          <cell r="K457">
            <v>116.04923618633831</v>
          </cell>
        </row>
        <row r="458">
          <cell r="G458" t="str">
            <v>Safari Bombo</v>
          </cell>
          <cell r="H458" t="str">
            <v>I2</v>
          </cell>
          <cell r="I458" t="str">
            <v>15-50</v>
          </cell>
          <cell r="J458">
            <v>0.93600000000000005</v>
          </cell>
          <cell r="K458">
            <v>194.28639668705159</v>
          </cell>
        </row>
        <row r="459">
          <cell r="G459" t="str">
            <v>Teopista Cosmasi Temba</v>
          </cell>
          <cell r="H459" t="str">
            <v>I2</v>
          </cell>
          <cell r="I459" t="str">
            <v>15-50</v>
          </cell>
          <cell r="J459">
            <v>0.92600000000000005</v>
          </cell>
          <cell r="K459">
            <v>230.17588314384543</v>
          </cell>
        </row>
        <row r="460">
          <cell r="G460" t="str">
            <v>Rajabu Hayma Hiiti</v>
          </cell>
          <cell r="H460" t="str">
            <v xml:space="preserve">I2 </v>
          </cell>
          <cell r="I460" t="str">
            <v>15-50</v>
          </cell>
          <cell r="J460">
            <v>1.0109999999999999</v>
          </cell>
          <cell r="K460">
            <v>114.69058562732035</v>
          </cell>
        </row>
        <row r="461">
          <cell r="G461" t="str">
            <v>Rajabu Hayma Hiiti</v>
          </cell>
          <cell r="H461" t="str">
            <v xml:space="preserve">I2 </v>
          </cell>
          <cell r="I461" t="str">
            <v>15-50</v>
          </cell>
          <cell r="J461">
            <v>1.0089999999999999</v>
          </cell>
          <cell r="K461">
            <v>117.40788674535627</v>
          </cell>
        </row>
        <row r="462">
          <cell r="G462" t="str">
            <v>Sabilo</v>
          </cell>
          <cell r="H462" t="str">
            <v>Manure</v>
          </cell>
          <cell r="J462">
            <v>0.121</v>
          </cell>
          <cell r="K462">
            <v>1339.6850485305558</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b Kihara" refreshedDate="44453.440977199076" createdVersion="6" refreshedVersion="6" minRefreshableVersion="3" recordCount="246" xr:uid="{DB54A5B0-2E14-47BC-AA14-3A97290F6CD4}">
  <cacheSource type="worksheet">
    <worksheetSource ref="A1:EX247" sheet="Survey_2017"/>
  </cacheSource>
  <cacheFields count="153">
    <cacheField name="Name of person collecting data" numFmtId="0">
      <sharedItems/>
    </cacheField>
    <cacheField name="Order" numFmtId="0">
      <sharedItems containsSemiMixedTypes="0" containsString="0" containsNumber="1" containsInteger="1" minValue="1" maxValue="251"/>
    </cacheField>
    <cacheField name="Fname" numFmtId="0">
      <sharedItems/>
    </cacheField>
    <cacheField name="Inots" numFmtId="0">
      <sharedItems/>
    </cacheField>
    <cacheField name="V_harvest" numFmtId="0">
      <sharedItems/>
    </cacheField>
    <cacheField name="Village" numFmtId="0">
      <sharedItems/>
    </cacheField>
    <cacheField name="DistHome" numFmtId="0">
      <sharedItems containsSemiMixedTypes="0" containsString="0" containsNumber="1" minValue="0" maxValue="35"/>
    </cacheField>
    <cacheField name="DH_Class" numFmtId="0">
      <sharedItems/>
    </cacheField>
    <cacheField name="CR_Use" numFmtId="0">
      <sharedItems/>
    </cacheField>
    <cacheField name="CR_Uses" numFmtId="0">
      <sharedItems/>
    </cacheField>
    <cacheField name="RR_HH" numFmtId="0">
      <sharedItems containsSemiMixedTypes="0" containsString="0" containsNumber="1" containsInteger="1" minValue="0" maxValue="1"/>
    </cacheField>
    <cacheField name="Res_GA" numFmtId="0">
      <sharedItems containsString="0" containsBlank="1" containsNumber="1" minValue="0.5" maxValue="40"/>
    </cacheField>
    <cacheField name="Res_Price" numFmtId="0">
      <sharedItems containsString="0" containsBlank="1" containsNumber="1" containsInteger="1" minValue="0" maxValue="20000"/>
    </cacheField>
    <cacheField name="Res_Other" numFmtId="0">
      <sharedItems/>
    </cacheField>
    <cacheField name="Res_Dist_HH" numFmtId="0">
      <sharedItems containsBlank="1" containsMixedTypes="1" containsNumber="1" minValue="0" maxValue="2"/>
    </cacheField>
    <cacheField name="Res_Acquis" numFmtId="0">
      <sharedItems containsSemiMixedTypes="0" containsString="0" containsNumber="1" containsInteger="1" minValue="0" maxValue="1"/>
    </cacheField>
    <cacheField name="Res_Acquis_Time" numFmtId="0">
      <sharedItems/>
    </cacheField>
    <cacheField name="Res_Acquis_Amt" numFmtId="0">
      <sharedItems containsString="0" containsBlank="1" containsNumber="1" containsInteger="1" minValue="1" maxValue="160"/>
    </cacheField>
    <cacheField name="Res_Dist_HH2" numFmtId="0">
      <sharedItems containsBlank="1" containsMixedTypes="1" containsNumber="1" minValue="0" maxValue="5"/>
    </cacheField>
    <cacheField name="Field_Type_Res" numFmtId="0">
      <sharedItems/>
    </cacheField>
    <cacheField name="Specify distance of these fields from your village" numFmtId="0">
      <sharedItems containsString="0" containsBlank="1" containsNumber="1" containsInteger="1" minValue="5" maxValue="999"/>
    </cacheField>
    <cacheField name="In which of your fields do you take the crop residues acquired from others?" numFmtId="0">
      <sharedItems containsBlank="1"/>
    </cacheField>
    <cacheField name="Specify how far 'Other' field is where crop residues are taken/delivered" numFmtId="0">
      <sharedItems containsString="0" containsBlank="1" containsNumber="1" containsInteger="1" minValue="1" maxValue="999"/>
    </cacheField>
    <cacheField name="Res_Buy" numFmtId="0">
      <sharedItems containsString="0" containsBlank="1" containsNumber="1" containsInteger="1" minValue="5" maxValue="20000"/>
    </cacheField>
    <cacheField name="Res_Other2" numFmtId="0">
      <sharedItems/>
    </cacheField>
    <cacheField name="Manu_Appl" numFmtId="0">
      <sharedItems count="2">
        <s v="Yes"/>
        <s v="No"/>
      </sharedItems>
    </cacheField>
    <cacheField name="Man_Source" numFmtId="0">
      <sharedItems/>
    </cacheField>
    <cacheField name="Man_Use_OtherHH" numFmtId="0">
      <sharedItems containsSemiMixedTypes="0" containsString="0" containsNumber="1" containsInteger="1" minValue="0" maxValue="1"/>
    </cacheField>
    <cacheField name="Man_Use_OtherHH_Timing" numFmtId="0">
      <sharedItems/>
    </cacheField>
    <cacheField name="Man_Use_OtherHH_Amt" numFmtId="0">
      <sharedItems containsString="0" containsBlank="1" containsNumber="1" containsInteger="1" minValue="1" maxValue="9"/>
    </cacheField>
    <cacheField name="Man_Use_OtherHH_Price" numFmtId="0">
      <sharedItems containsMixedTypes="1" containsNumber="1" containsInteger="1" minValue="1000" maxValue="10000"/>
    </cacheField>
    <cacheField name="Man_Use_OtherHH_Reason" numFmtId="0">
      <sharedItems/>
    </cacheField>
    <cacheField name="Man_Comb" numFmtId="0">
      <sharedItems/>
    </cacheField>
    <cacheField name="Man_Storage" numFmtId="0">
      <sharedItems/>
    </cacheField>
    <cacheField name="Man_Storage_Mthd" numFmtId="0">
      <sharedItems containsBlank="1"/>
    </cacheField>
    <cacheField name="Man_Acquis" numFmtId="0">
      <sharedItems containsSemiMixedTypes="0" containsString="0" containsNumber="1" containsInteger="1" minValue="0" maxValue="1"/>
    </cacheField>
    <cacheField name="Man_Acquis_Time" numFmtId="0">
      <sharedItems containsMixedTypes="1" containsNumber="1" containsInteger="1" minValue="1" maxValue="888"/>
    </cacheField>
    <cacheField name="Freq_Man_Acquis" numFmtId="0">
      <sharedItems containsString="0" containsBlank="1" containsNumber="1" containsInteger="1" minValue="1" maxValue="5"/>
    </cacheField>
    <cacheField name="Man_Amt_HH2" numFmtId="0">
      <sharedItems containsString="0" containsBlank="1" containsNumber="1" containsInteger="1" minValue="1" maxValue="43"/>
    </cacheField>
    <cacheField name="Man_HH3_Price" numFmtId="0">
      <sharedItems containsMixedTypes="1" containsNumber="1" containsInteger="1" minValue="2000" maxValue="40000"/>
    </cacheField>
    <cacheField name="Man_HH3_OtherReason" numFmtId="0">
      <sharedItems containsBlank="1"/>
    </cacheField>
    <cacheField name="InFlow" numFmtId="0">
      <sharedItems containsSemiMixedTypes="0" containsString="0" containsNumber="1" containsInteger="1" minValue="0" maxValue="2"/>
    </cacheField>
    <cacheField name="OutFlow" numFmtId="0">
      <sharedItems containsSemiMixedTypes="0" containsString="0" containsNumber="1" containsInteger="1" minValue="0" maxValue="2"/>
    </cacheField>
    <cacheField name="Flow" numFmtId="0">
      <sharedItems/>
    </cacheField>
    <cacheField name="Flows1" numFmtId="164">
      <sharedItems containsSemiMixedTypes="0" containsString="0" containsNumber="1" minValue="-2" maxValue="3.5" count="11">
        <n v="-2"/>
        <n v="-1"/>
        <n v="0"/>
        <n v="1"/>
        <n v="2"/>
        <n v="2.5" u="1"/>
        <n v="-0.5" u="1"/>
        <n v="-1.5" u="1"/>
        <n v="3.5" u="1"/>
        <n v="0.5" u="1"/>
        <n v="1.5" u="1"/>
      </sharedItems>
    </cacheField>
    <cacheField name="OR_Flows" numFmtId="0">
      <sharedItems containsSemiMixedTypes="0" containsString="0" containsNumber="1" containsInteger="1" minValue="-1" maxValue="3"/>
    </cacheField>
    <cacheField name="Land_ownership" numFmtId="0">
      <sharedItems/>
    </cacheField>
    <cacheField name="Land_Size_HomeField" numFmtId="0">
      <sharedItems containsString="0" containsBlank="1" containsNumber="1" minValue="0.125" maxValue="25"/>
    </cacheField>
    <cacheField name="Land_Owned_Other" numFmtId="0">
      <sharedItems/>
    </cacheField>
    <cacheField name="Land_Owned_Other_Pcs" numFmtId="0">
      <sharedItems containsString="0" containsBlank="1" containsNumber="1" containsInteger="1" minValue="1" maxValue="6"/>
    </cacheField>
    <cacheField name="Land_Size_OtherFields" numFmtId="0">
      <sharedItems containsString="0" containsBlank="1" containsNumber="1" minValue="0.25" maxValue="70"/>
    </cacheField>
    <cacheField name="CroppedLand_NotOwned" numFmtId="0">
      <sharedItems/>
    </cacheField>
    <cacheField name="NotOwned_Access" numFmtId="0">
      <sharedItems/>
    </cacheField>
    <cacheField name="Land_Size_NotOwned" numFmtId="0">
      <sharedItems containsString="0" containsBlank="1" containsNumber="1" minValue="0.25" maxValue="60"/>
    </cacheField>
    <cacheField name="Land" numFmtId="0">
      <sharedItems containsSemiMixedTypes="0" containsString="0" containsNumber="1" minValue="0" maxValue="73"/>
    </cacheField>
    <cacheField name="Landtot" numFmtId="0">
      <sharedItems containsSemiMixedTypes="0" containsString="0" containsNumber="1" minValue="0" maxValue="73"/>
    </cacheField>
    <cacheField name="Cows_Own" numFmtId="0">
      <sharedItems/>
    </cacheField>
    <cacheField name="Goats_Own" numFmtId="0">
      <sharedItems/>
    </cacheField>
    <cacheField name="Chicken_Own" numFmtId="0">
      <sharedItems/>
    </cacheField>
    <cacheField name="Sheep_Own" numFmtId="0">
      <sharedItems/>
    </cacheField>
    <cacheField name="Pigs_Own" numFmtId="0">
      <sharedItems/>
    </cacheField>
    <cacheField name="Donkeys_Own" numFmtId="0">
      <sharedItems/>
    </cacheField>
    <cacheField name="Cows" numFmtId="0">
      <sharedItems containsString="0" containsBlank="1" containsNumber="1" containsInteger="1" minValue="1" maxValue="60"/>
    </cacheField>
    <cacheField name="Cows_Syst" numFmtId="0">
      <sharedItems/>
    </cacheField>
    <cacheField name="Goats" numFmtId="0">
      <sharedItems containsString="0" containsBlank="1" containsNumber="1" containsInteger="1" minValue="1" maxValue="100"/>
    </cacheField>
    <cacheField name="Goats_Syst" numFmtId="0">
      <sharedItems/>
    </cacheField>
    <cacheField name="Chicken" numFmtId="0">
      <sharedItems containsString="0" containsBlank="1" containsNumber="1" containsInteger="1" minValue="1" maxValue="150"/>
    </cacheField>
    <cacheField name="Chicken_Syst" numFmtId="0">
      <sharedItems/>
    </cacheField>
    <cacheField name="Sheep" numFmtId="0">
      <sharedItems containsString="0" containsBlank="1" containsNumber="1" containsInteger="1" minValue="1" maxValue="60"/>
    </cacheField>
    <cacheField name="Sheep_Syst" numFmtId="0">
      <sharedItems/>
    </cacheField>
    <cacheField name="Pigs" numFmtId="0">
      <sharedItems containsString="0" containsBlank="1" containsNumber="1" containsInteger="1" minValue="1" maxValue="12"/>
    </cacheField>
    <cacheField name="Pig_Syst" numFmtId="0">
      <sharedItems/>
    </cacheField>
    <cacheField name="Donkeys" numFmtId="0">
      <sharedItems containsString="0" containsBlank="1" containsNumber="1" containsInteger="1" minValue="1" maxValue="6"/>
    </cacheField>
    <cacheField name="Livestock" numFmtId="0">
      <sharedItems containsSemiMixedTypes="0" containsString="0" containsNumber="1" minValue="0" maxValue="77.099999999999994"/>
    </cacheField>
    <cacheField name="LivestockClass" numFmtId="0">
      <sharedItems/>
    </cacheField>
    <cacheField name="Men18yrs" numFmtId="0">
      <sharedItems containsSemiMixedTypes="0" containsString="0" containsNumber="1" containsInteger="1" minValue="0" maxValue="12"/>
    </cacheField>
    <cacheField name="Women18yrs" numFmtId="0">
      <sharedItems containsSemiMixedTypes="0" containsString="0" containsNumber="1" containsInteger="1" minValue="0" maxValue="15"/>
    </cacheField>
    <cacheField name="Children" numFmtId="0">
      <sharedItems containsSemiMixedTypes="0" containsString="0" containsNumber="1" containsInteger="1" minValue="0" maxValue="403"/>
    </cacheField>
    <cacheField name="TotHH_Size" numFmtId="0">
      <sharedItems containsSemiMixedTypes="0" containsString="0" containsNumber="1" containsInteger="1" minValue="1" maxValue="403"/>
    </cacheField>
    <cacheField name="Tractor_Owned" numFmtId="0">
      <sharedItems containsSemiMixedTypes="0" containsString="0" containsNumber="1" containsInteger="1" minValue="0" maxValue="2"/>
    </cacheField>
    <cacheField name="OxCart_Owned" numFmtId="0">
      <sharedItems containsSemiMixedTypes="0" containsString="0" containsNumber="1" containsInteger="1" minValue="0" maxValue="8"/>
    </cacheField>
    <cacheField name="OxPlough_Owned" numFmtId="0">
      <sharedItems containsSemiMixedTypes="0" containsString="0" containsNumber="1" containsInteger="1" minValue="0" maxValue="12"/>
    </cacheField>
    <cacheField name="Implements_Other" numFmtId="0">
      <sharedItems containsBlank="1"/>
    </cacheField>
    <cacheField name="Wealth" numFmtId="0">
      <sharedItems containsSemiMixedTypes="0" containsString="0" containsNumber="1" minValue="0" maxValue="1125"/>
    </cacheField>
    <cacheField name="WealthClass" numFmtId="0">
      <sharedItems/>
    </cacheField>
    <cacheField name="Wealth_I" numFmtId="0">
      <sharedItems containsSemiMixedTypes="0" containsString="0" containsNumber="1" minValue="0" maxValue="1138"/>
    </cacheField>
    <cacheField name="Pestcide_Appl" numFmtId="0">
      <sharedItems/>
    </cacheField>
    <cacheField name="Pestcide" numFmtId="0">
      <sharedItems/>
    </cacheField>
    <cacheField name="Labour_Other" numFmtId="0">
      <sharedItems/>
    </cacheField>
    <cacheField name="Labour_Acquis" numFmtId="0">
      <sharedItems/>
    </cacheField>
    <cacheField name="Area_IP" numFmtId="0">
      <sharedItems containsString="0" containsBlank="1" containsNumber="1" minValue="0" maxValue="555"/>
    </cacheField>
    <cacheField name="Area_FP" numFmtId="0">
      <sharedItems containsString="0" containsBlank="1" containsNumber="1" minValue="0" maxValue="106.66816894500001"/>
    </cacheField>
    <cacheField name="Area_OP" numFmtId="0">
      <sharedItems containsString="0" containsBlank="1" containsNumber="1" minValue="0" maxValue="42"/>
    </cacheField>
    <cacheField name="TopDressing" numFmtId="0">
      <sharedItems/>
    </cacheField>
    <cacheField name="Area_Maize" numFmtId="0">
      <sharedItems containsString="0" containsBlank="1" containsNumber="1" minValue="3.125E-2" maxValue="999"/>
    </cacheField>
    <cacheField name="Yld_Maize" numFmtId="0">
      <sharedItems containsSemiMixedTypes="0" containsString="0" containsNumber="1" minValue="0" maxValue="999"/>
    </cacheField>
    <cacheField name="Unit_Maize" numFmtId="0">
      <sharedItems/>
    </cacheField>
    <cacheField name="MzGrainYld" numFmtId="0">
      <sharedItems containsString="0" containsBlank="1" containsNumber="1" minValue="0" maxValue="8.64"/>
    </cacheField>
    <cacheField name="Area_Beans" numFmtId="0">
      <sharedItems containsString="0" containsBlank="1" containsNumber="1" minValue="0" maxValue="5"/>
    </cacheField>
    <cacheField name="Yld_Beans" numFmtId="0">
      <sharedItems containsString="0" containsBlank="1" containsNumber="1" minValue="0" maxValue="999"/>
    </cacheField>
    <cacheField name="Unit_Beans" numFmtId="0">
      <sharedItems/>
    </cacheField>
    <cacheField name="BnYld" numFmtId="2">
      <sharedItems containsString="0" containsBlank="1" containsNumber="1" minValue="0" maxValue="2.4"/>
    </cacheField>
    <cacheField name="Area_PgnPea" numFmtId="0">
      <sharedItems containsString="0" containsBlank="1" containsNumber="1" minValue="0" maxValue="999"/>
    </cacheField>
    <cacheField name="Yld_PgnPea" numFmtId="0">
      <sharedItems containsSemiMixedTypes="0" containsString="0" containsNumber="1" minValue="0" maxValue="9999"/>
    </cacheField>
    <cacheField name="Unit_PgnPea" numFmtId="0">
      <sharedItems/>
    </cacheField>
    <cacheField name="PgPeaYLD" numFmtId="2">
      <sharedItems containsString="0" containsBlank="1" containsNumber="1" minValue="0" maxValue="1.92"/>
    </cacheField>
    <cacheField name="ManAppl_Last season" numFmtId="0">
      <sharedItems count="2">
        <s v="No"/>
        <s v="Yes"/>
      </sharedItems>
    </cacheField>
    <cacheField name="ManAppl_2 seasons ago" numFmtId="0">
      <sharedItems/>
    </cacheField>
    <cacheField name="ManAppl_3 seasons ago" numFmtId="0">
      <sharedItems/>
    </cacheField>
    <cacheField name="ManAppl_4 seasons ago" numFmtId="0">
      <sharedItems/>
    </cacheField>
    <cacheField name="ManAppl_5 seasons ago" numFmtId="0">
      <sharedItems/>
    </cacheField>
    <cacheField name="ManFreq" numFmtId="0">
      <sharedItems containsSemiMixedTypes="0" containsString="0" containsNumber="1" containsInteger="1" minValue="0" maxValue="5"/>
    </cacheField>
    <cacheField name="Crop_Count" numFmtId="0">
      <sharedItems containsSemiMixedTypes="0" containsString="0" containsNumber="1" containsInteger="1" minValue="0" maxValue="6"/>
    </cacheField>
    <cacheField name="SET-OF-G2" numFmtId="0">
      <sharedItems/>
    </cacheField>
    <cacheField name="SET-OF-G5" numFmtId="0">
      <sharedItems/>
    </cacheField>
    <cacheField name="Latitude" numFmtId="0">
      <sharedItems containsSemiMixedTypes="0" containsString="0" containsNumber="1" minValue="-4.3860979080200195" maxValue="-4.2103300094604492"/>
    </cacheField>
    <cacheField name="Longitude" numFmtId="0">
      <sharedItems containsSemiMixedTypes="0" containsString="0" containsNumber="1" minValue="35.419467926025391" maxValue="35.917690277099609"/>
    </cacheField>
    <cacheField name="Altitude" numFmtId="0">
      <sharedItems containsSemiMixedTypes="0" containsString="0" containsNumber="1" minValue="1180" maxValue="1723.199951171875"/>
    </cacheField>
    <cacheField name="Field GPS (accuracy)" numFmtId="0">
      <sharedItems containsSemiMixedTypes="0" containsString="0" containsNumber="1" containsInteger="1" minValue="5" maxValue="15"/>
    </cacheField>
    <cacheField name="Form version used on device" numFmtId="0">
      <sharedItems containsSemiMixedTypes="0" containsString="0" containsNumber="1" containsInteger="1" minValue="1705231439" maxValue="1706031849"/>
    </cacheField>
    <cacheField name="Unique submission ID" numFmtId="0">
      <sharedItems/>
    </cacheField>
    <cacheField name="Date/time submitted" numFmtId="22">
      <sharedItems containsSemiMixedTypes="0" containsNonDate="0" containsDate="1" containsString="0" minDate="2017-06-07T14:16:55" maxDate="2017-08-31T14:11:35"/>
    </cacheField>
    <cacheField name="starttime" numFmtId="22">
      <sharedItems containsSemiMixedTypes="0" containsNonDate="0" containsDate="1" containsString="0" minDate="2017-06-02T14:13:40" maxDate="2017-08-03T16:28:57"/>
    </cacheField>
    <cacheField name="endtime" numFmtId="22">
      <sharedItems containsSemiMixedTypes="0" containsNonDate="0" containsDate="1" containsString="0" minDate="2017-06-06T11:28:44" maxDate="2017-08-31T14:09:32"/>
    </cacheField>
    <cacheField name="PlantDa" numFmtId="14">
      <sharedItems containsSemiMixedTypes="0" containsNonDate="0" containsDate="1" containsString="0" minDate="2014-03-25T00:00:00" maxDate="2017-12-29T00:00:00"/>
    </cacheField>
    <cacheField name="Comment" numFmtId="0">
      <sharedItems containsBlank="1"/>
    </cacheField>
    <cacheField name="IP1" numFmtId="0">
      <sharedItems containsString="0" containsBlank="1" containsNumber="1" minValue="0.6656293222683265" maxValue="15.238347107438019"/>
    </cacheField>
    <cacheField name="IP2" numFmtId="0">
      <sharedItems containsString="0" containsBlank="1" containsNumber="1" minValue="4.2285714285714288E-2" maxValue="10.883950617283949"/>
    </cacheField>
    <cacheField name="FP1" numFmtId="0">
      <sharedItems containsString="0" containsBlank="1" containsNumber="1" minValue="0.54986568986568995" maxValue="9.947008547008549"/>
    </cacheField>
    <cacheField name="FP2" numFmtId="0">
      <sharedItems containsString="0" containsBlank="1" containsNumber="1" minValue="0.54139869281045749" maxValue="9.5405797101449288"/>
    </cacheField>
    <cacheField name="X1Y1" numFmtId="0">
      <sharedItems containsString="0" containsBlank="1" containsNumber="1" containsInteger="1" minValue="0" maxValue="12"/>
    </cacheField>
    <cacheField name="Rule" numFmtId="0">
      <sharedItems containsMixedTypes="1" containsNumber="1" containsInteger="1" minValue="1" maxValue="1"/>
    </cacheField>
    <cacheField name="Comments_Harvest" numFmtId="0">
      <sharedItems containsBlank="1"/>
    </cacheField>
    <cacheField name="LandForm" numFmtId="0">
      <sharedItems/>
    </cacheField>
    <cacheField name="SlopeDEM" numFmtId="0">
      <sharedItems containsSemiMixedTypes="0" containsString="0" containsNumber="1" minValue="0" maxValue="17.2106723785"/>
    </cacheField>
    <cacheField name="Slope" numFmtId="0">
      <sharedItems/>
    </cacheField>
    <cacheField name="SlopePos" numFmtId="0">
      <sharedItems/>
    </cacheField>
    <cacheField name="TPI" numFmtId="0">
      <sharedItems containsSemiMixedTypes="0" containsString="0" containsNumber="1" minValue="-1.4502619504900001" maxValue="1.35963702202"/>
    </cacheField>
    <cacheField name="WI" numFmtId="2">
      <sharedItems containsSemiMixedTypes="0" containsString="0" containsNumber="1" minValue="6.3579244613599997" maxValue="14.599243164100001"/>
    </cacheField>
    <cacheField name="FP_ActiveC" numFmtId="2">
      <sharedItems containsString="0" containsBlank="1" containsNumber="1" minValue="1.8910316778667779" maxValue="1072.1720179918159"/>
    </cacheField>
    <cacheField name="IP_ActiveC" numFmtId="2">
      <sharedItems containsString="0" containsBlank="1" containsNumber="1" minValue="-68.733355804882606" maxValue="1233.7944739423046"/>
    </cacheField>
    <cacheField name="FP_TC" numFmtId="2">
      <sharedItems containsString="0" containsBlank="1" containsNumber="1" minValue="0.46100000000000002" maxValue="2.68"/>
    </cacheField>
    <cacheField name="IP_TC" numFmtId="2">
      <sharedItems containsString="0" containsBlank="1" containsNumber="1" minValue="0.436" maxValue="2.774"/>
    </cacheField>
    <cacheField name="Cdiff" numFmtId="2">
      <sharedItems containsString="0" containsBlank="1" containsNumber="1" minValue="-1.0620000000000001" maxValue="1.49"/>
    </cacheField>
    <cacheField name="Av_FP" numFmtId="2">
      <sharedItems containsString="0" containsBlank="1" containsNumber="1" minValue="0.60214297385620918" maxValue="9.0955158730158736"/>
    </cacheField>
    <cacheField name="Av_IP" numFmtId="2">
      <sharedItems containsString="0" containsBlank="1" containsNumber="1" minValue="0.4792380952380953" maxValue="11.956639118457302"/>
    </cacheField>
    <cacheField name="YldDiff" numFmtId="2">
      <sharedItems containsString="0" containsBlank="1" containsNumber="1" minValue="-4.726751554001555" maxValue="5.5996480709199101"/>
    </cacheField>
    <cacheField name="GM_Mz" numFmtId="1">
      <sharedItems containsSemiMixedTypes="0" containsString="0" containsNumber="1" minValue="0" maxValue="3041.28"/>
    </cacheField>
    <cacheField name="GM_PP" numFmtId="1">
      <sharedItems containsSemiMixedTypes="0" containsString="0" containsNumber="1" minValue="0" maxValue="1309.44"/>
    </cacheField>
    <cacheField name="GM_Bean" numFmtId="1">
      <sharedItems containsSemiMixedTypes="0" containsString="0" containsNumber="1" minValue="0" maxValue="1908"/>
    </cacheField>
    <cacheField name="GrossMargin" numFmtId="1">
      <sharedItems containsSemiMixedTypes="0" containsString="0" containsNumber="1" minValue="0" maxValue="5222.3999999999996"/>
    </cacheField>
    <cacheField name="Cost_Manu" numFmtId="1">
      <sharedItems containsSemiMixedTypes="0" containsString="0" containsNumber="1" minValue="0" maxValue="63.699999999999996"/>
    </cacheField>
    <cacheField name="GM_2016_Recall" numFmtId="1">
      <sharedItems containsSemiMixedTypes="0" containsString="0" containsNumber="1" minValue="-63.699999999999996" maxValue="5222.399999999999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6">
  <r>
    <s v="Inot Songoyani"/>
    <n v="156"/>
    <s v="Asha Juma Selemani"/>
    <s v="Asha Juma Selemani"/>
    <s v="HALLU"/>
    <s v="Hallu"/>
    <n v="2"/>
    <s v="outfield"/>
    <s v="Feed livestock"/>
    <s v="OffField feed"/>
    <n v="1"/>
    <n v="20"/>
    <n v="5000"/>
    <s v=""/>
    <s v="Variable"/>
    <n v="0"/>
    <s v=""/>
    <m/>
    <m/>
    <s v=""/>
    <m/>
    <s v=""/>
    <m/>
    <m/>
    <s v=""/>
    <x v="0"/>
    <s v="Own animals"/>
    <n v="1"/>
    <s v="2 years ago"/>
    <n v="3"/>
    <s v=""/>
    <s v="Transportation"/>
    <s v="No"/>
    <s v="No"/>
    <s v=""/>
    <n v="0"/>
    <s v=""/>
    <m/>
    <m/>
    <s v=""/>
    <s v=""/>
    <n v="0"/>
    <n v="2"/>
    <s v="02"/>
    <x v="0"/>
    <n v="-1"/>
    <s v="Yes"/>
    <n v="0.25"/>
    <s v="Yes"/>
    <n v="3"/>
    <n v="19"/>
    <s v="No"/>
    <s v=""/>
    <m/>
    <n v="19.25"/>
    <n v="19.25"/>
    <s v="Yes"/>
    <s v="No"/>
    <s v="No"/>
    <s v="No"/>
    <s v="No"/>
    <s v="No"/>
    <n v="5"/>
    <s v="Both"/>
    <m/>
    <s v=""/>
    <m/>
    <s v=""/>
    <m/>
    <s v=""/>
    <m/>
    <s v=""/>
    <m/>
    <n v="5"/>
    <s v="Low"/>
    <n v="1"/>
    <n v="2"/>
    <n v="5"/>
    <n v="8"/>
    <n v="0"/>
    <n v="0"/>
    <n v="0"/>
    <s v=""/>
    <n v="288.75"/>
    <s v="High"/>
    <n v="293.75"/>
    <s v="No"/>
    <s v=""/>
    <s v="Yes"/>
    <s v="Casual"/>
    <n v="0.25"/>
    <n v="2.75"/>
    <m/>
    <s v="Yes"/>
    <n v="4"/>
    <n v="30"/>
    <s v="Bags"/>
    <n v="1.7999999999999998"/>
    <m/>
    <n v="999"/>
    <s v="Bags"/>
    <m/>
    <n v="3"/>
    <n v="5"/>
    <s v="Bags"/>
    <n v="0.39999999999999997"/>
    <x v="0"/>
    <s v="Yes"/>
    <s v="No"/>
    <s v="No"/>
    <s v="No"/>
    <n v="1"/>
    <n v="3"/>
    <s v="uuid:99264e43-0781-4cd7-a011-da48cd53d16b/secG-G2"/>
    <s v="uuid:99264e43-0781-4cd7-a011-da48cd53d16b/secG-G5"/>
    <n v="-4.2874345779418945"/>
    <n v="35.901123046875"/>
    <n v="1195.699951171875"/>
    <n v="5"/>
    <n v="1706031849"/>
    <s v="uuid:99264e43-0781-4cd7-a011-da48cd53d16b"/>
    <d v="2017-07-05T10:22:36"/>
    <d v="2017-06-27T12:12:36"/>
    <d v="2017-06-27T12:23:57"/>
    <d v="2017-02-05T00:00:00"/>
    <m/>
    <n v="1.8938827838827839"/>
    <n v="2.3175702075702076"/>
    <n v="3.4260481099656364"/>
    <n v="3.469415807560138"/>
    <m/>
    <s v="FALSEE"/>
    <m/>
    <s v="Plains"/>
    <n v="0.85303092002900005"/>
    <s v="Very gentle"/>
    <s v="Flat"/>
    <n v="0.45321798324599999"/>
    <n v="9.7213468551600002"/>
    <n v="413.47643718904555"/>
    <n v="255.69995603503682"/>
    <n v="1.6579999999999999"/>
    <n v="1.621"/>
    <n v="3.6999999999999922E-2"/>
    <n v="3.447731958762887"/>
    <n v="2.1057264957264956"/>
    <n v="-1.3420054630363913"/>
    <n v="633.59999999999991"/>
    <n v="272.79999999999995"/>
    <n v="0"/>
    <n v="906.39999999999986"/>
    <n v="63.699999999999996"/>
    <n v="842.69999999999982"/>
  </r>
  <r>
    <s v="Inot Songoyani"/>
    <n v="176"/>
    <s v="Aleandry Daniel Sarwat"/>
    <s v="Aleandry Daniel Sarwati"/>
    <e v="#N/A"/>
    <s v="Duru"/>
    <n v="0"/>
    <s v="Homefield"/>
    <s v="Feed livestock"/>
    <s v="OffField feed"/>
    <n v="0"/>
    <m/>
    <m/>
    <s v=""/>
    <m/>
    <n v="0"/>
    <s v=""/>
    <m/>
    <m/>
    <s v=""/>
    <m/>
    <s v=""/>
    <m/>
    <m/>
    <s v=""/>
    <x v="0"/>
    <s v="Own animals"/>
    <n v="1"/>
    <s v="2 years ago"/>
    <n v="3"/>
    <n v="10000"/>
    <s v=""/>
    <s v="No"/>
    <s v="No"/>
    <s v=""/>
    <n v="0"/>
    <s v=""/>
    <m/>
    <m/>
    <s v=""/>
    <s v=""/>
    <n v="0"/>
    <n v="1"/>
    <s v="01"/>
    <x v="1"/>
    <n v="0"/>
    <s v="No"/>
    <m/>
    <s v="Yes"/>
    <n v="1"/>
    <n v="1"/>
    <s v="No"/>
    <s v=""/>
    <m/>
    <n v="1"/>
    <n v="1"/>
    <s v="Yes"/>
    <s v="No"/>
    <s v="No"/>
    <s v="No"/>
    <s v="No"/>
    <s v="No"/>
    <n v="1"/>
    <s v="Both"/>
    <m/>
    <s v=""/>
    <m/>
    <s v=""/>
    <m/>
    <s v=""/>
    <m/>
    <s v=""/>
    <m/>
    <n v="1"/>
    <s v="very low"/>
    <n v="1"/>
    <n v="0"/>
    <n v="0"/>
    <n v="1"/>
    <n v="0"/>
    <n v="0"/>
    <n v="0"/>
    <s v=""/>
    <n v="15"/>
    <s v="Low"/>
    <n v="16"/>
    <s v="No"/>
    <s v=""/>
    <s v="Yes"/>
    <s v="Casual"/>
    <n v="0.25"/>
    <n v="0.75"/>
    <m/>
    <s v="No"/>
    <n v="1"/>
    <n v="7"/>
    <s v="Bags"/>
    <n v="1.6800000000000002"/>
    <m/>
    <n v="999"/>
    <s v="Bags"/>
    <m/>
    <n v="1"/>
    <n v="1"/>
    <s v="Bags"/>
    <n v="0.24"/>
    <x v="0"/>
    <s v="No"/>
    <s v="Yes"/>
    <s v="No"/>
    <s v="No"/>
    <n v="1"/>
    <n v="2"/>
    <s v="uuid:b2944227-fadc-4283-a164-ea280b05e105/secG-G2"/>
    <s v="uuid:b2944227-fadc-4283-a164-ea280b05e105/secG-G5"/>
    <n v="-4.3102259635925293"/>
    <n v="35.595962524414063"/>
    <n v="1636.0999755859375"/>
    <n v="5"/>
    <n v="1706031849"/>
    <s v="uuid:b2944227-fadc-4283-a164-ea280b05e105"/>
    <d v="2017-07-10T13:49:06"/>
    <d v="2017-07-05T10:31:02"/>
    <d v="2017-07-05T14:57:03"/>
    <d v="2017-01-14T00:00:00"/>
    <m/>
    <m/>
    <m/>
    <m/>
    <m/>
    <m/>
    <n v="1"/>
    <m/>
    <s v="Upper slopes"/>
    <n v="5.0538773536699999"/>
    <s v="Moderate"/>
    <s v="Midslope"/>
    <n v="0.18129228055499999"/>
    <n v="7.6397376060499997"/>
    <m/>
    <m/>
    <m/>
    <m/>
    <m/>
    <m/>
    <m/>
    <m/>
    <n v="591.36"/>
    <n v="163.68"/>
    <n v="0"/>
    <n v="755.04"/>
    <n v="63.699999999999996"/>
    <n v="691.33999999999992"/>
  </r>
  <r>
    <s v="Ezekiel Mngumi"/>
    <n v="93"/>
    <s v="Simon Gwandu"/>
    <s v="Simon Gwandu"/>
    <e v="#N/A"/>
    <s v="Sabilo"/>
    <n v="0"/>
    <s v="Homefield"/>
    <s v="Feed livestock"/>
    <s v="OffField feed"/>
    <n v="0"/>
    <m/>
    <m/>
    <s v=""/>
    <m/>
    <n v="0"/>
    <s v=""/>
    <m/>
    <s v="Variable"/>
    <s v="Other fields in my home village"/>
    <m/>
    <s v="This field"/>
    <m/>
    <m/>
    <s v=""/>
    <x v="0"/>
    <s v="Own animals"/>
    <n v="1"/>
    <s v="Last year"/>
    <n v="4"/>
    <s v=""/>
    <s v="Labour"/>
    <s v="Yes"/>
    <s v="No"/>
    <m/>
    <n v="0"/>
    <s v=""/>
    <m/>
    <m/>
    <s v=""/>
    <s v=""/>
    <n v="0"/>
    <n v="1"/>
    <s v="01"/>
    <x v="1"/>
    <n v="0"/>
    <s v="Yes"/>
    <n v="5"/>
    <s v="Yes"/>
    <n v="1"/>
    <n v="10"/>
    <s v="No"/>
    <s v=""/>
    <m/>
    <n v="15"/>
    <n v="15"/>
    <s v="Yes"/>
    <s v="Yes"/>
    <s v="Yes"/>
    <s v="Yes"/>
    <s v="No"/>
    <s v="No"/>
    <n v="5"/>
    <s v="Free range"/>
    <n v="6"/>
    <s v="Free range"/>
    <n v="6"/>
    <s v="Free range"/>
    <n v="2"/>
    <s v="Free range"/>
    <m/>
    <s v=""/>
    <m/>
    <n v="5.8599999999999994"/>
    <s v="Low"/>
    <n v="1"/>
    <n v="1"/>
    <n v="4"/>
    <n v="6"/>
    <n v="0"/>
    <n v="1"/>
    <n v="1"/>
    <m/>
    <n v="226.1"/>
    <s v="High"/>
    <n v="231.96"/>
    <s v="Yes"/>
    <s v="Ninger, carate,"/>
    <s v="Yes"/>
    <s v="Casual"/>
    <m/>
    <n v="12"/>
    <m/>
    <s v="No"/>
    <n v="1"/>
    <n v="5.3299999237060547"/>
    <s v="Bags"/>
    <n v="1.279199981689453"/>
    <n v="1"/>
    <n v="2"/>
    <s v="Bags"/>
    <n v="0.48"/>
    <n v="1"/>
    <n v="0"/>
    <s v="Bags"/>
    <n v="0"/>
    <x v="0"/>
    <s v="No"/>
    <s v="Yes"/>
    <s v="Yes"/>
    <s v="Yes"/>
    <n v="3"/>
    <n v="5"/>
    <s v="uuid:e4b2a436-88ea-4d04-a4a5-1069eff5b94b/secG-G2"/>
    <s v="uuid:e4b2a436-88ea-4d04-a4a5-1069eff5b94b/secG-G5"/>
    <n v="-4.3646130561828613"/>
    <n v="35.480541229248047"/>
    <n v="1712.0999755859375"/>
    <n v="10"/>
    <n v="1705231439"/>
    <s v="uuid:e4b2a436-88ea-4d04-a4a5-1069eff5b94b"/>
    <d v="2017-07-11T08:17:14"/>
    <d v="2017-06-09T14:28:30"/>
    <d v="2017-07-07T11:09:56"/>
    <d v="2017-02-13T00:00:00"/>
    <m/>
    <m/>
    <m/>
    <m/>
    <m/>
    <m/>
    <n v="1"/>
    <m/>
    <s v="Plains"/>
    <n v="3.3183093070999998"/>
    <s v="Gentle"/>
    <s v="Flat"/>
    <n v="0.36257606744799997"/>
    <n v="7.5032229423499999"/>
    <m/>
    <m/>
    <m/>
    <m/>
    <m/>
    <m/>
    <m/>
    <m/>
    <n v="450.27839355468745"/>
    <n v="0"/>
    <n v="381.59999999999997"/>
    <n v="831.87839355468736"/>
    <n v="63.699999999999996"/>
    <n v="768.17839355468732"/>
  </r>
  <r>
    <s v="Michael"/>
    <n v="48"/>
    <s v="Joseph Bura"/>
    <s v="Joseph Bura"/>
    <s v="MANDI"/>
    <s v="Samatsi"/>
    <n v="1"/>
    <s v="outfield"/>
    <s v="Feed livestock"/>
    <s v="OffField feed"/>
    <n v="0"/>
    <m/>
    <m/>
    <s v=""/>
    <m/>
    <n v="0"/>
    <s v=""/>
    <m/>
    <s v="Variable"/>
    <s v="Other fields in my home village"/>
    <m/>
    <s v="This field"/>
    <m/>
    <m/>
    <s v=""/>
    <x v="1"/>
    <s v=""/>
    <n v="1"/>
    <s v="Last year"/>
    <n v="8"/>
    <n v="10000"/>
    <s v=""/>
    <s v="Yes"/>
    <s v="No"/>
    <m/>
    <n v="0"/>
    <s v=""/>
    <m/>
    <m/>
    <s v=""/>
    <s v=""/>
    <n v="0"/>
    <n v="1"/>
    <s v="01"/>
    <x v="1"/>
    <n v="0"/>
    <s v="Yes"/>
    <n v="3"/>
    <s v="Yes"/>
    <n v="2"/>
    <n v="3.5"/>
    <s v="No"/>
    <s v=""/>
    <m/>
    <n v="6.5"/>
    <n v="6.5"/>
    <s v="Yes"/>
    <s v="Yes"/>
    <s v="Yes"/>
    <s v="Yes"/>
    <s v="No"/>
    <s v="Yes"/>
    <n v="16"/>
    <s v="Free range"/>
    <n v="5"/>
    <s v="Free range"/>
    <n v="20"/>
    <s v="Free range"/>
    <n v="11"/>
    <s v="Free range"/>
    <m/>
    <s v=""/>
    <n v="2"/>
    <n v="18.600000000000001"/>
    <s v="High"/>
    <n v="1"/>
    <n v="3"/>
    <n v="5"/>
    <n v="9"/>
    <n v="0"/>
    <n v="1"/>
    <n v="1"/>
    <m/>
    <n v="98.6"/>
    <s v="High"/>
    <n v="117.2"/>
    <s v="Yes"/>
    <s v="Prophecron"/>
    <s v="Yes"/>
    <s v="Multiple"/>
    <n v="0.25"/>
    <n v="5.25"/>
    <n v="0"/>
    <s v="Yes"/>
    <n v="1"/>
    <n v="5"/>
    <s v="Bags"/>
    <n v="1.2"/>
    <m/>
    <n v="999"/>
    <s v="Bags"/>
    <m/>
    <m/>
    <n v="999"/>
    <s v="Bags"/>
    <m/>
    <x v="0"/>
    <s v="No"/>
    <s v="No"/>
    <s v="Yes"/>
    <s v="No"/>
    <n v="1"/>
    <n v="3"/>
    <s v="uuid:2361ef0b-0070-4385-9244-d8eafbbc9426/secG-G2"/>
    <s v="uuid:2361ef0b-0070-4385-9244-d8eafbbc9426/secG-G5"/>
    <n v="-4.3407421112060547"/>
    <n v="35.420608520507813"/>
    <n v="1624.800048828125"/>
    <n v="5"/>
    <n v="1705231439"/>
    <s v="uuid:2361ef0b-0070-4385-9244-d8eafbbc9426"/>
    <d v="2017-07-07T09:09:39"/>
    <d v="2017-06-21T14:51:04"/>
    <d v="2017-07-07T09:07:11"/>
    <d v="2017-01-23T00:00:00"/>
    <m/>
    <n v="3.6360000000000001"/>
    <n v="3.5686666666666671"/>
    <n v="3.1148571428571432"/>
    <n v="2.1243148688046647"/>
    <m/>
    <n v="1"/>
    <m/>
    <s v="Plains"/>
    <n v="2.8647022247299998"/>
    <s v="Gentle"/>
    <s v="Flat"/>
    <n v="-0.27191722393000001"/>
    <n v="8.7366437912000006"/>
    <n v="343.83334765054559"/>
    <n v="346.22499157316912"/>
    <n v="1.37"/>
    <n v="1.7030000000000001"/>
    <n v="-0.33299999999999996"/>
    <n v="2.6195860058309037"/>
    <n v="3.6023333333333336"/>
    <n v="0.98274732750242988"/>
    <n v="422.4"/>
    <n v="0"/>
    <n v="0"/>
    <n v="422.4"/>
    <n v="0"/>
    <n v="422.4"/>
  </r>
  <r>
    <s v="Michael"/>
    <n v="35"/>
    <s v="Tobias Keudiesia"/>
    <s v="Tobias Keudiesia"/>
    <s v="Sangara"/>
    <s v="Samatsi"/>
    <n v="0.20000000298023224"/>
    <s v="Midfield"/>
    <s v="Bury"/>
    <s v="Bury"/>
    <n v="0"/>
    <m/>
    <m/>
    <s v=""/>
    <m/>
    <n v="1"/>
    <s v="This season"/>
    <n v="1"/>
    <n v="0.60000002384185791"/>
    <s v="Other fields in my home village"/>
    <m/>
    <s v="My 'home field' away from here"/>
    <m/>
    <n v="3000"/>
    <s v=""/>
    <x v="0"/>
    <s v="Own animals"/>
    <n v="1"/>
    <s v="Last year"/>
    <n v="1"/>
    <n v="7000"/>
    <s v=""/>
    <s v="Yes"/>
    <s v="No"/>
    <m/>
    <n v="0"/>
    <s v=""/>
    <m/>
    <m/>
    <s v=""/>
    <s v=""/>
    <n v="1"/>
    <n v="1"/>
    <s v="11"/>
    <x v="2"/>
    <n v="1"/>
    <s v="Yes"/>
    <n v="0.125"/>
    <s v="Yes"/>
    <n v="2"/>
    <n v="4"/>
    <s v="Yes"/>
    <s v="Donation for a period"/>
    <n v="4.375"/>
    <n v="4.125"/>
    <n v="8.5"/>
    <s v="Yes"/>
    <s v="Yes"/>
    <s v="Yes"/>
    <s v="No"/>
    <s v="No"/>
    <s v="No"/>
    <n v="1"/>
    <s v="Zero grazing"/>
    <n v="5"/>
    <s v="Zero grazing"/>
    <n v="7"/>
    <s v="Free range"/>
    <m/>
    <s v=""/>
    <m/>
    <s v=""/>
    <m/>
    <n v="1.57"/>
    <s v="Low"/>
    <n v="1"/>
    <n v="1"/>
    <n v="5"/>
    <n v="7"/>
    <n v="0"/>
    <n v="0"/>
    <n v="0"/>
    <m/>
    <n v="61.875"/>
    <s v="High"/>
    <n v="63.445"/>
    <s v="Yes"/>
    <s v="Carte"/>
    <s v="Yes"/>
    <s v="Multiple"/>
    <n v="0.25"/>
    <n v="4"/>
    <n v="0"/>
    <s v="Yes"/>
    <n v="1"/>
    <n v="8"/>
    <s v="Bags"/>
    <n v="1.92"/>
    <n v="1"/>
    <n v="2.7000000476837158"/>
    <s v="Bags"/>
    <n v="0.64800001144409181"/>
    <m/>
    <n v="999"/>
    <s v="Bags"/>
    <m/>
    <x v="0"/>
    <s v="Yes"/>
    <s v="No"/>
    <s v="No"/>
    <s v="No"/>
    <n v="1"/>
    <n v="4"/>
    <s v="uuid:854c9f14-3c8e-40a6-9f5a-71d3666d37dd/secG-G2"/>
    <s v="uuid:854c9f14-3c8e-40a6-9f5a-71d3666d37dd/secG-G5"/>
    <n v="-4.2942328453063965"/>
    <n v="35.636287689208984"/>
    <n v="1432.9000244140625"/>
    <n v="10"/>
    <n v="1705231439"/>
    <s v="uuid:854c9f14-3c8e-40a6-9f5a-71d3666d37dd"/>
    <d v="2017-06-22T07:01:24"/>
    <d v="2017-06-13T10:25:11"/>
    <d v="2017-06-22T06:56:32"/>
    <d v="2017-02-15T00:00:00"/>
    <m/>
    <n v="3.627642276422764"/>
    <n v="5.7897696476964775"/>
    <n v="6.2288659793814425"/>
    <n v="5.4453608247422665"/>
    <m/>
    <s v="FALSEE"/>
    <m/>
    <s v="Midslope drainages"/>
    <n v="3.42399120331"/>
    <s v="Gentle"/>
    <s v="Valley"/>
    <n v="-1.4502619504900001"/>
    <n v="7.7100343704199998"/>
    <n v="213.65638483627274"/>
    <n v="350.73300757401023"/>
    <n v="1.1100000000000001"/>
    <n v="1.232"/>
    <n v="-0.12199999999999989"/>
    <n v="5.8371134020618545"/>
    <n v="4.7087059620596206"/>
    <n v="-1.1284074400022339"/>
    <n v="675.83999999999992"/>
    <n v="0"/>
    <n v="515.16000909805302"/>
    <n v="1191.0000090980529"/>
    <n v="63.699999999999996"/>
    <n v="1127.3000090980529"/>
  </r>
  <r>
    <s v="Inot Songoyani"/>
    <n v="194"/>
    <s v="Amina Waray Amayo"/>
    <s v="Amina Warae Amayo"/>
    <s v="ENDANOGA"/>
    <s v="Endanoga"/>
    <n v="0.5"/>
    <s v="outfield"/>
    <s v="Feed livestock"/>
    <s v="OffField feed"/>
    <n v="0"/>
    <m/>
    <m/>
    <s v=""/>
    <m/>
    <n v="1"/>
    <s v="Every year"/>
    <n v="16"/>
    <s v="Variable"/>
    <s v="Other fields in my home village"/>
    <m/>
    <s v="My 'home field' away from here"/>
    <m/>
    <m/>
    <s v="Manure"/>
    <x v="0"/>
    <s v="Own animals"/>
    <n v="1"/>
    <s v="Last year"/>
    <n v="2"/>
    <s v=""/>
    <s v="Crop residual"/>
    <s v="No"/>
    <s v="No"/>
    <s v=""/>
    <n v="0"/>
    <s v=""/>
    <m/>
    <m/>
    <s v=""/>
    <s v=""/>
    <n v="1"/>
    <n v="1"/>
    <s v="11"/>
    <x v="2"/>
    <n v="1"/>
    <s v="Yes"/>
    <n v="0.25"/>
    <s v="Yes"/>
    <n v="1"/>
    <n v="20"/>
    <s v="Yes"/>
    <s v="Rent"/>
    <n v="5"/>
    <n v="20.25"/>
    <n v="25.25"/>
    <s v="Yes"/>
    <s v="No"/>
    <s v="Yes"/>
    <s v="No"/>
    <s v="No"/>
    <s v="No"/>
    <n v="2"/>
    <s v="Both"/>
    <m/>
    <s v=""/>
    <n v="25"/>
    <s v="Both"/>
    <m/>
    <s v=""/>
    <m/>
    <s v=""/>
    <m/>
    <n v="2.25"/>
    <s v="Low"/>
    <n v="3"/>
    <n v="1"/>
    <n v="3"/>
    <n v="7"/>
    <n v="0"/>
    <n v="0"/>
    <n v="0"/>
    <s v=""/>
    <n v="303.75"/>
    <s v="High"/>
    <n v="306"/>
    <s v="No"/>
    <s v=""/>
    <s v="No"/>
    <s v=""/>
    <n v="0.25"/>
    <n v="0"/>
    <m/>
    <s v="No"/>
    <n v="3.125E-2"/>
    <n v="5"/>
    <s v="Gorogoro"/>
    <n v="6.4127999999999989"/>
    <m/>
    <n v="999"/>
    <s v="Gorogoro"/>
    <m/>
    <n v="999"/>
    <n v="999"/>
    <s v="Gorogoro"/>
    <m/>
    <x v="0"/>
    <s v="No"/>
    <s v="No"/>
    <s v="No"/>
    <s v="No"/>
    <n v="0"/>
    <n v="4"/>
    <s v="uuid:5147653b-4c53-4200-820f-39d998ceb28f/secG-G2"/>
    <s v="uuid:5147653b-4c53-4200-820f-39d998ceb28f/secG-G5"/>
    <n v="-4.2835335731506348"/>
    <n v="35.856357574462891"/>
    <n v="1295.300048828125"/>
    <n v="5"/>
    <n v="1706031849"/>
    <s v="uuid:5147653b-4c53-4200-820f-39d998ceb28f"/>
    <d v="2017-07-24T08:38:34"/>
    <d v="2017-07-08T15:54:52"/>
    <d v="2017-07-08T16:19:05"/>
    <d v="2017-02-20T00:00:00"/>
    <m/>
    <n v="5.3434733893557427"/>
    <n v="5.1733893557422981"/>
    <n v="4.9301851851851861"/>
    <n v="4.9521296296296304"/>
    <m/>
    <n v="1"/>
    <m/>
    <s v="Plains"/>
    <n v="1.72651553154"/>
    <s v="Very gentle"/>
    <s v="Flat"/>
    <n v="8.4776775111099995E-6"/>
    <n v="10.6290960312"/>
    <n v="433.96489105138988"/>
    <m/>
    <n v="1.472"/>
    <m/>
    <m/>
    <n v="4.9411574074074078"/>
    <n v="5.2584313725490208"/>
    <n v="0.31727396514161299"/>
    <n v="2257.3055999999997"/>
    <n v="0"/>
    <n v="0"/>
    <n v="2257.3055999999997"/>
    <n v="63.699999999999996"/>
    <n v="2193.6055999999999"/>
  </r>
  <r>
    <s v="Inot Songoyani"/>
    <n v="192"/>
    <s v="Rajabu Hayma Hiiti"/>
    <s v="Rajabu Hayma Hiiti"/>
    <s v="ENDANOGA"/>
    <s v="Endanoga"/>
    <n v="0.5"/>
    <s v="outfield"/>
    <s v="Feed livestock"/>
    <s v="OffField feed"/>
    <n v="0"/>
    <m/>
    <m/>
    <s v=""/>
    <m/>
    <n v="1"/>
    <s v="Every year"/>
    <n v="4"/>
    <s v="Variable"/>
    <s v="Other fields in my home village"/>
    <m/>
    <s v="My 'home field' away from here"/>
    <m/>
    <n v="6000"/>
    <s v=""/>
    <x v="0"/>
    <s v="Own animals"/>
    <n v="1"/>
    <s v="Last year"/>
    <n v="1"/>
    <s v=""/>
    <s v="Free"/>
    <s v="Yes"/>
    <s v="No"/>
    <s v=""/>
    <n v="0"/>
    <s v=""/>
    <m/>
    <m/>
    <s v=""/>
    <s v=""/>
    <n v="1"/>
    <n v="1"/>
    <s v="11"/>
    <x v="2"/>
    <n v="1"/>
    <s v="Yes"/>
    <n v="0.25"/>
    <s v="Yes"/>
    <n v="1"/>
    <n v="6"/>
    <s v="No"/>
    <s v=""/>
    <m/>
    <n v="6.25"/>
    <n v="6.25"/>
    <s v="Yes"/>
    <s v="No"/>
    <s v="Yes"/>
    <s v="No"/>
    <s v="No"/>
    <s v="No"/>
    <n v="5"/>
    <s v="Both"/>
    <m/>
    <s v=""/>
    <n v="2"/>
    <s v="Both"/>
    <m/>
    <s v=""/>
    <m/>
    <s v=""/>
    <m/>
    <n v="5.0199999999999996"/>
    <s v="Low"/>
    <n v="1"/>
    <n v="1"/>
    <n v="4"/>
    <n v="6"/>
    <n v="0"/>
    <n v="0"/>
    <n v="0"/>
    <s v=""/>
    <n v="93.75"/>
    <s v="High"/>
    <n v="98.77"/>
    <s v="No"/>
    <s v=""/>
    <s v="Yes"/>
    <s v="Casual"/>
    <n v="0.25"/>
    <m/>
    <n v="0.75"/>
    <s v="Yes"/>
    <n v="1"/>
    <n v="8"/>
    <s v="Bags"/>
    <n v="1.92"/>
    <m/>
    <n v="999"/>
    <s v="Bags"/>
    <m/>
    <n v="1"/>
    <n v="2"/>
    <s v="Bags"/>
    <n v="0.48"/>
    <x v="0"/>
    <s v="Yes"/>
    <s v="No"/>
    <s v="No"/>
    <s v="No"/>
    <n v="1"/>
    <n v="2"/>
    <s v="uuid:c0f99ac1-ac09-4fee-8a66-c1cf1d5dec53/secG-G2"/>
    <s v="uuid:c0f99ac1-ac09-4fee-8a66-c1cf1d5dec53/secG-G5"/>
    <n v="-4.2807283401489258"/>
    <n v="35.866661071777344"/>
    <n v="1283.0999755859375"/>
    <n v="5"/>
    <n v="1706031849"/>
    <s v="uuid:c0f99ac1-ac09-4fee-8a66-c1cf1d5dec53"/>
    <d v="2017-07-24T08:38:32"/>
    <d v="2017-07-08T14:33:28"/>
    <d v="2017-07-08T14:44:23"/>
    <d v="2017-02-24T00:00:00"/>
    <m/>
    <n v="2.2995169082125604"/>
    <n v="3.761352657004831"/>
    <n v="2.541052631578947"/>
    <n v="2.5576608187134502"/>
    <m/>
    <n v="1"/>
    <m/>
    <s v="Plains"/>
    <n v="1.2451889514900001"/>
    <s v="Very gentle"/>
    <s v="Toeslope"/>
    <n v="-0.725126743317"/>
    <n v="12.6087989807"/>
    <n v="41.198754806502066"/>
    <n v="1172.4894044438436"/>
    <n v="0.70099999999999996"/>
    <n v="1.585"/>
    <n v="-0.88400000000000001"/>
    <n v="2.5493567251461986"/>
    <n v="3.0304347826086957"/>
    <n v="0.4810780574624971"/>
    <n v="675.83999999999992"/>
    <n v="327.36"/>
    <n v="0"/>
    <n v="1003.1999999999999"/>
    <n v="63.699999999999996"/>
    <n v="939.49999999999989"/>
  </r>
  <r>
    <s v="Michael"/>
    <n v="44"/>
    <s v="Paulo Gambre"/>
    <s v="Paulo Gobre"/>
    <s v="Sangara"/>
    <s v="Samatsi"/>
    <n v="0"/>
    <s v="Homefield"/>
    <s v="Feed livestock"/>
    <s v="InField feed"/>
    <n v="0"/>
    <m/>
    <m/>
    <s v=""/>
    <m/>
    <n v="1"/>
    <s v="Last year"/>
    <n v="9"/>
    <n v="0.80000001192092896"/>
    <s v="Other fields in my home village"/>
    <m/>
    <s v="This field"/>
    <m/>
    <n v="8000"/>
    <s v=""/>
    <x v="0"/>
    <s v="Own animals"/>
    <n v="1"/>
    <s v="Last year"/>
    <n v="6"/>
    <s v=""/>
    <s v="Labour"/>
    <s v="Yes"/>
    <s v="No"/>
    <m/>
    <n v="0"/>
    <s v=""/>
    <m/>
    <m/>
    <s v=""/>
    <s v=""/>
    <n v="1"/>
    <n v="1"/>
    <s v="11"/>
    <x v="2"/>
    <n v="1"/>
    <s v="Yes"/>
    <n v="6.25"/>
    <s v="No"/>
    <m/>
    <m/>
    <s v="No"/>
    <s v=""/>
    <m/>
    <n v="6.25"/>
    <n v="6.25"/>
    <s v="Yes"/>
    <s v="Yes"/>
    <s v="Yes"/>
    <s v="Yes"/>
    <s v="No"/>
    <s v="No"/>
    <n v="15"/>
    <s v="Free range"/>
    <n v="10"/>
    <s v="Free range"/>
    <n v="8"/>
    <s v="Free range"/>
    <n v="3"/>
    <s v="Free range"/>
    <m/>
    <s v=""/>
    <m/>
    <n v="16.38"/>
    <s v="High"/>
    <n v="7"/>
    <n v="1"/>
    <n v="4"/>
    <n v="12"/>
    <n v="0"/>
    <n v="0"/>
    <n v="1"/>
    <m/>
    <n v="94.05"/>
    <s v="High"/>
    <n v="110.43"/>
    <s v="Yes"/>
    <s v="Carte"/>
    <s v="No"/>
    <s v=""/>
    <n v="0.25"/>
    <n v="5.75"/>
    <n v="0"/>
    <s v="Yes"/>
    <n v="1"/>
    <n v="10"/>
    <s v="Bags"/>
    <n v="2.4"/>
    <n v="1"/>
    <n v="2"/>
    <s v="Bags"/>
    <n v="0.48"/>
    <n v="1"/>
    <n v="2"/>
    <s v="Bags"/>
    <n v="0.48"/>
    <x v="0"/>
    <s v="Yes"/>
    <s v="No"/>
    <s v="Yes"/>
    <s v="No"/>
    <n v="2"/>
    <n v="4"/>
    <s v="uuid:5134cd69-44b5-4774-afc8-bd9592d961a8/secG-G2"/>
    <s v="uuid:5134cd69-44b5-4774-afc8-bd9592d961a8/secG-G5"/>
    <n v="-4.2797799110412598"/>
    <n v="35.636280059814453"/>
    <n v="1398.800048828125"/>
    <n v="15"/>
    <n v="1705231439"/>
    <s v="uuid:5134cd69-44b5-4774-afc8-bd9592d961a8"/>
    <d v="2017-06-22T07:01:28"/>
    <d v="2017-06-14T09:47:07"/>
    <d v="2017-06-22T06:57:55"/>
    <d v="2017-01-10T00:00:00"/>
    <m/>
    <n v="5.3059349593495941"/>
    <n v="5.1386991869918708"/>
    <n v="2.7438596491228071"/>
    <n v="1.312280701754386"/>
    <m/>
    <n v="1"/>
    <m/>
    <s v="Valleys"/>
    <n v="2.8563883304600002"/>
    <s v="Gentle"/>
    <s v="Toeslope"/>
    <n v="-0.99705243110700004"/>
    <n v="9.1790475845300001"/>
    <n v="373.24433925571651"/>
    <n v="189.4163663733074"/>
    <n v="1.111"/>
    <n v="0.95799999999999996"/>
    <n v="0.15300000000000002"/>
    <n v="2.0280701754385966"/>
    <n v="5.222317073170732"/>
    <n v="3.1942468977321354"/>
    <n v="844.8"/>
    <n v="327.36"/>
    <n v="381.59999999999997"/>
    <n v="1553.7599999999998"/>
    <n v="63.699999999999996"/>
    <n v="1490.0599999999997"/>
  </r>
  <r>
    <s v="Evaline K Kaaya"/>
    <n v="250"/>
    <s v="Dasere Qambalali Kwenga"/>
    <s v="Dasere Qambalali"/>
    <s v="ENDANOGA"/>
    <s v="Endanoga"/>
    <n v="0"/>
    <s v="Homefield"/>
    <s v="Feed livestock"/>
    <s v="OffField feed"/>
    <n v="0"/>
    <m/>
    <m/>
    <s v=""/>
    <m/>
    <n v="1"/>
    <s v="4 years ago"/>
    <n v="5"/>
    <n v="2"/>
    <s v="Other fields in my home village"/>
    <m/>
    <s v="This field"/>
    <m/>
    <n v="5000"/>
    <s v=""/>
    <x v="0"/>
    <s v="Own animals and purchase"/>
    <n v="1"/>
    <s v="4 years ago"/>
    <n v="9"/>
    <s v=""/>
    <s v="Crop residues"/>
    <s v="Yes"/>
    <s v="No"/>
    <s v=""/>
    <n v="0"/>
    <s v=""/>
    <m/>
    <m/>
    <s v=""/>
    <s v=""/>
    <n v="1"/>
    <n v="1"/>
    <s v="11"/>
    <x v="2"/>
    <n v="1"/>
    <s v="Yes"/>
    <n v="1"/>
    <s v="Yes"/>
    <n v="3"/>
    <n v="23"/>
    <s v="Yes"/>
    <s v="Rent"/>
    <n v="22"/>
    <n v="24"/>
    <n v="46"/>
    <s v="Yes"/>
    <s v="Yes"/>
    <s v="Yes"/>
    <s v="No"/>
    <s v="No"/>
    <s v="No"/>
    <n v="18"/>
    <s v="Free range"/>
    <n v="20"/>
    <s v="Free range"/>
    <n v="20"/>
    <s v="Zero grazing"/>
    <m/>
    <s v=""/>
    <m/>
    <s v=""/>
    <m/>
    <n v="20.2"/>
    <s v="High"/>
    <n v="7"/>
    <n v="5"/>
    <n v="2"/>
    <n v="14"/>
    <n v="0"/>
    <n v="1"/>
    <n v="2"/>
    <s v=""/>
    <n v="361.4"/>
    <s v="High"/>
    <n v="381.6"/>
    <s v="Yes"/>
    <s v="Karate"/>
    <s v="Yes"/>
    <s v="Casual"/>
    <n v="1.25"/>
    <n v="3"/>
    <n v="42"/>
    <s v="Yes"/>
    <n v="18"/>
    <n v="163"/>
    <s v="Bags"/>
    <n v="2.1733333333333333"/>
    <n v="2"/>
    <n v="1"/>
    <s v="Bags"/>
    <n v="0.12"/>
    <n v="18"/>
    <n v="62"/>
    <s v="Bags"/>
    <n v="0.82666666666666666"/>
    <x v="1"/>
    <s v="Yes"/>
    <s v="Yes"/>
    <s v="Yes"/>
    <s v="Yes"/>
    <n v="5"/>
    <n v="4"/>
    <s v="uuid:5ad77de6-c270-4bc4-a18f-e074067645e2/secG-G2"/>
    <s v="uuid:5ad77de6-c270-4bc4-a18f-e074067645e2/secG-G5"/>
    <n v="-4.2733011245727539"/>
    <n v="35.857265472412109"/>
    <n v="1324"/>
    <n v="5"/>
    <n v="1706031849"/>
    <s v="uuid:5ad77de6-c270-4bc4-a18f-e074067645e2"/>
    <d v="2017-08-31T14:11:34"/>
    <d v="2017-06-09T16:12:58"/>
    <d v="2017-08-31T14:09:16"/>
    <d v="2017-02-22T00:00:00"/>
    <m/>
    <n v="7.2268326417704021"/>
    <n v="5.4835177501152614"/>
    <n v="5.0080682342093139"/>
    <n v="4.2156523743660683"/>
    <m/>
    <n v="1"/>
    <m/>
    <s v="Plains"/>
    <n v="1.69868314266"/>
    <s v="Very gentle"/>
    <s v="Flat"/>
    <n v="0.45321798324599999"/>
    <n v="11.231022834799999"/>
    <n v="212.51342587661244"/>
    <n v="27.706765414020868"/>
    <n v="0.86199999999999999"/>
    <n v="0.78100000000000003"/>
    <n v="8.0999999999999961E-2"/>
    <n v="4.6118603042876911"/>
    <n v="6.3551751959428318"/>
    <n v="1.7433148916551406"/>
    <n v="765.01333333333332"/>
    <n v="563.78666666666663"/>
    <n v="95.399999999999991"/>
    <n v="1424.2"/>
    <n v="63.699999999999996"/>
    <n v="1360.5"/>
  </r>
  <r>
    <s v="Inot Songoyani"/>
    <n v="155"/>
    <s v="Gabriel Yaro"/>
    <s v="Gabriel Yaro"/>
    <s v="HALLU"/>
    <s v="Hallu"/>
    <n v="2"/>
    <s v="outfield"/>
    <s v="Feed livestock"/>
    <s v="InField feed"/>
    <n v="1"/>
    <n v="15"/>
    <m/>
    <s v="Exchange_Harvesting"/>
    <s v="Variable"/>
    <n v="1"/>
    <s v="Every year"/>
    <n v="5"/>
    <s v="Variable"/>
    <s v="Other fields in my home village"/>
    <m/>
    <s v="My 'home field' away from here"/>
    <m/>
    <m/>
    <s v="Free"/>
    <x v="1"/>
    <s v=""/>
    <n v="0"/>
    <s v=""/>
    <m/>
    <s v=""/>
    <s v=""/>
    <s v="No"/>
    <s v="No"/>
    <s v=""/>
    <n v="0"/>
    <s v=""/>
    <m/>
    <m/>
    <s v=""/>
    <s v=""/>
    <n v="1"/>
    <n v="1"/>
    <s v="11"/>
    <x v="2"/>
    <n v="1"/>
    <s v="Yes"/>
    <n v="0.25"/>
    <s v="Yes"/>
    <n v="1"/>
    <n v="3"/>
    <s v="Yes"/>
    <s v="Rent"/>
    <n v="1"/>
    <n v="3.25"/>
    <n v="4.25"/>
    <s v="Yes"/>
    <s v="No"/>
    <s v="No"/>
    <s v="No"/>
    <s v="No"/>
    <s v="No"/>
    <n v="3"/>
    <s v="Free range"/>
    <m/>
    <s v=""/>
    <m/>
    <s v=""/>
    <m/>
    <s v=""/>
    <m/>
    <s v=""/>
    <m/>
    <n v="3"/>
    <s v="Low"/>
    <n v="2"/>
    <n v="1"/>
    <n v="4"/>
    <n v="7"/>
    <n v="0"/>
    <n v="0"/>
    <n v="0"/>
    <s v=""/>
    <n v="48.75"/>
    <s v="Medium"/>
    <n v="51.75"/>
    <s v="No"/>
    <s v=""/>
    <s v="Yes"/>
    <s v="Casual"/>
    <n v="0.25"/>
    <n v="2.75"/>
    <m/>
    <s v="Yes"/>
    <n v="3"/>
    <n v="28"/>
    <s v="Bags"/>
    <n v="2.2400000000000002"/>
    <m/>
    <n v="999"/>
    <s v="Bags"/>
    <m/>
    <n v="3"/>
    <n v="6"/>
    <s v="Bags"/>
    <n v="0.48"/>
    <x v="0"/>
    <s v="No"/>
    <s v="No"/>
    <s v="No"/>
    <s v="No"/>
    <n v="0"/>
    <n v="3"/>
    <s v="uuid:2665a1cc-a43b-4e5c-af19-3541dfeb140d/secG-G2"/>
    <s v="uuid:2665a1cc-a43b-4e5c-af19-3541dfeb140d/secG-G5"/>
    <n v="-4.266695499420166"/>
    <n v="35.880573272705078"/>
    <n v="1252.199951171875"/>
    <n v="5"/>
    <n v="1706031849"/>
    <s v="uuid:2665a1cc-a43b-4e5c-af19-3541dfeb140d"/>
    <d v="2017-07-05T10:22:34"/>
    <d v="2017-06-27T11:12:50"/>
    <d v="2017-06-27T11:30:33"/>
    <d v="2017-02-10T00:00:00"/>
    <m/>
    <n v="4.9187613843351556"/>
    <n v="5.0910746812386156"/>
    <n v="1.828125"/>
    <n v="1.640625"/>
    <m/>
    <n v="1"/>
    <m/>
    <s v="Plains"/>
    <n v="1.0361100435299999"/>
    <s v="Very gentle"/>
    <s v="Flat"/>
    <n v="8.4776775111099995E-6"/>
    <n v="10.2860393524"/>
    <n v="160.95575771923316"/>
    <n v="215.29434204741466"/>
    <n v="1.4670000000000001"/>
    <n v="1.0049999999999999"/>
    <n v="0.46200000000000019"/>
    <n v="1.734375"/>
    <n v="5.0049180327868861"/>
    <n v="3.2705430327868861"/>
    <n v="788.48"/>
    <n v="327.36"/>
    <n v="0"/>
    <n v="1115.8400000000001"/>
    <n v="0"/>
    <n v="1115.8400000000001"/>
  </r>
  <r>
    <s v="Michael"/>
    <n v="29"/>
    <s v="Linus naghali"/>
    <s v="Linus Naghali"/>
    <s v="Sangara"/>
    <s v="Samatsi"/>
    <n v="0.20000000298023224"/>
    <s v="Midfield"/>
    <s v="Feed livestock"/>
    <s v="InField feed"/>
    <n v="1"/>
    <n v="2"/>
    <m/>
    <s v="Exchange_Labour"/>
    <n v="0.30000001192092896"/>
    <n v="1"/>
    <s v="This season"/>
    <n v="6"/>
    <n v="0.20000000298023224"/>
    <s v="Other fields in my home village"/>
    <m/>
    <s v="My 'home field' away from here"/>
    <m/>
    <m/>
    <s v="Labour"/>
    <x v="0"/>
    <s v="Own animals"/>
    <n v="0"/>
    <s v=""/>
    <m/>
    <s v=""/>
    <s v=""/>
    <s v="Yes"/>
    <s v="No"/>
    <m/>
    <n v="0"/>
    <s v=""/>
    <m/>
    <m/>
    <s v=""/>
    <s v=""/>
    <n v="1"/>
    <n v="1"/>
    <s v="11"/>
    <x v="2"/>
    <n v="1"/>
    <s v="Yes"/>
    <n v="3.5"/>
    <s v="Yes"/>
    <n v="3"/>
    <n v="30"/>
    <s v="No"/>
    <s v=""/>
    <m/>
    <n v="33.5"/>
    <n v="33.5"/>
    <s v="Yes"/>
    <s v="Yes"/>
    <s v="Yes"/>
    <s v="Yes"/>
    <s v="No"/>
    <s v="No"/>
    <n v="15"/>
    <s v="Both"/>
    <n v="23"/>
    <s v="Free range"/>
    <n v="16"/>
    <s v="Free range"/>
    <n v="4"/>
    <s v="Free range"/>
    <m/>
    <s v=""/>
    <m/>
    <n v="17.86"/>
    <s v="High"/>
    <n v="5"/>
    <n v="3"/>
    <n v="1"/>
    <n v="9"/>
    <n v="0"/>
    <n v="1"/>
    <n v="2"/>
    <m/>
    <n v="503.9"/>
    <s v="High"/>
    <n v="521.76"/>
    <s v="Yes"/>
    <s v="Carte"/>
    <s v="Yes"/>
    <s v="Multiple"/>
    <n v="0.75"/>
    <n v="32.25"/>
    <n v="0"/>
    <s v="No"/>
    <n v="1"/>
    <n v="8"/>
    <s v="Bags"/>
    <n v="1.92"/>
    <m/>
    <n v="999"/>
    <s v="Bags"/>
    <m/>
    <m/>
    <n v="999"/>
    <s v="Bags"/>
    <m/>
    <x v="0"/>
    <s v="Yes"/>
    <s v="No"/>
    <s v="No"/>
    <s v="No"/>
    <n v="1"/>
    <n v="4"/>
    <s v="uuid:8c05e1ea-e44b-4e80-8971-7ccadbb8b818/secG-G2"/>
    <s v="uuid:8c05e1ea-e44b-4e80-8971-7ccadbb8b818/secG-G5"/>
    <n v="-4.2877449989318848"/>
    <n v="35.635135650634766"/>
    <n v="1411.800048828125"/>
    <n v="15"/>
    <n v="1705231439"/>
    <s v="uuid:8c05e1ea-e44b-4e80-8971-7ccadbb8b818"/>
    <d v="2017-06-22T07:01:19"/>
    <d v="2017-06-12T11:13:18"/>
    <d v="2017-06-22T06:54:59"/>
    <d v="2017-01-17T00:00:00"/>
    <m/>
    <n v="7.7096938775510209"/>
    <n v="7.4191836734693899"/>
    <n v="5.9511111111111124"/>
    <n v="3.7112698412698415"/>
    <m/>
    <n v="1"/>
    <m/>
    <s v="Plains"/>
    <n v="2.3029155731199999"/>
    <s v="Gentle"/>
    <s v="Flat"/>
    <n v="-0.362559139729"/>
    <n v="12.200060844399999"/>
    <n v="246.67458230236457"/>
    <m/>
    <n v="1.321"/>
    <m/>
    <m/>
    <n v="4.8311904761904767"/>
    <n v="7.5644387755102054"/>
    <n v="2.7332482993197287"/>
    <n v="675.83999999999992"/>
    <n v="0"/>
    <n v="0"/>
    <n v="675.83999999999992"/>
    <n v="63.699999999999996"/>
    <n v="612.13999999999987"/>
  </r>
  <r>
    <s v="Michael"/>
    <n v="37"/>
    <s v="Priscah Hamisi"/>
    <s v="Priscah Hamisi"/>
    <e v="#N/A"/>
    <s v="Samatsi"/>
    <n v="0"/>
    <s v="Homefield"/>
    <s v="Feed livestock"/>
    <s v="OffField feed"/>
    <n v="1"/>
    <n v="0.5"/>
    <m/>
    <s v="Free"/>
    <n v="0.69999998807907104"/>
    <n v="1"/>
    <s v="This season"/>
    <n v="1"/>
    <n v="0.20000000298023224"/>
    <s v="Other fields in my home village"/>
    <m/>
    <s v="This field"/>
    <m/>
    <m/>
    <s v="Free"/>
    <x v="0"/>
    <s v="Own animals"/>
    <n v="0"/>
    <s v=""/>
    <m/>
    <s v=""/>
    <s v=""/>
    <s v="Yes"/>
    <s v="No"/>
    <m/>
    <n v="0"/>
    <s v=""/>
    <m/>
    <m/>
    <s v=""/>
    <s v=""/>
    <n v="1"/>
    <n v="1"/>
    <s v="11"/>
    <x v="2"/>
    <n v="1"/>
    <s v="Yes"/>
    <n v="2"/>
    <s v="Yes"/>
    <n v="2"/>
    <n v="7.5"/>
    <s v="No"/>
    <s v=""/>
    <m/>
    <n v="9.5"/>
    <n v="9.5"/>
    <s v="Yes"/>
    <s v="Yes"/>
    <s v="Yes"/>
    <s v="No"/>
    <s v="Yes"/>
    <s v="No"/>
    <n v="22"/>
    <s v="Both"/>
    <n v="3"/>
    <s v="Free range"/>
    <n v="6"/>
    <s v="Free range"/>
    <m/>
    <s v=""/>
    <n v="11"/>
    <s v="Zero grazing"/>
    <m/>
    <n v="25.66"/>
    <s v="High"/>
    <n v="3"/>
    <n v="1"/>
    <n v="2"/>
    <n v="6"/>
    <n v="0"/>
    <n v="0"/>
    <n v="3"/>
    <m/>
    <n v="143.4"/>
    <s v="High"/>
    <n v="169.06"/>
    <s v="Yes"/>
    <s v="Kung fu, Carte,"/>
    <s v="Yes"/>
    <s v="Multiple"/>
    <n v="1.25"/>
    <n v="6"/>
    <n v="0"/>
    <s v="No"/>
    <n v="1"/>
    <n v="12"/>
    <s v="Bags"/>
    <n v="2.8800000000000003"/>
    <n v="1"/>
    <n v="3"/>
    <s v="Bags"/>
    <n v="0.72"/>
    <n v="1"/>
    <n v="8"/>
    <s v="Bags"/>
    <n v="1.92"/>
    <x v="1"/>
    <s v="No"/>
    <s v="Yes"/>
    <s v="No"/>
    <s v="Yes"/>
    <n v="3"/>
    <n v="5"/>
    <s v="uuid:020c3d34-39b4-4bd1-aaf3-cc5af918ca16/secG-G2"/>
    <s v="uuid:020c3d34-39b4-4bd1-aaf3-cc5af918ca16/secG-G5"/>
    <n v="-4.3000764846801758"/>
    <n v="35.629844665527344"/>
    <n v="1417.699951171875"/>
    <n v="15"/>
    <n v="1705231439"/>
    <s v="uuid:020c3d34-39b4-4bd1-aaf3-cc5af918ca16"/>
    <d v="2017-06-22T07:01:25"/>
    <d v="2017-06-13T11:03:28"/>
    <d v="2017-06-22T06:56:42"/>
    <d v="2017-03-13T00:00:00"/>
    <m/>
    <m/>
    <m/>
    <m/>
    <m/>
    <m/>
    <n v="1"/>
    <m/>
    <s v="Valleys"/>
    <n v="4.0973973274200004"/>
    <s v="Gentle"/>
    <s v="Toeslope"/>
    <n v="-0.90641051530799999"/>
    <n v="9.8035144805899996"/>
    <m/>
    <m/>
    <m/>
    <m/>
    <m/>
    <m/>
    <m/>
    <m/>
    <n v="1013.7600000000001"/>
    <n v="1309.44"/>
    <n v="572.4"/>
    <n v="2895.6000000000004"/>
    <n v="63.699999999999996"/>
    <n v="2831.9000000000005"/>
  </r>
  <r>
    <s v="Inot Songoyani"/>
    <n v="138"/>
    <s v="Nada Slaa Mando"/>
    <s v="Nada Slaa Mando"/>
    <s v="AYAMANGO"/>
    <s v="Ayamango"/>
    <n v="0"/>
    <s v="Homefield"/>
    <s v="Feed livestock"/>
    <s v="OffField feed"/>
    <n v="0"/>
    <m/>
    <m/>
    <s v=""/>
    <m/>
    <n v="0"/>
    <s v=""/>
    <m/>
    <m/>
    <s v=""/>
    <m/>
    <s v=""/>
    <m/>
    <m/>
    <s v=""/>
    <x v="0"/>
    <s v="Purchase"/>
    <n v="1"/>
    <s v="Last year"/>
    <n v="4"/>
    <s v=""/>
    <s v="Transport"/>
    <s v="No"/>
    <s v="No"/>
    <s v=""/>
    <n v="1"/>
    <n v="4"/>
    <n v="1"/>
    <n v="5"/>
    <s v=""/>
    <s v="Free"/>
    <n v="1"/>
    <n v="1"/>
    <s v="11"/>
    <x v="2"/>
    <n v="1"/>
    <s v="Yes"/>
    <n v="2"/>
    <s v="Yes"/>
    <n v="2"/>
    <n v="3"/>
    <s v="Yes"/>
    <s v="Rent"/>
    <n v="1"/>
    <n v="5"/>
    <n v="6"/>
    <s v="Yes"/>
    <s v="Yes"/>
    <s v="Yes"/>
    <s v="Yes"/>
    <s v="No"/>
    <s v="No"/>
    <n v="6"/>
    <s v="Both"/>
    <n v="3"/>
    <s v="Both"/>
    <n v="3"/>
    <s v="Both"/>
    <n v="3"/>
    <s v="Both"/>
    <m/>
    <s v=""/>
    <m/>
    <n v="6.63"/>
    <s v="Medium"/>
    <n v="4"/>
    <n v="1"/>
    <n v="4"/>
    <n v="9"/>
    <n v="0"/>
    <n v="0"/>
    <n v="1"/>
    <s v=""/>
    <n v="75.3"/>
    <s v="High"/>
    <n v="81.93"/>
    <s v="No"/>
    <s v=""/>
    <s v="Yes"/>
    <s v="Colaboration"/>
    <n v="0.25"/>
    <n v="1.25"/>
    <m/>
    <s v="Yes"/>
    <n v="2"/>
    <n v="20"/>
    <s v="Bags"/>
    <n v="2.4"/>
    <m/>
    <n v="999"/>
    <s v="Bags"/>
    <m/>
    <n v="2"/>
    <n v="3"/>
    <s v="Bags"/>
    <n v="0.36"/>
    <x v="0"/>
    <s v="No"/>
    <s v="Yes"/>
    <s v="No"/>
    <s v="No"/>
    <n v="1"/>
    <n v="4"/>
    <s v="uuid:9a3885e1-dd5d-4c16-89c3-8e4ebd944ca4/secG-G2"/>
    <s v="uuid:9a3885e1-dd5d-4c16-89c3-8e4ebd944ca4/secG-G5"/>
    <n v="-4.2297592163085938"/>
    <n v="35.877033233642578"/>
    <n v="1274.0999755859375"/>
    <n v="5"/>
    <n v="1706031849"/>
    <s v="uuid:9a3885e1-dd5d-4c16-89c3-8e4ebd944ca4"/>
    <d v="2017-06-22T11:03:08"/>
    <d v="2017-06-21T11:08:45"/>
    <d v="2017-06-22T11:02:03"/>
    <d v="2017-02-02T00:00:00"/>
    <m/>
    <n v="5.5541520467836261"/>
    <n v="5.4690058479532153"/>
    <n v="7.5812882447665064"/>
    <n v="9.5405797101449288"/>
    <m/>
    <s v="FALSEE"/>
    <m/>
    <s v="Plains"/>
    <n v="2.5200860500300002"/>
    <s v="Gentle"/>
    <s v="Flat"/>
    <n v="8.4776775111099995E-6"/>
    <n v="9.1653385162400003"/>
    <n v="444.83467367713882"/>
    <n v="295.37516257308982"/>
    <n v="1.7689999999999999"/>
    <n v="1.345"/>
    <n v="0.42399999999999993"/>
    <n v="8.5609339774557185"/>
    <n v="5.5115789473684202"/>
    <n v="-3.0493550300872982"/>
    <n v="844.8"/>
    <n v="245.51999999999998"/>
    <n v="0"/>
    <n v="1090.32"/>
    <n v="63.699999999999996"/>
    <n v="1026.6199999999999"/>
  </r>
  <r>
    <s v="Inot"/>
    <n v="94"/>
    <s v="ABDI Ally Labu"/>
    <s v="Abdi Ally Labu"/>
    <s v="ORNGADIDA"/>
    <s v="Orngadida"/>
    <n v="0"/>
    <s v="Homefield"/>
    <s v="Feed livestock"/>
    <s v="OffField feed"/>
    <n v="1"/>
    <n v="1"/>
    <m/>
    <s v="Free"/>
    <n v="0.10000000149011612"/>
    <n v="0"/>
    <s v=""/>
    <m/>
    <s v="Variable"/>
    <s v="Other fields in my home village"/>
    <m/>
    <s v="This field"/>
    <m/>
    <m/>
    <s v=""/>
    <x v="1"/>
    <s v=""/>
    <n v="0"/>
    <s v=""/>
    <m/>
    <s v=""/>
    <s v=""/>
    <s v="No"/>
    <s v="No"/>
    <m/>
    <n v="0"/>
    <s v=""/>
    <m/>
    <m/>
    <s v=""/>
    <s v=""/>
    <n v="0"/>
    <n v="1"/>
    <s v="01"/>
    <x v="1"/>
    <n v="0"/>
    <s v="Yes"/>
    <n v="0.34999999403953552"/>
    <s v="No"/>
    <m/>
    <m/>
    <s v="Yes"/>
    <s v="Rent"/>
    <n v="1"/>
    <n v="0.34999999403953552"/>
    <n v="1.3499999940395355"/>
    <s v="No"/>
    <s v="No"/>
    <s v="No"/>
    <s v="No"/>
    <s v="No"/>
    <s v="No"/>
    <m/>
    <s v=""/>
    <m/>
    <s v=""/>
    <m/>
    <s v=""/>
    <m/>
    <s v=""/>
    <m/>
    <s v=""/>
    <m/>
    <n v="0"/>
    <s v="very low"/>
    <n v="1"/>
    <n v="1"/>
    <n v="1"/>
    <n v="3"/>
    <n v="0"/>
    <n v="0"/>
    <n v="0"/>
    <m/>
    <n v="5.2499999105930328"/>
    <s v="Low"/>
    <n v="5.2499999105930328"/>
    <s v="No"/>
    <s v=""/>
    <s v="No"/>
    <s v=""/>
    <n v="0.20000000298023224"/>
    <m/>
    <n v="1"/>
    <s v="No"/>
    <n v="1"/>
    <n v="0.75"/>
    <s v="Bags"/>
    <n v="0.18000000000000002"/>
    <m/>
    <n v="999"/>
    <s v="Bags"/>
    <m/>
    <n v="1"/>
    <n v="5.000000074505806E-2"/>
    <s v="Bags"/>
    <n v="1.2000000178813934E-2"/>
    <x v="0"/>
    <s v="No"/>
    <s v="No"/>
    <s v="No"/>
    <s v="No"/>
    <n v="0"/>
    <n v="3"/>
    <s v="uuid:651b2bfc-cc4f-4c2b-9c04-3274e1788f7e/secG-G2"/>
    <s v="uuid:651b2bfc-cc4f-4c2b-9c04-3274e1788f7e/secG-G5"/>
    <n v="-4.306312084197998"/>
    <n v="35.864559173583984"/>
    <n v="1244.800048828125"/>
    <n v="5"/>
    <n v="1705231439"/>
    <s v="uuid:651b2bfc-cc4f-4c2b-9c04-3274e1788f7e"/>
    <d v="2017-07-11T08:19:39"/>
    <d v="2017-06-02T15:37:54"/>
    <d v="2017-07-11T08:19:29"/>
    <d v="2017-02-05T00:00:00"/>
    <m/>
    <n v="3.6067538126361653"/>
    <n v="3.464161220043573"/>
    <n v="0.92849462365591406"/>
    <n v="0.84408602150537637"/>
    <m/>
    <n v="1"/>
    <m/>
    <s v="Plains"/>
    <n v="1.4196667671200001"/>
    <s v="Very gentle"/>
    <s v="Flat"/>
    <n v="-0.27191722393000001"/>
    <n v="10.268507957500001"/>
    <n v="300.32915318476392"/>
    <m/>
    <n v="1.3720000000000001"/>
    <m/>
    <m/>
    <n v="0.88629032258064522"/>
    <n v="3.5354575163398692"/>
    <n v="2.649167193759224"/>
    <n v="63.360000000000007"/>
    <n v="8.1840001219511027"/>
    <n v="0"/>
    <n v="71.544000121951115"/>
    <n v="0"/>
    <n v="71.544000121951115"/>
  </r>
  <r>
    <s v="Inot Songoyani"/>
    <n v="161"/>
    <s v="Zainabu Sefu Hamisi"/>
    <s v="Zainabu Sefu Hamisi"/>
    <s v="DURU"/>
    <s v="Duru"/>
    <n v="0.5"/>
    <s v="outfield"/>
    <s v="Feed livestock"/>
    <s v="OffField feed"/>
    <n v="1"/>
    <n v="2"/>
    <n v="10000"/>
    <s v=""/>
    <s v="Variable"/>
    <n v="0"/>
    <s v=""/>
    <m/>
    <m/>
    <s v=""/>
    <m/>
    <s v=""/>
    <m/>
    <m/>
    <s v=""/>
    <x v="1"/>
    <s v=""/>
    <n v="0"/>
    <s v=""/>
    <m/>
    <s v=""/>
    <s v=""/>
    <s v="No"/>
    <s v="No"/>
    <s v=""/>
    <n v="0"/>
    <s v=""/>
    <m/>
    <m/>
    <s v=""/>
    <s v=""/>
    <n v="0"/>
    <n v="1"/>
    <s v="01"/>
    <x v="1"/>
    <n v="0"/>
    <s v="Yes"/>
    <n v="0.125"/>
    <s v="Yes"/>
    <n v="1"/>
    <n v="0.5"/>
    <s v="No"/>
    <s v=""/>
    <m/>
    <n v="0.625"/>
    <n v="0.625"/>
    <s v="No"/>
    <s v="No"/>
    <s v="No"/>
    <s v="No"/>
    <s v="No"/>
    <s v="No"/>
    <m/>
    <s v=""/>
    <m/>
    <s v=""/>
    <m/>
    <s v=""/>
    <m/>
    <s v=""/>
    <m/>
    <s v=""/>
    <m/>
    <n v="0"/>
    <s v="very low"/>
    <n v="1"/>
    <n v="1"/>
    <n v="2"/>
    <n v="4"/>
    <n v="0"/>
    <n v="0"/>
    <n v="0"/>
    <s v=""/>
    <n v="9.375"/>
    <s v="Low"/>
    <n v="9.375"/>
    <s v="No"/>
    <s v=""/>
    <s v="No"/>
    <s v=""/>
    <n v="0.25"/>
    <n v="0.25"/>
    <m/>
    <s v="Yes"/>
    <n v="0.5"/>
    <n v="2"/>
    <s v="Bags"/>
    <n v="0.96"/>
    <m/>
    <n v="999"/>
    <s v="Bags"/>
    <m/>
    <n v="0.5"/>
    <n v="2"/>
    <s v="Gorogoro"/>
    <n v="0.16031999999999999"/>
    <x v="0"/>
    <s v="No"/>
    <s v="No"/>
    <s v="No"/>
    <s v="No"/>
    <n v="0"/>
    <n v="2"/>
    <s v="uuid:a0a8e732-b881-4fa3-ac83-93fc546036aa/secG-G2"/>
    <s v="uuid:a0a8e732-b881-4fa3-ac83-93fc546036aa/secG-G5"/>
    <n v="-4.3182868957519531"/>
    <n v="35.600315093994141"/>
    <n v="1546.699951171875"/>
    <n v="5"/>
    <n v="1706031849"/>
    <s v="uuid:a0a8e732-b881-4fa3-ac83-93fc546036aa"/>
    <d v="2017-07-05T10:22:46"/>
    <d v="2017-07-03T10:38:28"/>
    <d v="2017-07-03T14:16:55"/>
    <d v="2017-01-04T00:00:00"/>
    <m/>
    <n v="5.9472000000000005"/>
    <n v="5.3424000000000005"/>
    <n v="3.7387270765911542"/>
    <n v="2.648543689320388"/>
    <m/>
    <n v="1"/>
    <m/>
    <s v="Valleys"/>
    <n v="3.8651583194699999"/>
    <s v="Gentle"/>
    <s v="Flat"/>
    <n v="-9.0633422136300004E-2"/>
    <n v="9.7114906311000002"/>
    <n v="116.37025262944309"/>
    <n v="19.753685968909835"/>
    <n v="0.627"/>
    <n v="0.436"/>
    <n v="0.191"/>
    <n v="3.1936353829557711"/>
    <n v="5.6448"/>
    <n v="2.4511646170442289"/>
    <n v="337.91999999999996"/>
    <n v="109.33824"/>
    <n v="0"/>
    <n v="447.25823999999994"/>
    <n v="0"/>
    <n v="447.25823999999994"/>
  </r>
  <r>
    <s v="Inot Songoyani"/>
    <n v="85"/>
    <s v="Hadija Tulway Ngaida"/>
    <s v="Hadija Tulway Ngaida"/>
    <e v="#N/A"/>
    <s v="Orngadida"/>
    <n v="0"/>
    <s v="Homefield"/>
    <s v="Use as fuelwood"/>
    <s v="OffField feed"/>
    <n v="1"/>
    <n v="1"/>
    <m/>
    <s v="Free"/>
    <n v="0"/>
    <n v="0"/>
    <s v=""/>
    <m/>
    <s v="Variable"/>
    <s v="Fields more than 3 km away from my village"/>
    <n v="999"/>
    <s v="Other, Specify"/>
    <n v="999"/>
    <m/>
    <s v=""/>
    <x v="1"/>
    <s v=""/>
    <n v="0"/>
    <s v=""/>
    <m/>
    <s v=""/>
    <s v=""/>
    <s v="No"/>
    <s v="No"/>
    <m/>
    <n v="0"/>
    <s v=""/>
    <m/>
    <m/>
    <s v=""/>
    <s v=""/>
    <n v="0"/>
    <n v="1"/>
    <s v="01"/>
    <x v="1"/>
    <n v="0"/>
    <s v="Yes"/>
    <n v="0.75"/>
    <s v="No"/>
    <m/>
    <m/>
    <s v="No"/>
    <s v=""/>
    <m/>
    <n v="0.75"/>
    <n v="0.75"/>
    <s v="No"/>
    <s v="No"/>
    <s v="No"/>
    <s v="No"/>
    <s v="No"/>
    <s v="No"/>
    <m/>
    <s v=""/>
    <m/>
    <s v=""/>
    <m/>
    <s v=""/>
    <m/>
    <s v=""/>
    <m/>
    <s v=""/>
    <m/>
    <n v="0"/>
    <s v="very low"/>
    <n v="1"/>
    <n v="1"/>
    <n v="5"/>
    <n v="7"/>
    <n v="0"/>
    <n v="0"/>
    <n v="0"/>
    <m/>
    <n v="11.25"/>
    <s v="Low"/>
    <n v="11.25"/>
    <s v="Yes"/>
    <s v="Karate,"/>
    <s v="No"/>
    <s v=""/>
    <n v="0.25"/>
    <m/>
    <n v="0.5"/>
    <s v="Yes"/>
    <n v="1"/>
    <n v="0.10000000149011612"/>
    <s v="Bags"/>
    <n v="2.4000000357627869E-2"/>
    <m/>
    <n v="999"/>
    <s v="Bags"/>
    <m/>
    <m/>
    <n v="999"/>
    <s v="Bags"/>
    <m/>
    <x v="0"/>
    <s v="No"/>
    <s v="No"/>
    <s v="No"/>
    <s v="No"/>
    <n v="0"/>
    <n v="2"/>
    <s v="uuid:77b2d571-bfb1-499f-845e-d8b8df93cf52/secG-G2"/>
    <s v="uuid:77b2d571-bfb1-499f-845e-d8b8df93cf52/secG-G5"/>
    <n v="-4.3088545799255371"/>
    <n v="35.864463806152344"/>
    <n v="1242.199951171875"/>
    <n v="5"/>
    <n v="1705231439"/>
    <s v="uuid:77b2d571-bfb1-499f-845e-d8b8df93cf52"/>
    <d v="2017-07-11T08:17:09"/>
    <d v="2017-06-02T14:57:31"/>
    <d v="2017-07-11T08:16:21"/>
    <d v="2017-02-26T00:00:00"/>
    <m/>
    <m/>
    <m/>
    <m/>
    <m/>
    <m/>
    <n v="1"/>
    <m/>
    <s v="Plains"/>
    <n v="0.43690150976199998"/>
    <s v="Depression"/>
    <s v="Flat"/>
    <n v="0.45321798324599999"/>
    <n v="9.0019025802599995"/>
    <m/>
    <m/>
    <m/>
    <m/>
    <m/>
    <m/>
    <m/>
    <m/>
    <n v="8.4480001258850095"/>
    <n v="0"/>
    <n v="0"/>
    <n v="8.4480001258850095"/>
    <n v="0"/>
    <n v="8.4480001258850095"/>
  </r>
  <r>
    <s v="Inot Songoyani"/>
    <n v="14"/>
    <s v="Teresia Zuberi Tarimo Endanoga"/>
    <s v="Teresia Zuberi Tarimo"/>
    <s v="ENDANOGA"/>
    <s v="Endanoga"/>
    <n v="1.5"/>
    <s v="outfield"/>
    <s v="Feed livestock"/>
    <s v="InField feed"/>
    <n v="1"/>
    <n v="6"/>
    <m/>
    <s v="Free"/>
    <n v="0"/>
    <n v="0"/>
    <s v=""/>
    <m/>
    <s v="Variable"/>
    <s v="Other fields in my home village"/>
    <m/>
    <s v="Other, Specify"/>
    <n v="999"/>
    <m/>
    <s v=""/>
    <x v="1"/>
    <s v=""/>
    <n v="0"/>
    <s v=""/>
    <m/>
    <s v=""/>
    <s v=""/>
    <s v="No"/>
    <s v="No"/>
    <s v=""/>
    <n v="0"/>
    <s v=""/>
    <m/>
    <m/>
    <s v=""/>
    <s v=""/>
    <n v="0"/>
    <n v="1"/>
    <s v="01"/>
    <x v="1"/>
    <n v="0"/>
    <s v="No"/>
    <m/>
    <s v="Yes"/>
    <n v="1"/>
    <n v="1"/>
    <s v="Yes"/>
    <s v="Family"/>
    <n v="1.25"/>
    <n v="1"/>
    <n v="2.25"/>
    <s v="No"/>
    <s v="No"/>
    <s v="No"/>
    <s v="No"/>
    <s v="No"/>
    <s v="No"/>
    <m/>
    <s v=""/>
    <m/>
    <s v=""/>
    <m/>
    <s v=""/>
    <m/>
    <s v=""/>
    <m/>
    <s v=""/>
    <m/>
    <n v="0"/>
    <s v="very low"/>
    <n v="0"/>
    <n v="2"/>
    <n v="4"/>
    <n v="6"/>
    <n v="0"/>
    <n v="0"/>
    <n v="0"/>
    <s v=""/>
    <n v="15"/>
    <s v="Low"/>
    <n v="15"/>
    <s v="Yes"/>
    <s v="Karate"/>
    <s v="No"/>
    <s v=""/>
    <n v="0.25"/>
    <n v="1"/>
    <n v="0"/>
    <s v="No"/>
    <m/>
    <n v="999"/>
    <s v="Bags"/>
    <m/>
    <m/>
    <n v="999"/>
    <s v="Bags"/>
    <m/>
    <m/>
    <n v="999"/>
    <s v="Bags"/>
    <m/>
    <x v="0"/>
    <s v="No"/>
    <s v="No"/>
    <s v="No"/>
    <s v="No"/>
    <n v="0"/>
    <n v="2"/>
    <s v="uuid:3d7b7a14-117f-4a8e-bba9-4f30024c16cc/secG-G2"/>
    <s v="uuid:3d7b7a14-117f-4a8e-bba9-4f30024c16cc/secG-G5"/>
    <n v="-4.2597346305847168"/>
    <n v="35.859542846679688"/>
    <n v="1313.0999755859375"/>
    <n v="5"/>
    <n v="1705231439"/>
    <s v="uuid:3d7b7a14-117f-4a8e-bba9-4f30024c16cc"/>
    <d v="2017-06-17T09:54:33"/>
    <d v="2017-06-07T13:30:50"/>
    <d v="2017-06-07T15:21:30"/>
    <d v="2017-02-05T00:00:00"/>
    <m/>
    <n v="6.7460846560846557"/>
    <n v="7.2140211640211636"/>
    <n v="5.3797777777777771"/>
    <m/>
    <m/>
    <n v="1"/>
    <m/>
    <s v="Plains"/>
    <n v="3.0261540412899999"/>
    <s v="Gentle"/>
    <s v="Flat"/>
    <n v="-0.18127532303300001"/>
    <n v="8.8983516693099993"/>
    <n v="1072.1720179918159"/>
    <n v="229.227312387974"/>
    <n v="1.506"/>
    <n v="1.4650000000000001"/>
    <n v="4.0999999999999925E-2"/>
    <n v="5.3797777777777771"/>
    <n v="6.9800529100529101"/>
    <n v="1.600275132275133"/>
    <n v="0"/>
    <n v="0"/>
    <n v="0"/>
    <n v="0"/>
    <n v="0"/>
    <n v="0"/>
  </r>
  <r>
    <s v="Inot Songoyani"/>
    <n v="95"/>
    <s v="Maria Bai Tara"/>
    <s v="Maria Bai Tara"/>
    <e v="#N/A"/>
    <s v="Orngadida"/>
    <n v="0"/>
    <s v="Homefield"/>
    <s v="Use as fuelwood"/>
    <s v="OffField feed"/>
    <n v="1"/>
    <n v="8"/>
    <m/>
    <s v="Free"/>
    <n v="0.30000001192092896"/>
    <n v="0"/>
    <s v=""/>
    <m/>
    <s v="Variable"/>
    <s v="Other fields in my home village"/>
    <m/>
    <s v="Other, Specify"/>
    <n v="999"/>
    <m/>
    <s v=""/>
    <x v="1"/>
    <s v=""/>
    <n v="0"/>
    <s v=""/>
    <m/>
    <s v=""/>
    <s v=""/>
    <s v="No"/>
    <s v="No"/>
    <s v=""/>
    <n v="0"/>
    <s v=""/>
    <m/>
    <m/>
    <s v=""/>
    <s v=""/>
    <n v="0"/>
    <n v="1"/>
    <s v="01"/>
    <x v="1"/>
    <n v="0"/>
    <s v="Yes"/>
    <n v="2.125"/>
    <s v="No"/>
    <m/>
    <m/>
    <s v="No"/>
    <s v=""/>
    <m/>
    <n v="2.125"/>
    <n v="2.125"/>
    <s v="No"/>
    <s v="No"/>
    <s v="No"/>
    <s v="No"/>
    <s v="No"/>
    <s v="No"/>
    <m/>
    <s v=""/>
    <m/>
    <s v=""/>
    <m/>
    <s v=""/>
    <m/>
    <s v=""/>
    <m/>
    <s v=""/>
    <m/>
    <n v="0"/>
    <s v="very low"/>
    <n v="1"/>
    <n v="1"/>
    <n v="5"/>
    <n v="7"/>
    <n v="0"/>
    <n v="0"/>
    <n v="0"/>
    <m/>
    <n v="31.875"/>
    <s v="Medium"/>
    <n v="31.875"/>
    <s v="No"/>
    <s v=""/>
    <s v="No"/>
    <s v=""/>
    <n v="0.25"/>
    <m/>
    <n v="1.75"/>
    <s v="No"/>
    <n v="1"/>
    <n v="12"/>
    <s v="Bags"/>
    <n v="2.8800000000000003"/>
    <m/>
    <n v="999"/>
    <s v="Bags"/>
    <m/>
    <n v="1"/>
    <n v="4"/>
    <s v="Bags"/>
    <n v="0.96"/>
    <x v="0"/>
    <s v="No"/>
    <s v="No"/>
    <s v="No"/>
    <s v="No"/>
    <n v="0"/>
    <n v="3"/>
    <s v="uuid:22ce7635-028b-4e7a-b7b4-73a3eb9350eb/secG-G2"/>
    <s v="uuid:22ce7635-028b-4e7a-b7b4-73a3eb9350eb/secG-G5"/>
    <n v="-4.3069453239440918"/>
    <n v="35.863353729248047"/>
    <n v="1245.9000244140625"/>
    <n v="5"/>
    <n v="1705231439"/>
    <s v="uuid:22ce7635-028b-4e7a-b7b4-73a3eb9350eb"/>
    <d v="2017-07-11T08:19:40"/>
    <d v="2017-06-02T16:33:32"/>
    <d v="2017-07-11T08:18:47"/>
    <d v="2017-02-16T00:00:00"/>
    <m/>
    <m/>
    <m/>
    <m/>
    <m/>
    <m/>
    <n v="1"/>
    <m/>
    <s v="Plains"/>
    <n v="1.8074369430499999"/>
    <s v="Very gentle"/>
    <s v="Flat"/>
    <n v="-0.362559139729"/>
    <n v="9.6462850570699992"/>
    <m/>
    <m/>
    <m/>
    <m/>
    <m/>
    <m/>
    <m/>
    <m/>
    <n v="1013.7600000000001"/>
    <n v="654.72"/>
    <n v="0"/>
    <n v="1668.48"/>
    <n v="0"/>
    <n v="1668.48"/>
  </r>
  <r>
    <s v="Inot Songoyani"/>
    <n v="227"/>
    <s v="Faustini Nada Barie"/>
    <s v="Faustini Nada Barie"/>
    <s v="ENDAGWE"/>
    <s v="Endagwe"/>
    <n v="0"/>
    <s v="Homefield"/>
    <s v="Feed livestock"/>
    <s v="OffField feed"/>
    <n v="1"/>
    <n v="8"/>
    <n v="5000"/>
    <s v=""/>
    <s v="Variable"/>
    <n v="0"/>
    <s v=""/>
    <m/>
    <m/>
    <s v=""/>
    <m/>
    <s v=""/>
    <m/>
    <m/>
    <s v=""/>
    <x v="0"/>
    <s v="Own animals"/>
    <n v="0"/>
    <s v=""/>
    <m/>
    <s v=""/>
    <s v=""/>
    <s v="No"/>
    <s v="No"/>
    <s v=""/>
    <n v="0"/>
    <s v=""/>
    <m/>
    <m/>
    <s v=""/>
    <s v=""/>
    <n v="0"/>
    <n v="1"/>
    <s v="01"/>
    <x v="1"/>
    <n v="0"/>
    <s v="Yes"/>
    <n v="1.5"/>
    <s v="Yes"/>
    <n v="2"/>
    <n v="2.5"/>
    <s v="No"/>
    <s v=""/>
    <m/>
    <n v="4"/>
    <n v="4"/>
    <s v="No"/>
    <s v="No"/>
    <s v="No"/>
    <s v="No"/>
    <s v="No"/>
    <s v="No"/>
    <m/>
    <s v=""/>
    <m/>
    <s v=""/>
    <m/>
    <s v=""/>
    <m/>
    <s v=""/>
    <m/>
    <s v=""/>
    <m/>
    <n v="0"/>
    <s v="very low"/>
    <n v="2"/>
    <n v="1"/>
    <n v="2"/>
    <n v="5"/>
    <n v="0"/>
    <n v="0"/>
    <n v="0"/>
    <s v=""/>
    <n v="60"/>
    <s v="High"/>
    <n v="60"/>
    <s v="No"/>
    <s v=""/>
    <s v="Yes"/>
    <s v="Casual"/>
    <n v="0.25"/>
    <n v="1.25"/>
    <m/>
    <s v="Yes"/>
    <n v="1.5"/>
    <n v="18"/>
    <s v="Bags"/>
    <n v="2.88"/>
    <n v="3"/>
    <n v="999"/>
    <s v="Bags"/>
    <m/>
    <n v="1.5"/>
    <n v="3"/>
    <s v="Bags"/>
    <n v="0.48"/>
    <x v="0"/>
    <s v="Yes"/>
    <s v="Yes"/>
    <s v="Yes"/>
    <s v="No"/>
    <n v="3"/>
    <n v="3"/>
    <s v="uuid:3ff9fbb1-4db5-4f0b-9b2c-483b83b03b8e/secG-G2"/>
    <s v="uuid:3ff9fbb1-4db5-4f0b-9b2c-483b83b03b8e/secG-G5"/>
    <n v="-4.3532028198242188"/>
    <n v="35.6519775390625"/>
    <n v="1571.5"/>
    <n v="5"/>
    <n v="1706031849"/>
    <s v="uuid:3ff9fbb1-4db5-4f0b-9b2c-483b83b03b8e"/>
    <d v="2017-08-04T00:20:33"/>
    <d v="2017-07-18T12:14:20"/>
    <d v="2017-08-03T23:33:16"/>
    <d v="2017-03-04T00:00:00"/>
    <m/>
    <n v="0.76228282828282834"/>
    <n v="1.390969696969697"/>
    <n v="0.61444444444444457"/>
    <n v="0.85555555555555574"/>
    <m/>
    <n v="1"/>
    <m/>
    <s v="Valleys"/>
    <n v="3.2550628185299999"/>
    <s v="Gentle"/>
    <s v="Flat"/>
    <n v="0.27193418145199999"/>
    <n v="9.8630743026700003"/>
    <n v="300.26037463283114"/>
    <n v="261.95652718254939"/>
    <n v="1.163"/>
    <n v="1.349"/>
    <n v="-0.18599999999999994"/>
    <n v="0.7350000000000001"/>
    <n v="1.0766262626262626"/>
    <n v="0.3416262626262625"/>
    <n v="1013.76"/>
    <n v="327.36"/>
    <n v="0"/>
    <n v="1341.12"/>
    <n v="63.699999999999996"/>
    <n v="1277.4199999999998"/>
  </r>
  <r>
    <s v="Inot Songoyani"/>
    <n v="173"/>
    <s v="Hitema secondary school(Leonce sirili Sule)"/>
    <s v="Hitema Secondary School"/>
    <s v="DURU"/>
    <s v="Duru"/>
    <n v="0"/>
    <s v="Homefield"/>
    <s v="Feed livestock"/>
    <s v="OffField feed"/>
    <n v="1"/>
    <n v="20"/>
    <m/>
    <s v="Free"/>
    <n v="0.5"/>
    <n v="0"/>
    <s v=""/>
    <m/>
    <m/>
    <s v=""/>
    <m/>
    <s v=""/>
    <m/>
    <m/>
    <s v=""/>
    <x v="1"/>
    <s v=""/>
    <n v="0"/>
    <s v=""/>
    <m/>
    <s v=""/>
    <s v=""/>
    <s v="No"/>
    <s v="No"/>
    <s v=""/>
    <n v="0"/>
    <s v=""/>
    <m/>
    <m/>
    <s v=""/>
    <s v=""/>
    <n v="0"/>
    <n v="1"/>
    <s v="01"/>
    <x v="1"/>
    <n v="0"/>
    <s v="Yes"/>
    <n v="14"/>
    <s v="No"/>
    <m/>
    <m/>
    <s v="No"/>
    <s v=""/>
    <m/>
    <n v="14"/>
    <n v="14"/>
    <s v="No"/>
    <s v="No"/>
    <s v="No"/>
    <s v="No"/>
    <s v="No"/>
    <s v="No"/>
    <m/>
    <s v=""/>
    <m/>
    <s v=""/>
    <m/>
    <s v=""/>
    <m/>
    <s v=""/>
    <m/>
    <s v=""/>
    <m/>
    <n v="0"/>
    <s v="very low"/>
    <n v="11"/>
    <n v="3"/>
    <n v="170"/>
    <n v="184"/>
    <n v="0"/>
    <n v="0"/>
    <n v="0"/>
    <s v=""/>
    <n v="210"/>
    <s v="High"/>
    <n v="210"/>
    <s v="No"/>
    <s v=""/>
    <s v="No"/>
    <s v=""/>
    <n v="0.25"/>
    <n v="4.75"/>
    <m/>
    <s v="Yes"/>
    <n v="5"/>
    <n v="55"/>
    <s v="Bags"/>
    <n v="2.6399999999999997"/>
    <m/>
    <n v="999"/>
    <s v="Bags"/>
    <m/>
    <n v="5"/>
    <n v="3"/>
    <s v="Bags"/>
    <n v="0.14399999999999999"/>
    <x v="0"/>
    <s v="No"/>
    <s v="No"/>
    <s v="No"/>
    <s v="No"/>
    <n v="0"/>
    <n v="2"/>
    <s v="uuid:ddd181e1-054c-444a-ac08-c1d1dcddbd13/secG-G2"/>
    <s v="uuid:ddd181e1-054c-444a-ac08-c1d1dcddbd13/secG-G5"/>
    <n v="-4.3187379837036133"/>
    <n v="35.596546173095703"/>
    <n v="1526.4000244140625"/>
    <n v="5"/>
    <n v="1706031849"/>
    <s v="uuid:ddd181e1-054c-444a-ac08-c1d1dcddbd13"/>
    <d v="2017-07-05T10:23:08"/>
    <d v="2017-07-04T12:43:13"/>
    <d v="2017-07-04T13:01:09"/>
    <d v="2017-02-25T00:00:00"/>
    <m/>
    <n v="2.662517289073306"/>
    <n v="2.5293914246196407"/>
    <n v="3.4359151682803142"/>
    <n v="3.0618948824343022"/>
    <m/>
    <s v="FALSEE"/>
    <m/>
    <s v="Valleys"/>
    <n v="1.52882194519"/>
    <s v="Very gentle"/>
    <s v="Flat"/>
    <n v="0.27193418145199999"/>
    <n v="10.7503194809"/>
    <m/>
    <m/>
    <m/>
    <m/>
    <m/>
    <n v="3.248905025357308"/>
    <n v="2.5959543568464731"/>
    <n v="-0.65295066851083483"/>
    <n v="929.27999999999986"/>
    <n v="98.207999999999998"/>
    <n v="0"/>
    <n v="1027.4879999999998"/>
    <n v="0"/>
    <n v="1027.4879999999998"/>
  </r>
  <r>
    <s v="Inot Songoyani"/>
    <n v="154"/>
    <s v="Didemara Primary school"/>
    <s v="Gidemara Primary School"/>
    <s v="HALLU"/>
    <s v="Hallu"/>
    <n v="0"/>
    <s v="Homefield"/>
    <s v="Feed livestock"/>
    <s v="InField feed"/>
    <n v="1"/>
    <n v="40"/>
    <m/>
    <s v="Free"/>
    <n v="0.5"/>
    <n v="0"/>
    <s v=""/>
    <m/>
    <m/>
    <s v=""/>
    <m/>
    <s v=""/>
    <m/>
    <m/>
    <s v=""/>
    <x v="1"/>
    <s v=""/>
    <n v="0"/>
    <s v=""/>
    <m/>
    <s v=""/>
    <s v=""/>
    <s v="No"/>
    <s v="No"/>
    <s v=""/>
    <n v="0"/>
    <s v=""/>
    <m/>
    <m/>
    <s v=""/>
    <s v=""/>
    <n v="0"/>
    <n v="1"/>
    <s v="01"/>
    <x v="1"/>
    <n v="0"/>
    <s v="Yes"/>
    <n v="25"/>
    <s v="No"/>
    <m/>
    <m/>
    <s v="No"/>
    <s v=""/>
    <m/>
    <n v="25"/>
    <n v="25"/>
    <s v="No"/>
    <s v="No"/>
    <s v="No"/>
    <s v="No"/>
    <s v="No"/>
    <s v="No"/>
    <m/>
    <s v=""/>
    <m/>
    <s v=""/>
    <m/>
    <s v=""/>
    <m/>
    <s v=""/>
    <m/>
    <s v=""/>
    <m/>
    <n v="0"/>
    <s v="very low"/>
    <n v="0"/>
    <n v="0"/>
    <n v="403"/>
    <n v="403"/>
    <n v="0"/>
    <n v="0"/>
    <n v="0"/>
    <s v=""/>
    <n v="375"/>
    <s v="High"/>
    <n v="375"/>
    <s v="No"/>
    <s v=""/>
    <s v="No"/>
    <s v=""/>
    <n v="1"/>
    <n v="9"/>
    <m/>
    <s v="Yes"/>
    <n v="10"/>
    <n v="38"/>
    <s v="Bags"/>
    <n v="0.91200000000000003"/>
    <m/>
    <n v="999"/>
    <s v="Bags"/>
    <m/>
    <n v="10"/>
    <n v="20"/>
    <s v="Bags"/>
    <n v="0.48"/>
    <x v="0"/>
    <s v="No"/>
    <s v="No"/>
    <s v="No"/>
    <s v="No"/>
    <n v="0"/>
    <n v="3"/>
    <s v="uuid:b9db08f4-6f47-4ea0-9eee-42df5cf35447/secG-G2"/>
    <s v="uuid:b9db08f4-6f47-4ea0-9eee-42df5cf35447/secG-G5"/>
    <n v="-4.2781267166137695"/>
    <n v="35.889247894287109"/>
    <n v="1225.5"/>
    <n v="5"/>
    <n v="1706031849"/>
    <s v="uuid:b9db08f4-6f47-4ea0-9eee-42df5cf35447"/>
    <d v="2017-07-05T10:22:32"/>
    <d v="2017-06-27T10:30:38"/>
    <d v="2017-07-04T13:19:26"/>
    <d v="2017-02-15T00:00:00"/>
    <m/>
    <n v="4.4726368159203984"/>
    <n v="3.5087064676616913"/>
    <n v="4.1967418546365911"/>
    <n v="4.1257309941520459"/>
    <m/>
    <s v="FALSEE"/>
    <m/>
    <s v="Plains"/>
    <n v="0.699362456799"/>
    <s v="Very gentle"/>
    <s v="Flat"/>
    <n v="0.18129228055499999"/>
    <n v="8.7419023513800003"/>
    <n v="235.59135813147066"/>
    <n v="101.1535875497582"/>
    <n v="1.466"/>
    <n v="1.125"/>
    <n v="0.34099999999999997"/>
    <n v="4.1612364243943185"/>
    <n v="3.9906716417910451"/>
    <n v="-0.17056478260327346"/>
    <n v="321.024"/>
    <n v="327.36"/>
    <n v="0"/>
    <n v="648.38400000000001"/>
    <n v="0"/>
    <n v="648.38400000000001"/>
  </r>
  <r>
    <s v="Inot Songoyani"/>
    <n v="107"/>
    <s v="Iddi Daudi Mkomboji"/>
    <s v="Iddi Daudi Mkomboji"/>
    <s v="ENDANOGA"/>
    <s v="Endanoga"/>
    <n v="0"/>
    <s v="Homefield"/>
    <s v="Feed livestock"/>
    <s v="InField feed"/>
    <n v="1"/>
    <n v="3"/>
    <m/>
    <s v="Free"/>
    <n v="0"/>
    <n v="0"/>
    <s v=""/>
    <m/>
    <m/>
    <s v=""/>
    <m/>
    <s v=""/>
    <m/>
    <m/>
    <s v=""/>
    <x v="1"/>
    <s v=""/>
    <n v="0"/>
    <s v=""/>
    <m/>
    <s v=""/>
    <s v=""/>
    <s v="No"/>
    <s v="No"/>
    <s v=""/>
    <n v="0"/>
    <s v=""/>
    <m/>
    <m/>
    <s v=""/>
    <s v=""/>
    <n v="0"/>
    <n v="1"/>
    <s v="01"/>
    <x v="1"/>
    <n v="0"/>
    <s v="Yes"/>
    <n v="0.5"/>
    <s v="Yes"/>
    <n v="1"/>
    <n v="1"/>
    <s v="Yes"/>
    <s v="Rent"/>
    <n v="0.75"/>
    <n v="1.5"/>
    <n v="2.25"/>
    <s v="No"/>
    <s v="No"/>
    <s v="Yes"/>
    <s v="No"/>
    <s v="No"/>
    <s v="No"/>
    <m/>
    <s v=""/>
    <m/>
    <s v=""/>
    <n v="10"/>
    <s v="Both"/>
    <m/>
    <s v=""/>
    <m/>
    <s v=""/>
    <m/>
    <n v="0.1"/>
    <s v="very low"/>
    <n v="2"/>
    <n v="1"/>
    <n v="0"/>
    <n v="3"/>
    <n v="0"/>
    <n v="0"/>
    <n v="0"/>
    <m/>
    <n v="22.5"/>
    <s v="Medium"/>
    <n v="22.6"/>
    <s v="No"/>
    <s v=""/>
    <s v="No"/>
    <s v=""/>
    <n v="0.25"/>
    <n v="0.5"/>
    <n v="0"/>
    <s v="Yes"/>
    <n v="1"/>
    <n v="1"/>
    <s v="Bags"/>
    <n v="0.24"/>
    <m/>
    <n v="999"/>
    <s v="Bags"/>
    <m/>
    <n v="1"/>
    <n v="2"/>
    <s v="Bags"/>
    <n v="0.48"/>
    <x v="0"/>
    <s v="No"/>
    <s v="No"/>
    <s v="No"/>
    <s v="No"/>
    <n v="0"/>
    <n v="3"/>
    <s v="uuid:cae37907-39ec-4318-ab1e-fb6b7c124021/secG-G2"/>
    <s v="uuid:cae37907-39ec-4318-ab1e-fb6b7c124021/secG-G5"/>
    <n v="-4.259559154510498"/>
    <n v="35.857692718505859"/>
    <n v="1323"/>
    <n v="5"/>
    <n v="1706031849"/>
    <s v="uuid:cae37907-39ec-4318-ab1e-fb6b7c124021"/>
    <d v="2017-06-17T09:54:34"/>
    <d v="2017-06-07T15:22:07"/>
    <d v="2017-06-07T15:35:01"/>
    <d v="2017-02-28T00:00:00"/>
    <m/>
    <n v="3.3873015873015873"/>
    <n v="3.4796825396825399"/>
    <n v="3.2395833333333335"/>
    <n v="3.3432500000000003"/>
    <m/>
    <n v="1"/>
    <m/>
    <s v="Plains"/>
    <n v="4.4811401367199997"/>
    <s v="Gentle"/>
    <s v="Flat"/>
    <n v="0.45321798324599999"/>
    <n v="8.7215080261200004"/>
    <n v="197.36017962614568"/>
    <n v="204.3316718055944"/>
    <n v="0.98399999999999999"/>
    <n v="1.06"/>
    <n v="-7.6000000000000068E-2"/>
    <n v="3.2914166666666667"/>
    <n v="3.4334920634920634"/>
    <n v="0.14207539682539672"/>
    <n v="84.47999999999999"/>
    <n v="327.36"/>
    <n v="0"/>
    <n v="411.84000000000003"/>
    <n v="0"/>
    <n v="411.84000000000003"/>
  </r>
  <r>
    <s v="Inot Songoyani"/>
    <n v="113"/>
    <s v="Barie Shauri Sule"/>
    <s v="Barie Shauri Sule"/>
    <s v="SELOTO"/>
    <s v="Seloto"/>
    <n v="3"/>
    <s v="outfield"/>
    <s v="Feed livestock"/>
    <s v="OffField feed"/>
    <n v="1"/>
    <n v="5"/>
    <n v="20000"/>
    <s v=""/>
    <s v="Variable"/>
    <n v="0"/>
    <s v=""/>
    <m/>
    <m/>
    <s v=""/>
    <m/>
    <s v=""/>
    <m/>
    <m/>
    <s v=""/>
    <x v="1"/>
    <s v=""/>
    <n v="0"/>
    <s v=""/>
    <m/>
    <s v=""/>
    <s v=""/>
    <s v="No"/>
    <s v="No"/>
    <s v=""/>
    <n v="0"/>
    <s v=""/>
    <m/>
    <m/>
    <s v=""/>
    <s v=""/>
    <n v="0"/>
    <n v="1"/>
    <s v="01"/>
    <x v="1"/>
    <n v="0"/>
    <s v="Yes"/>
    <n v="0.125"/>
    <s v="Yes"/>
    <n v="1"/>
    <n v="2"/>
    <s v="Yes"/>
    <s v="Rent"/>
    <n v="1"/>
    <n v="2.125"/>
    <n v="3.125"/>
    <s v="No"/>
    <s v="No"/>
    <s v="Yes"/>
    <s v="No"/>
    <s v="No"/>
    <s v="No"/>
    <m/>
    <s v=""/>
    <m/>
    <s v=""/>
    <n v="12"/>
    <s v="Both"/>
    <m/>
    <s v=""/>
    <m/>
    <s v=""/>
    <m/>
    <n v="0.12"/>
    <s v="very low"/>
    <n v="1"/>
    <n v="1"/>
    <n v="6"/>
    <n v="8"/>
    <n v="0"/>
    <n v="0"/>
    <n v="0"/>
    <m/>
    <n v="31.875"/>
    <s v="Medium"/>
    <n v="31.995000000000001"/>
    <s v="Yes"/>
    <s v="Karate"/>
    <s v="Yes"/>
    <s v="Casual"/>
    <n v="0.25"/>
    <n v="0.75"/>
    <n v="0"/>
    <s v="No"/>
    <n v="2"/>
    <n v="26"/>
    <s v="Bags"/>
    <n v="3.12"/>
    <m/>
    <n v="999"/>
    <s v="Bags"/>
    <m/>
    <n v="2"/>
    <n v="7"/>
    <s v="Bags"/>
    <n v="0.84"/>
    <x v="0"/>
    <s v="No"/>
    <s v="No"/>
    <s v="No"/>
    <s v="No"/>
    <n v="0"/>
    <n v="2"/>
    <s v="uuid:eace33fa-ce2d-4a5a-829e-9e4c62063d81/secG-G2"/>
    <s v="uuid:eace33fa-ce2d-4a5a-829e-9e4c62063d81/secG-G5"/>
    <n v="-4.2526059150695801"/>
    <n v="35.525722503662109"/>
    <n v="1619.699951171875"/>
    <n v="5"/>
    <n v="1706031849"/>
    <s v="uuid:eace33fa-ce2d-4a5a-829e-9e4c62063d81"/>
    <d v="2017-06-20T11:58:20"/>
    <d v="2017-06-17T09:55:12"/>
    <d v="2017-06-17T10:40:57"/>
    <d v="2017-01-03T00:00:00"/>
    <m/>
    <n v="4.9794509803921585"/>
    <n v="4.6782745098039227"/>
    <n v="2.2949484536082476"/>
    <n v="2.0969072164948459"/>
    <m/>
    <n v="1"/>
    <m/>
    <s v="Plains"/>
    <n v="1.5210055112800001"/>
    <s v="Very gentle"/>
    <s v="Toeslope"/>
    <n v="-0.725126743317"/>
    <n v="10.2386350632"/>
    <n v="86.65551071932623"/>
    <n v="-30.700909883906252"/>
    <n v="1.208"/>
    <n v="1.4179999999999999"/>
    <n v="-0.20999999999999996"/>
    <n v="2.1959278350515468"/>
    <n v="4.828862745098041"/>
    <n v="2.6329349100464943"/>
    <n v="1098.24"/>
    <n v="572.88"/>
    <n v="0"/>
    <n v="1671.12"/>
    <n v="0"/>
    <n v="1671.12"/>
  </r>
  <r>
    <s v="Inot Songoyani"/>
    <n v="168"/>
    <s v="Zubeda Musa Issa"/>
    <s v="Zubeda Musa Issa"/>
    <s v="DURU"/>
    <s v="Duru"/>
    <n v="0"/>
    <s v="Homefield"/>
    <s v="Feed livestock"/>
    <s v="OffField feed"/>
    <n v="1"/>
    <n v="4"/>
    <n v="5000"/>
    <s v=""/>
    <s v="Variable"/>
    <n v="0"/>
    <s v=""/>
    <m/>
    <m/>
    <s v=""/>
    <m/>
    <s v=""/>
    <m/>
    <m/>
    <s v=""/>
    <x v="0"/>
    <s v="Own animals"/>
    <n v="0"/>
    <s v=""/>
    <m/>
    <s v=""/>
    <s v=""/>
    <s v="No"/>
    <s v="No"/>
    <s v=""/>
    <n v="0"/>
    <s v=""/>
    <m/>
    <m/>
    <s v=""/>
    <s v=""/>
    <n v="0"/>
    <n v="1"/>
    <s v="01"/>
    <x v="1"/>
    <n v="0"/>
    <s v="Yes"/>
    <n v="0.25"/>
    <s v="Yes"/>
    <n v="2"/>
    <n v="1.25"/>
    <s v="No"/>
    <s v=""/>
    <m/>
    <n v="1.5"/>
    <n v="1.5"/>
    <s v="No"/>
    <s v="Yes"/>
    <s v="Yes"/>
    <s v="No"/>
    <s v="No"/>
    <s v="No"/>
    <m/>
    <s v=""/>
    <n v="2"/>
    <s v="Both"/>
    <n v="3"/>
    <s v="Both"/>
    <m/>
    <s v=""/>
    <m/>
    <s v=""/>
    <m/>
    <n v="0.23"/>
    <s v="very low"/>
    <n v="1"/>
    <n v="1"/>
    <n v="2"/>
    <n v="4"/>
    <n v="0"/>
    <n v="0"/>
    <n v="0"/>
    <s v=""/>
    <n v="22.5"/>
    <s v="Medium"/>
    <n v="22.73"/>
    <s v="No"/>
    <s v=""/>
    <s v="No"/>
    <s v=""/>
    <n v="0.25"/>
    <m/>
    <m/>
    <s v="Yes"/>
    <n v="0.25"/>
    <n v="2.2999999523162842"/>
    <s v="Bags"/>
    <n v="2.2079999542236326"/>
    <m/>
    <n v="999"/>
    <s v="Bags"/>
    <m/>
    <n v="0.25"/>
    <n v="3"/>
    <s v="Gorogoro"/>
    <n v="0.48095999999999989"/>
    <x v="0"/>
    <s v="No"/>
    <s v="Yes"/>
    <s v="No"/>
    <s v="No"/>
    <n v="1"/>
    <n v="2"/>
    <s v="uuid:4c0db8dc-906c-48d8-bc94-0e8be8f9d14c/secG-G2"/>
    <s v="uuid:4c0db8dc-906c-48d8-bc94-0e8be8f9d14c/secG-G5"/>
    <n v="-4.3188738822937012"/>
    <n v="35.602344512939453"/>
    <n v="1566.699951171875"/>
    <n v="5"/>
    <n v="1706031849"/>
    <s v="uuid:4c0db8dc-906c-48d8-bc94-0e8be8f9d14c"/>
    <d v="2017-07-05T10:22:59"/>
    <d v="2017-07-03T14:29:03"/>
    <d v="2017-07-03T14:43:00"/>
    <d v="2017-02-02T00:00:00"/>
    <m/>
    <n v="7.0366528354080229"/>
    <n v="6.7830797602581843"/>
    <n v="2.9794836330106049"/>
    <n v="5.0080682342093139"/>
    <m/>
    <n v="1"/>
    <m/>
    <s v="Valleys"/>
    <n v="6.5252904891999997"/>
    <s v="Moderate"/>
    <s v="Toeslope"/>
    <n v="-0.54384291171999999"/>
    <n v="8.6506910324100001"/>
    <m/>
    <n v="491.55954684254544"/>
    <m/>
    <n v="1.5740000000000001"/>
    <m/>
    <n v="3.9937759336099594"/>
    <n v="6.9098662978331031"/>
    <n v="2.9160903642231437"/>
    <n v="777.21598388671873"/>
    <n v="328.0147199999999"/>
    <n v="0"/>
    <n v="1105.2307038867186"/>
    <n v="63.699999999999996"/>
    <n v="1041.5307038867186"/>
  </r>
  <r>
    <s v="Inot Songoyani"/>
    <n v="116"/>
    <s v="Maulid Ramadhani Ally"/>
    <s v="Maulidi Ramadhani Ally"/>
    <s v="AYAMANGO"/>
    <s v="Ayamango"/>
    <n v="0.5"/>
    <s v="outfield"/>
    <s v="Feed livestock"/>
    <s v="InField feed"/>
    <n v="1"/>
    <n v="4"/>
    <m/>
    <s v="Free"/>
    <n v="0.5"/>
    <n v="0"/>
    <s v=""/>
    <m/>
    <m/>
    <s v=""/>
    <m/>
    <s v=""/>
    <m/>
    <m/>
    <s v=""/>
    <x v="1"/>
    <s v=""/>
    <n v="0"/>
    <s v=""/>
    <m/>
    <s v=""/>
    <s v=""/>
    <s v="No"/>
    <s v="No"/>
    <s v=""/>
    <n v="0"/>
    <s v=""/>
    <m/>
    <m/>
    <s v=""/>
    <s v=""/>
    <n v="0"/>
    <n v="1"/>
    <s v="01"/>
    <x v="1"/>
    <n v="0"/>
    <s v="Yes"/>
    <n v="0.125"/>
    <s v="No"/>
    <m/>
    <m/>
    <s v="Yes"/>
    <s v="Family"/>
    <n v="2.5"/>
    <n v="0.125"/>
    <n v="2.625"/>
    <s v="No"/>
    <s v="Yes"/>
    <s v="Yes"/>
    <s v="No"/>
    <s v="No"/>
    <s v="No"/>
    <m/>
    <s v=""/>
    <n v="9"/>
    <s v="Both"/>
    <n v="5"/>
    <s v="Both"/>
    <m/>
    <s v=""/>
    <m/>
    <s v=""/>
    <m/>
    <n v="0.95000000000000007"/>
    <s v="very low"/>
    <n v="1"/>
    <n v="1"/>
    <n v="6"/>
    <n v="8"/>
    <n v="0"/>
    <n v="0"/>
    <n v="0"/>
    <m/>
    <n v="1.875"/>
    <s v="Low"/>
    <n v="2.8250000000000002"/>
    <s v="Yes"/>
    <s v="Booster"/>
    <s v="No"/>
    <s v=""/>
    <n v="0.25"/>
    <n v="0"/>
    <n v="0.75"/>
    <s v="Yes"/>
    <n v="1"/>
    <n v="4"/>
    <s v="Bags"/>
    <n v="0.96"/>
    <n v="1"/>
    <n v="999"/>
    <s v="Bags"/>
    <m/>
    <n v="1"/>
    <n v="2.5"/>
    <s v="Bags"/>
    <n v="0.6"/>
    <x v="0"/>
    <s v="No"/>
    <s v="No"/>
    <s v="No"/>
    <s v="No"/>
    <n v="0"/>
    <n v="3"/>
    <s v="uuid:2215474d-14e9-4c29-922f-0ad2dba8243e/secG-G2"/>
    <s v="uuid:2215474d-14e9-4c29-922f-0ad2dba8243e/secG-G5"/>
    <n v="-4.2380671501159668"/>
    <n v="35.888984680175781"/>
    <n v="1197.300048828125"/>
    <n v="5"/>
    <n v="1706031849"/>
    <s v="uuid:2215474d-14e9-4c29-922f-0ad2dba8243e"/>
    <d v="2017-06-20T11:58:31"/>
    <d v="2017-06-19T11:27:05"/>
    <d v="2017-06-19T11:55:31"/>
    <d v="2017-02-02T00:00:00"/>
    <m/>
    <n v="10.20139303482587"/>
    <n v="5.4256716417910447"/>
    <n v="5.2756892230576442"/>
    <n v="6.1403508771929838"/>
    <n v="11"/>
    <n v="1"/>
    <m/>
    <s v="Plains"/>
    <n v="1.6122988462400001"/>
    <s v="Very gentle"/>
    <s v="Flat"/>
    <n v="8.4776775111099995E-6"/>
    <n v="9.8180866241500002"/>
    <n v="347.6575602827287"/>
    <n v="397.81625350874231"/>
    <n v="1.4930000000000001"/>
    <n v="1.5649999999999999"/>
    <n v="-7.1999999999999842E-2"/>
    <n v="5.708020050125314"/>
    <n v="7.8135323383084572"/>
    <n v="2.1055122881831432"/>
    <n v="337.91999999999996"/>
    <n v="409.2"/>
    <n v="0"/>
    <n v="747.11999999999989"/>
    <n v="0"/>
    <n v="747.11999999999989"/>
  </r>
  <r>
    <s v="Inot Songoyani"/>
    <n v="99"/>
    <s v="Zuhura Issa Kijuu"/>
    <s v="Zuhura Iddi Kijuu"/>
    <s v="ORNGADIDA"/>
    <s v="Orngadida"/>
    <n v="3.5"/>
    <s v="outfield"/>
    <s v="Feed livestock"/>
    <s v="OffField feed"/>
    <n v="1"/>
    <n v="2"/>
    <n v="15000"/>
    <s v=""/>
    <n v="2"/>
    <n v="0"/>
    <s v=""/>
    <m/>
    <n v="2"/>
    <s v="Other fields in my home village"/>
    <m/>
    <s v="My 'home field' away from here"/>
    <m/>
    <m/>
    <s v=""/>
    <x v="1"/>
    <s v=""/>
    <n v="0"/>
    <s v=""/>
    <m/>
    <s v=""/>
    <s v=""/>
    <s v="Yes"/>
    <s v="No"/>
    <s v=""/>
    <n v="0"/>
    <s v=""/>
    <m/>
    <m/>
    <s v=""/>
    <s v=""/>
    <n v="0"/>
    <n v="1"/>
    <s v="01"/>
    <x v="1"/>
    <n v="0"/>
    <s v="Yes"/>
    <n v="0.25"/>
    <s v="Yes"/>
    <n v="1"/>
    <n v="4.25"/>
    <s v="No"/>
    <s v=""/>
    <m/>
    <n v="4.5"/>
    <n v="4.5"/>
    <s v="Yes"/>
    <s v="Yes"/>
    <s v="Yes"/>
    <s v="No"/>
    <s v="No"/>
    <s v="No"/>
    <n v="1"/>
    <s v="Zero grazing"/>
    <n v="4"/>
    <s v="Zero grazing"/>
    <n v="17"/>
    <s v="Free range"/>
    <m/>
    <s v=""/>
    <m/>
    <s v=""/>
    <m/>
    <n v="1.5699999999999998"/>
    <s v="Low"/>
    <n v="1"/>
    <n v="1"/>
    <n v="1"/>
    <n v="3"/>
    <n v="0"/>
    <n v="0"/>
    <n v="0"/>
    <m/>
    <n v="67.5"/>
    <s v="High"/>
    <n v="69.069999999999993"/>
    <s v="No"/>
    <s v=""/>
    <s v="Yes"/>
    <s v="Casual"/>
    <n v="0.25"/>
    <n v="0.75"/>
    <m/>
    <s v="Yes"/>
    <n v="1"/>
    <n v="10"/>
    <s v="Bags"/>
    <n v="2.4"/>
    <m/>
    <n v="999"/>
    <s v="Bags"/>
    <m/>
    <n v="1"/>
    <n v="7"/>
    <s v="Bags"/>
    <n v="1.68"/>
    <x v="0"/>
    <s v="No"/>
    <s v="No"/>
    <s v="No"/>
    <s v="No"/>
    <n v="0"/>
    <n v="5"/>
    <s v="uuid:5d14d550-a5b7-497e-afa6-c407ae289348/secG-G2"/>
    <s v="uuid:5d14d550-a5b7-497e-afa6-c407ae289348/secG-G5"/>
    <n v="-4.3177323341369629"/>
    <n v="35.872314453125"/>
    <n v="1228.0999755859375"/>
    <n v="5"/>
    <n v="1705231439"/>
    <s v="uuid:5d14d550-a5b7-497e-afa6-c407ae289348"/>
    <d v="2017-08-03T23:09:44"/>
    <d v="2017-06-06T14:10:12"/>
    <d v="2017-08-03T21:54:59"/>
    <d v="2017-02-10T00:00:00"/>
    <m/>
    <n v="3.6857273768613976"/>
    <n v="3.5136311569301264"/>
    <n v="3.3430085470085471"/>
    <n v="3.0846495726495728"/>
    <m/>
    <n v="1"/>
    <m/>
    <s v="Plains"/>
    <n v="0.66437512636200002"/>
    <s v="Very gentle"/>
    <s v="Flat"/>
    <n v="-0.27191722393000001"/>
    <n v="10.6292409897"/>
    <n v="499.18358680588392"/>
    <n v="294.961070138423"/>
    <n v="1.9890000000000001"/>
    <n v="1.3089999999999999"/>
    <n v="0.68000000000000016"/>
    <n v="3.21382905982906"/>
    <n v="3.599679266895762"/>
    <n v="0.38585020706670203"/>
    <n v="844.8"/>
    <n v="1145.76"/>
    <n v="0"/>
    <n v="1990.56"/>
    <n v="0"/>
    <n v="1990.56"/>
  </r>
  <r>
    <s v="Inot Songoyani"/>
    <n v="128"/>
    <s v="Veronica Amsi Maibangi"/>
    <s v="Veronica Amsi Maibangi"/>
    <s v="HALLU"/>
    <s v="Hallu"/>
    <n v="0"/>
    <s v="Homefield"/>
    <s v="Feed livestock"/>
    <s v="InField feed"/>
    <n v="1"/>
    <n v="15"/>
    <n v="2000"/>
    <s v=""/>
    <s v="Variable"/>
    <n v="0"/>
    <s v=""/>
    <m/>
    <m/>
    <s v=""/>
    <m/>
    <s v=""/>
    <m/>
    <m/>
    <s v=""/>
    <x v="0"/>
    <s v="Own animals"/>
    <n v="0"/>
    <s v=""/>
    <m/>
    <s v=""/>
    <s v=""/>
    <s v="Yes"/>
    <s v="No"/>
    <s v=""/>
    <n v="0"/>
    <s v=""/>
    <m/>
    <m/>
    <s v=""/>
    <s v=""/>
    <n v="0"/>
    <n v="1"/>
    <s v="01"/>
    <x v="1"/>
    <n v="0"/>
    <s v="Yes"/>
    <n v="1"/>
    <s v="Yes"/>
    <n v="1"/>
    <n v="4.75"/>
    <s v="No"/>
    <s v=""/>
    <m/>
    <n v="5.75"/>
    <n v="5.75"/>
    <s v="Yes"/>
    <s v="No"/>
    <s v="Yes"/>
    <s v="No"/>
    <s v="No"/>
    <s v="No"/>
    <n v="2"/>
    <s v="Zero grazing"/>
    <m/>
    <s v=""/>
    <n v="20"/>
    <s v="Zero grazing"/>
    <m/>
    <s v=""/>
    <m/>
    <s v=""/>
    <m/>
    <n v="2.2000000000000002"/>
    <s v="Low"/>
    <n v="5"/>
    <n v="1"/>
    <n v="0"/>
    <n v="6"/>
    <n v="0"/>
    <n v="0"/>
    <n v="0"/>
    <s v=""/>
    <n v="86.25"/>
    <s v="High"/>
    <n v="88.45"/>
    <s v="No"/>
    <s v=""/>
    <s v="Yes"/>
    <s v="Casual"/>
    <n v="0.25"/>
    <n v="4.5"/>
    <m/>
    <s v="No"/>
    <n v="4.75"/>
    <n v="40"/>
    <s v="Bags"/>
    <n v="2.0210526315789474"/>
    <n v="4.75"/>
    <n v="999"/>
    <s v="Bags"/>
    <m/>
    <n v="4.75"/>
    <n v="15"/>
    <s v="Bags"/>
    <n v="0.75789473684210518"/>
    <x v="0"/>
    <s v="No"/>
    <s v="Yes"/>
    <s v="No"/>
    <s v="No"/>
    <n v="1"/>
    <n v="3"/>
    <s v="uuid:fd24c987-66b6-4cca-b8d1-d9976404c028/secG-G2"/>
    <s v="uuid:fd24c987-66b6-4cca-b8d1-d9976404c028/secG-G5"/>
    <n v="-4.2721366882324219"/>
    <n v="35.909992218017578"/>
    <n v="1197.5999755859375"/>
    <n v="5"/>
    <n v="1706031849"/>
    <s v="uuid:fd24c987-66b6-4cca-b8d1-d9976404c028"/>
    <d v="2017-06-21T14:13:54"/>
    <d v="2017-06-20T13:56:56"/>
    <d v="2017-06-20T15:13:59"/>
    <d v="2017-02-20T00:00:00"/>
    <m/>
    <n v="4.1087704918032788"/>
    <n v="5.0681147540983593"/>
    <n v="2.0517489711934158"/>
    <n v="1.8842592592592593"/>
    <m/>
    <n v="1"/>
    <m/>
    <s v="Plains"/>
    <n v="3.2385981082900002"/>
    <s v="Gentle"/>
    <s v="Upper slope"/>
    <n v="0.54385989904400001"/>
    <n v="8.7041940689100006"/>
    <n v="443.484020909663"/>
    <n v="37.559331683783142"/>
    <n v="1.1539999999999999"/>
    <n v="0.81499999999999995"/>
    <n v="0.33899999999999997"/>
    <n v="1.9680041152263374"/>
    <n v="4.5884426229508186"/>
    <n v="2.6204385077244812"/>
    <n v="711.41052631578953"/>
    <n v="516.88421052631577"/>
    <n v="0"/>
    <n v="1228.2947368421053"/>
    <n v="63.699999999999996"/>
    <n v="1164.5947368421052"/>
  </r>
  <r>
    <s v="Inot Songoyani"/>
    <n v="111"/>
    <s v="Abel Maiko Bura"/>
    <s v="Abel Maiko Bura"/>
    <e v="#N/A"/>
    <s v="Seloto"/>
    <n v="1.2000000476837158"/>
    <s v="outfield"/>
    <s v="Feed livestock"/>
    <s v="OffField feed"/>
    <n v="1"/>
    <n v="2"/>
    <m/>
    <s v="Exchange_Weeding"/>
    <n v="1"/>
    <n v="0"/>
    <s v=""/>
    <m/>
    <m/>
    <s v=""/>
    <m/>
    <s v=""/>
    <m/>
    <m/>
    <s v=""/>
    <x v="0"/>
    <s v="Own animals"/>
    <n v="0"/>
    <s v=""/>
    <m/>
    <s v=""/>
    <s v=""/>
    <s v="Yes"/>
    <s v="No"/>
    <s v=""/>
    <n v="0"/>
    <s v=""/>
    <m/>
    <m/>
    <s v=""/>
    <s v=""/>
    <n v="0"/>
    <n v="1"/>
    <s v="01"/>
    <x v="1"/>
    <n v="0"/>
    <s v="No"/>
    <m/>
    <s v="Yes"/>
    <n v="1"/>
    <n v="2.25"/>
    <s v="Yes"/>
    <s v="Rent"/>
    <n v="5"/>
    <n v="2.25"/>
    <n v="7.25"/>
    <s v="Yes"/>
    <s v="Yes"/>
    <s v="Yes"/>
    <s v="No"/>
    <s v="No"/>
    <s v="No"/>
    <n v="3"/>
    <s v="Zero grazing"/>
    <n v="2"/>
    <s v="Zero grazing"/>
    <n v="8"/>
    <s v="Zero grazing"/>
    <m/>
    <s v=""/>
    <m/>
    <s v=""/>
    <m/>
    <n v="3.2800000000000002"/>
    <s v="Low"/>
    <n v="1"/>
    <n v="2"/>
    <n v="2"/>
    <n v="5"/>
    <n v="0"/>
    <n v="0"/>
    <n v="0"/>
    <m/>
    <n v="33.75"/>
    <s v="Medium"/>
    <n v="37.03"/>
    <s v="No"/>
    <s v=""/>
    <s v="Yes"/>
    <s v="Casual"/>
    <n v="0.25"/>
    <n v="1.75"/>
    <n v="0"/>
    <s v="No"/>
    <n v="1.25"/>
    <n v="20"/>
    <s v="Bags"/>
    <n v="3.84"/>
    <n v="1.25"/>
    <n v="1"/>
    <s v="Bags"/>
    <n v="0.192"/>
    <n v="1.25"/>
    <n v="5"/>
    <s v="Gorogoro"/>
    <n v="0.16031999999999999"/>
    <x v="1"/>
    <s v="Yes"/>
    <s v="Yes"/>
    <s v="No"/>
    <s v="No"/>
    <n v="3"/>
    <n v="2"/>
    <s v="uuid:2a0cb5d4-efcd-43c6-bed9-9cdd80435f29/secG-G2"/>
    <s v="uuid:2a0cb5d4-efcd-43c6-bed9-9cdd80435f29/secG-G5"/>
    <n v="-4.2611217498779297"/>
    <n v="35.519355773925781"/>
    <n v="1640.199951171875"/>
    <n v="5"/>
    <n v="1706031849"/>
    <s v="uuid:2a0cb5d4-efcd-43c6-bed9-9cdd80435f29"/>
    <d v="2017-06-17T09:54:37"/>
    <d v="2017-06-15T13:16:13"/>
    <d v="2017-06-15T13:45:35"/>
    <d v="2017-01-01T00:00:00"/>
    <m/>
    <m/>
    <m/>
    <m/>
    <m/>
    <m/>
    <n v="1"/>
    <m/>
    <s v="Plains"/>
    <n v="3.1812281608599999"/>
    <s v="Gentle"/>
    <s v="Flat"/>
    <n v="-0.45320102572400001"/>
    <n v="9.0168313980099999"/>
    <m/>
    <m/>
    <m/>
    <m/>
    <m/>
    <m/>
    <m/>
    <m/>
    <n v="1351.6799999999998"/>
    <n v="109.33824"/>
    <n v="152.64000000000001"/>
    <n v="1613.65824"/>
    <n v="63.699999999999996"/>
    <n v="1549.9582399999999"/>
  </r>
  <r>
    <s v="Inot Songoyani"/>
    <n v="13"/>
    <s v="Petrolina Baa Tlaa Endanoga"/>
    <s v="Petrolina Baa Tlaa "/>
    <s v="ENDANOGA"/>
    <s v="Endanoga"/>
    <n v="1.5"/>
    <s v="outfield"/>
    <s v="Feed livestock"/>
    <s v="InField feed"/>
    <n v="1"/>
    <n v="1"/>
    <m/>
    <s v="Free"/>
    <n v="0"/>
    <n v="0"/>
    <s v=""/>
    <m/>
    <s v="Variable"/>
    <s v="Other fields in my home village"/>
    <m/>
    <s v="Other, Specify"/>
    <n v="999"/>
    <m/>
    <s v=""/>
    <x v="1"/>
    <s v=""/>
    <n v="0"/>
    <s v=""/>
    <m/>
    <s v=""/>
    <s v=""/>
    <s v="No"/>
    <s v="No"/>
    <s v=""/>
    <n v="0"/>
    <s v=""/>
    <m/>
    <m/>
    <s v=""/>
    <s v=""/>
    <n v="0"/>
    <n v="1"/>
    <s v="01"/>
    <x v="1"/>
    <n v="0"/>
    <s v="Yes"/>
    <n v="1"/>
    <s v="Yes"/>
    <n v="2"/>
    <n v="2.25"/>
    <s v="No"/>
    <s v=""/>
    <m/>
    <n v="3.25"/>
    <n v="3.25"/>
    <s v="Yes"/>
    <s v="Yes"/>
    <s v="No"/>
    <s v="No"/>
    <s v="No"/>
    <s v="No"/>
    <n v="4"/>
    <s v="Zero grazing"/>
    <n v="3"/>
    <s v="Zero grazing"/>
    <m/>
    <s v=""/>
    <m/>
    <s v=""/>
    <m/>
    <s v=""/>
    <m/>
    <n v="4.3"/>
    <s v="Low"/>
    <n v="0"/>
    <n v="2"/>
    <n v="4"/>
    <n v="6"/>
    <n v="0"/>
    <n v="0"/>
    <n v="0"/>
    <s v=""/>
    <n v="48.75"/>
    <s v="Medium"/>
    <n v="53.05"/>
    <s v="Yes"/>
    <s v="Karate"/>
    <s v="No"/>
    <s v=""/>
    <n v="0.25"/>
    <n v="2"/>
    <n v="0"/>
    <s v="Yes"/>
    <n v="1"/>
    <n v="4"/>
    <s v="Bags"/>
    <n v="0.96"/>
    <m/>
    <n v="999"/>
    <s v="Bags"/>
    <m/>
    <n v="1"/>
    <n v="3"/>
    <s v="Bags"/>
    <n v="0.72"/>
    <x v="0"/>
    <s v="Yes"/>
    <s v="No"/>
    <s v="No"/>
    <s v="No"/>
    <n v="1"/>
    <n v="3"/>
    <s v="uuid:c9dc3c2d-e444-4e36-872d-ee09d0553d52/secG-G2"/>
    <s v="uuid:c9dc3c2d-e444-4e36-872d-ee09d0553d52/secG-G5"/>
    <n v="-4.2598285675048828"/>
    <n v="35.859825134277344"/>
    <n v="1326.199951171875"/>
    <n v="5"/>
    <n v="1705231439"/>
    <s v="uuid:c9dc3c2d-e444-4e36-872d-ee09d0553d52"/>
    <d v="2017-06-17T09:54:34"/>
    <d v="2017-06-07T13:36:20"/>
    <d v="2017-06-07T15:14:51"/>
    <d v="2017-02-27T00:00:00"/>
    <m/>
    <n v="4.152259105578608"/>
    <n v="4.4502074688796682"/>
    <n v="4.3424389119409872"/>
    <n v="4.1142231443061323"/>
    <m/>
    <n v="1"/>
    <m/>
    <s v="Plains"/>
    <n v="2.3941514491999998"/>
    <s v="Gentle"/>
    <s v="Flat"/>
    <n v="-0.362559139729"/>
    <n v="10.828481674200001"/>
    <n v="404.8867784940544"/>
    <n v="416.26503406082486"/>
    <n v="1.5669999999999999"/>
    <n v="1.2709999999999999"/>
    <n v="0.29600000000000004"/>
    <n v="4.2283310281235593"/>
    <n v="4.3012332872291381"/>
    <n v="7.2902259105578793E-2"/>
    <n v="337.91999999999996"/>
    <n v="491.03999999999996"/>
    <n v="0"/>
    <n v="828.95999999999992"/>
    <n v="0"/>
    <n v="828.95999999999992"/>
  </r>
  <r>
    <s v="Ezekiel Mngumi"/>
    <n v="91"/>
    <s v="Stanslaus Nicodemus"/>
    <s v="Stanslaus Nicodemus"/>
    <s v="SABILO"/>
    <s v="Sabilo"/>
    <n v="0"/>
    <s v="Homefield"/>
    <s v="Feed livestock"/>
    <s v="OffField feed"/>
    <n v="1"/>
    <n v="2"/>
    <n v="0"/>
    <s v="Free"/>
    <n v="0.60000002384185791"/>
    <n v="0"/>
    <s v=""/>
    <m/>
    <n v="0.60000002384185791"/>
    <s v="Other fields in my home village"/>
    <m/>
    <s v="My 'home field' away from here"/>
    <m/>
    <m/>
    <s v=""/>
    <x v="0"/>
    <s v="Own animals"/>
    <n v="0"/>
    <s v=""/>
    <m/>
    <s v=""/>
    <s v=""/>
    <s v="Yes"/>
    <s v="No"/>
    <m/>
    <n v="0"/>
    <s v=""/>
    <m/>
    <m/>
    <s v=""/>
    <s v=""/>
    <n v="0"/>
    <n v="1"/>
    <s v="01"/>
    <x v="1"/>
    <n v="0"/>
    <s v="Yes"/>
    <n v="1.5"/>
    <s v="Yes"/>
    <n v="1"/>
    <n v="2"/>
    <s v="Yes"/>
    <s v="Rent"/>
    <n v="1"/>
    <n v="3.5"/>
    <n v="4.5"/>
    <s v="Yes"/>
    <s v="Yes"/>
    <s v="No"/>
    <s v="Yes"/>
    <s v="No"/>
    <s v="No"/>
    <n v="6"/>
    <s v="Free range"/>
    <n v="1"/>
    <s v="Free range"/>
    <m/>
    <s v=""/>
    <n v="7"/>
    <s v="Free range"/>
    <m/>
    <s v=""/>
    <m/>
    <n v="6.8"/>
    <s v="Medium"/>
    <n v="1"/>
    <n v="1"/>
    <n v="5"/>
    <n v="7"/>
    <n v="0"/>
    <n v="0"/>
    <n v="1"/>
    <m/>
    <n v="52.8"/>
    <s v="Medium"/>
    <n v="59.6"/>
    <s v="Yes"/>
    <s v="Carate, Kung Fu, Suracron 720 EC"/>
    <s v="Yes"/>
    <s v="Multiple"/>
    <n v="1.5"/>
    <n v="1"/>
    <n v="0"/>
    <s v="Yes"/>
    <n v="1"/>
    <n v="20"/>
    <s v="Bags"/>
    <n v="4.8"/>
    <m/>
    <n v="999"/>
    <s v="Bags"/>
    <m/>
    <n v="1"/>
    <n v="1"/>
    <s v="Bags"/>
    <n v="0.24"/>
    <x v="0"/>
    <s v="Yes"/>
    <s v="No"/>
    <s v="No"/>
    <s v="Yes"/>
    <n v="2"/>
    <n v="4"/>
    <s v="uuid:9176a4c1-887a-47ca-a251-d60d60153183/secG-G2"/>
    <s v="uuid:9176a4c1-887a-47ca-a251-d60d60153183/secG-G5"/>
    <n v="-4.3563408851623535"/>
    <n v="35.484050750732422"/>
    <n v="1703.699951171875"/>
    <n v="10"/>
    <n v="1705231439"/>
    <s v="uuid:9176a4c1-887a-47ca-a251-d60d60153183"/>
    <d v="2017-07-11T08:17:13"/>
    <d v="2017-06-09T12:09:03"/>
    <d v="2017-07-07T11:10:59"/>
    <d v="2017-02-03T00:00:00"/>
    <m/>
    <n v="4.5914657210401897"/>
    <n v="5.5844444444444452"/>
    <n v="6.4490046296296288"/>
    <n v="8.8906481481481485"/>
    <m/>
    <s v="FALSEE"/>
    <m/>
    <s v="Plains"/>
    <n v="4.3402504921"/>
    <s v="Gentle"/>
    <s v="Flat"/>
    <n v="0.27193418145199999"/>
    <n v="8.3939695358299993"/>
    <n v="7.5674881388867741"/>
    <n v="56.040792301091408"/>
    <n v="1.4450000000000001"/>
    <n v="1.306"/>
    <n v="0.13900000000000001"/>
    <n v="7.6698263888888887"/>
    <n v="5.087955082742317"/>
    <n v="-2.5818713061465717"/>
    <n v="1689.6"/>
    <n v="163.68"/>
    <n v="0"/>
    <n v="1853.28"/>
    <n v="63.699999999999996"/>
    <n v="1789.58"/>
  </r>
  <r>
    <s v="Inot Songoyani"/>
    <n v="115"/>
    <s v="Kasiani Gurtu Samani"/>
    <s v="Kasiani Gurtu Samani"/>
    <s v="SELOTO"/>
    <s v="Seloto"/>
    <n v="2"/>
    <s v="outfield"/>
    <s v="Feed livestock"/>
    <s v="OffField feed"/>
    <n v="1"/>
    <n v="7"/>
    <m/>
    <s v="Exchange_Ploughing"/>
    <s v="Variable"/>
    <n v="0"/>
    <s v=""/>
    <m/>
    <m/>
    <s v=""/>
    <m/>
    <s v=""/>
    <m/>
    <m/>
    <s v=""/>
    <x v="1"/>
    <s v=""/>
    <n v="0"/>
    <s v=""/>
    <m/>
    <s v=""/>
    <s v=""/>
    <s v="No"/>
    <s v="No"/>
    <s v=""/>
    <n v="1"/>
    <s v="2 3"/>
    <n v="2"/>
    <n v="4"/>
    <n v="5000"/>
    <s v=""/>
    <n v="1"/>
    <n v="1"/>
    <s v="11"/>
    <x v="2"/>
    <n v="1"/>
    <s v="Yes"/>
    <n v="0.5"/>
    <s v="Yes"/>
    <n v="2"/>
    <n v="1.5"/>
    <s v="No"/>
    <s v=""/>
    <m/>
    <n v="2"/>
    <n v="2"/>
    <s v="No"/>
    <s v="No"/>
    <s v="No"/>
    <s v="No"/>
    <s v="No"/>
    <s v="No"/>
    <m/>
    <s v=""/>
    <m/>
    <s v=""/>
    <m/>
    <s v=""/>
    <m/>
    <s v=""/>
    <m/>
    <s v=""/>
    <m/>
    <n v="0"/>
    <s v="very low"/>
    <n v="1"/>
    <n v="0"/>
    <n v="0"/>
    <n v="1"/>
    <n v="0"/>
    <n v="0"/>
    <n v="0"/>
    <m/>
    <n v="30"/>
    <s v="Medium"/>
    <n v="30"/>
    <s v="No"/>
    <s v=""/>
    <s v="Yes"/>
    <s v="Casual"/>
    <n v="0.25"/>
    <n v="1"/>
    <n v="0"/>
    <s v="No"/>
    <n v="1.5"/>
    <n v="15"/>
    <s v="Bags"/>
    <n v="2.4"/>
    <n v="1.5"/>
    <n v="1.1499999761581421"/>
    <s v="Bags"/>
    <n v="0.18399999618530272"/>
    <n v="1.5"/>
    <n v="1"/>
    <s v="Bags"/>
    <n v="0.16"/>
    <x v="0"/>
    <s v="Yes"/>
    <s v="Yes"/>
    <s v="No"/>
    <s v="No"/>
    <n v="2"/>
    <n v="2"/>
    <s v="uuid:6d8254eb-de53-42a8-9500-c10399611d38/secG-G2"/>
    <s v="uuid:6d8254eb-de53-42a8-9500-c10399611d38/secG-G5"/>
    <n v="-4.2548995018005371"/>
    <n v="35.5269775390625"/>
    <n v="1632.199951171875"/>
    <n v="5"/>
    <n v="1706031849"/>
    <s v="uuid:6d8254eb-de53-42a8-9500-c10399611d38"/>
    <d v="2017-06-20T11:58:30"/>
    <d v="2017-06-17T12:11:46"/>
    <d v="2017-06-17T12:41:47"/>
    <d v="2017-12-28T00:00:00"/>
    <m/>
    <n v="2.4616577060931899"/>
    <n v="3.3549462365591403"/>
    <n v="5.6074572649572643"/>
    <n v="3.3982264957264956"/>
    <m/>
    <s v="FALSEE"/>
    <m/>
    <s v="Plains"/>
    <n v="1.0756396055199999"/>
    <s v="Very gentle"/>
    <s v="Flat"/>
    <n v="0.18129228055499999"/>
    <n v="8.9439697265600007"/>
    <n v="249.41135641267942"/>
    <n v="20.323620813151283"/>
    <n v="1.3580000000000001"/>
    <n v="1.29"/>
    <n v="6.800000000000006E-2"/>
    <n v="4.5028418803418795"/>
    <n v="2.9083019713261651"/>
    <n v="-1.5945399090157144"/>
    <n v="844.8"/>
    <n v="109.12"/>
    <n v="146.27999696731567"/>
    <n v="1100.1999969673157"/>
    <n v="0"/>
    <n v="1100.1999969673157"/>
  </r>
  <r>
    <s v="Michael"/>
    <n v="82"/>
    <s v="Danieli Martini"/>
    <s v="Danieli Martini"/>
    <s v="MANDI"/>
    <s v="Samatsi"/>
    <n v="0.5"/>
    <s v="outfield"/>
    <s v="Gives away"/>
    <s v="OffField feed"/>
    <n v="1"/>
    <n v="3"/>
    <n v="10000"/>
    <s v=""/>
    <n v="0.5"/>
    <n v="0"/>
    <s v=""/>
    <m/>
    <s v="Variable"/>
    <s v="Other fields in my home village"/>
    <m/>
    <s v="This field"/>
    <m/>
    <m/>
    <s v=""/>
    <x v="0"/>
    <s v="Purchase"/>
    <n v="0"/>
    <s v=""/>
    <m/>
    <s v=""/>
    <s v=""/>
    <s v="Yes"/>
    <s v="No"/>
    <m/>
    <n v="1"/>
    <n v="3"/>
    <n v="1"/>
    <n v="10"/>
    <n v="10000"/>
    <s v=""/>
    <n v="1"/>
    <n v="1"/>
    <s v="11"/>
    <x v="2"/>
    <n v="1"/>
    <s v="Yes"/>
    <n v="1"/>
    <s v="No"/>
    <m/>
    <m/>
    <s v="Yes"/>
    <s v="Rent"/>
    <n v="2.25"/>
    <n v="1"/>
    <n v="3.25"/>
    <s v="No"/>
    <s v="No"/>
    <s v="Yes"/>
    <s v="No"/>
    <s v="No"/>
    <s v="No"/>
    <m/>
    <s v=""/>
    <m/>
    <s v=""/>
    <n v="4"/>
    <s v="Free range"/>
    <m/>
    <s v=""/>
    <m/>
    <s v=""/>
    <m/>
    <n v="0.04"/>
    <s v="very low"/>
    <n v="1"/>
    <n v="0"/>
    <n v="0"/>
    <n v="1"/>
    <n v="0"/>
    <n v="0"/>
    <n v="0"/>
    <m/>
    <n v="15"/>
    <s v="Low"/>
    <n v="15.04"/>
    <s v="Yes"/>
    <s v="Dudu bar, Burner force,Carte"/>
    <s v="Yes"/>
    <s v="Animal draught"/>
    <n v="0.5"/>
    <n v="1.5"/>
    <n v="0"/>
    <s v="Yes"/>
    <n v="1"/>
    <n v="10"/>
    <s v="Bags"/>
    <n v="2.4"/>
    <n v="1"/>
    <n v="1"/>
    <s v="Bags"/>
    <n v="0.24"/>
    <m/>
    <n v="999"/>
    <s v="Bags"/>
    <m/>
    <x v="0"/>
    <s v="No"/>
    <s v="No"/>
    <s v="Yes"/>
    <s v="No"/>
    <n v="1"/>
    <n v="4"/>
    <s v="uuid:fc79e685-56d5-4151-82fb-e2906132b9fe/secG-G2"/>
    <s v="uuid:fc79e685-56d5-4151-82fb-e2906132b9fe/secG-G5"/>
    <n v="-4.3320112228393555"/>
    <n v="35.442691802978516"/>
    <n v="1564"/>
    <n v="5"/>
    <n v="1705231439"/>
    <s v="uuid:fc79e685-56d5-4151-82fb-e2906132b9fe"/>
    <d v="2017-07-07T09:17:30"/>
    <d v="2017-06-21T13:05:07"/>
    <d v="2017-07-07T09:10:28"/>
    <d v="2017-02-23T00:00:00"/>
    <m/>
    <n v="4.8893333333333331"/>
    <n v="2.7663333333333329"/>
    <n v="1.1749382716049384"/>
    <n v="1.3265432098765431"/>
    <m/>
    <n v="1"/>
    <m/>
    <s v="Plains"/>
    <n v="0.65533638000500005"/>
    <s v="Very gentle"/>
    <s v="Flat"/>
    <n v="8.4776775111099995E-6"/>
    <n v="11.811529159499999"/>
    <n v="256.84934752251172"/>
    <n v="62.776520441084614"/>
    <n v="1.329"/>
    <n v="1.0049999999999999"/>
    <n v="0.32400000000000007"/>
    <n v="1.2507407407407407"/>
    <n v="3.827833333333333"/>
    <n v="2.5770925925925923"/>
    <n v="844.8"/>
    <n v="0"/>
    <n v="190.79999999999998"/>
    <n v="1035.5999999999999"/>
    <n v="63.699999999999996"/>
    <n v="971.89999999999986"/>
  </r>
  <r>
    <s v="Michael"/>
    <n v="81"/>
    <s v="Eladi Simon"/>
    <s v="Eladi Simon"/>
    <s v="MANDI"/>
    <s v="Samatsi"/>
    <n v="1"/>
    <s v="outfield"/>
    <s v="Gives away"/>
    <s v="OffField feed"/>
    <n v="1"/>
    <n v="2"/>
    <m/>
    <s v="Exchange_Land"/>
    <n v="0.20000000298023224"/>
    <n v="0"/>
    <s v=""/>
    <m/>
    <s v="Variable"/>
    <s v="Other fields in my home village"/>
    <m/>
    <s v="This field"/>
    <m/>
    <m/>
    <s v=""/>
    <x v="0"/>
    <s v="Free from land owner"/>
    <n v="0"/>
    <s v=""/>
    <m/>
    <s v=""/>
    <s v=""/>
    <s v="Yes"/>
    <s v="No"/>
    <m/>
    <n v="1"/>
    <n v="2"/>
    <n v="1"/>
    <n v="10"/>
    <s v=""/>
    <s v="Crop residues"/>
    <n v="1"/>
    <n v="1"/>
    <s v="11"/>
    <x v="2"/>
    <n v="1"/>
    <s v="Yes"/>
    <n v="1"/>
    <s v="Yes"/>
    <n v="1"/>
    <n v="0.25"/>
    <s v="Yes"/>
    <s v="Donation for a period"/>
    <n v="1.75"/>
    <n v="1.25"/>
    <n v="3"/>
    <s v="No"/>
    <s v="No"/>
    <s v="Yes"/>
    <s v="No"/>
    <s v="No"/>
    <s v="No"/>
    <m/>
    <s v=""/>
    <m/>
    <s v=""/>
    <n v="5"/>
    <s v="Free range"/>
    <m/>
    <s v=""/>
    <m/>
    <s v=""/>
    <m/>
    <n v="0.05"/>
    <s v="very low"/>
    <n v="1"/>
    <n v="1"/>
    <n v="2"/>
    <n v="4"/>
    <n v="0"/>
    <n v="0"/>
    <n v="0"/>
    <m/>
    <n v="18.75"/>
    <s v="Medium"/>
    <n v="18.8"/>
    <s v="Yes"/>
    <s v="Burner force,Carte"/>
    <s v="Yes"/>
    <s v="Animal draught"/>
    <n v="0.5"/>
    <n v="1"/>
    <n v="0"/>
    <s v="Yes"/>
    <m/>
    <n v="999"/>
    <s v="Bags"/>
    <m/>
    <m/>
    <n v="999"/>
    <s v="Bags"/>
    <m/>
    <m/>
    <n v="999"/>
    <s v="Bags"/>
    <m/>
    <x v="1"/>
    <s v="No"/>
    <s v="No"/>
    <s v="Yes"/>
    <s v="No"/>
    <n v="2"/>
    <n v="5"/>
    <s v="uuid:05141ace-d780-4d9d-bda6-357b8fe62ca9/secG-G2"/>
    <s v="uuid:05141ace-d780-4d9d-bda6-357b8fe62ca9/secG-G5"/>
    <n v="-4.3300871849060059"/>
    <n v="35.443668365478516"/>
    <n v="1549.699951171875"/>
    <n v="5"/>
    <n v="1705231439"/>
    <s v="uuid:05141ace-d780-4d9d-bda6-357b8fe62ca9"/>
    <d v="2017-07-07T09:17:29"/>
    <d v="2017-06-21T12:15:43"/>
    <d v="2017-07-07T09:10:48"/>
    <d v="2017-02-15T00:00:00"/>
    <m/>
    <n v="3.9555000000000002"/>
    <n v="4.4749090909090903"/>
    <n v="4.5749360613810746"/>
    <n v="4.8368880455407979"/>
    <m/>
    <s v="FALSEE"/>
    <m/>
    <s v="Plains"/>
    <n v="0"/>
    <s v="Depression"/>
    <s v="Flat"/>
    <n v="8.4776775111099995E-6"/>
    <n v="11.4374370575"/>
    <n v="407.51114749361983"/>
    <m/>
    <n v="1.6459999999999999"/>
    <m/>
    <m/>
    <n v="4.7059120534609367"/>
    <n v="4.2152045454545455"/>
    <n v="-0.49070750800639118"/>
    <n v="0"/>
    <n v="0"/>
    <n v="0"/>
    <n v="0"/>
    <n v="63.699999999999996"/>
    <n v="-63.699999999999996"/>
  </r>
  <r>
    <s v="Inot Songoyani"/>
    <n v="179"/>
    <s v="Emanuli Gemsi Gwangwai"/>
    <s v="Emanuel James Gwangway"/>
    <s v="DURU"/>
    <s v="Duru"/>
    <n v="2"/>
    <s v="outfield"/>
    <s v="Feed livestock"/>
    <s v="OffField feed"/>
    <n v="0"/>
    <m/>
    <m/>
    <s v=""/>
    <m/>
    <n v="0"/>
    <s v=""/>
    <m/>
    <m/>
    <s v=""/>
    <m/>
    <s v=""/>
    <m/>
    <m/>
    <s v=""/>
    <x v="1"/>
    <s v=""/>
    <n v="0"/>
    <s v=""/>
    <m/>
    <s v=""/>
    <s v=""/>
    <s v="No"/>
    <s v="No"/>
    <s v=""/>
    <n v="0"/>
    <s v=""/>
    <m/>
    <m/>
    <s v=""/>
    <s v=""/>
    <n v="0"/>
    <n v="0"/>
    <s v="00"/>
    <x v="2"/>
    <n v="1"/>
    <s v="No"/>
    <m/>
    <s v="No"/>
    <m/>
    <m/>
    <s v="Yes"/>
    <s v="Rent"/>
    <n v="2"/>
    <n v="0"/>
    <n v="2"/>
    <s v="No"/>
    <s v="No"/>
    <s v="No"/>
    <s v="No"/>
    <s v="No"/>
    <s v="No"/>
    <m/>
    <s v=""/>
    <m/>
    <s v=""/>
    <m/>
    <s v=""/>
    <m/>
    <s v=""/>
    <m/>
    <s v=""/>
    <m/>
    <n v="0"/>
    <s v="very low"/>
    <n v="1"/>
    <n v="0"/>
    <n v="0"/>
    <n v="1"/>
    <n v="0"/>
    <n v="0"/>
    <n v="0"/>
    <s v=""/>
    <n v="0"/>
    <s v="Low"/>
    <n v="0"/>
    <s v="No"/>
    <s v=""/>
    <s v="Yes"/>
    <s v="Casual"/>
    <n v="0.25"/>
    <n v="0.25"/>
    <m/>
    <s v="Yes"/>
    <n v="0.25"/>
    <n v="3"/>
    <s v="Bags"/>
    <n v="2.8800000000000003"/>
    <m/>
    <n v="999"/>
    <s v="Bags"/>
    <m/>
    <n v="0.5"/>
    <n v="1"/>
    <s v="Bags"/>
    <n v="0.48"/>
    <x v="0"/>
    <s v="No"/>
    <s v="No"/>
    <s v="No"/>
    <s v="No"/>
    <n v="0"/>
    <n v="2"/>
    <s v="uuid:3a842e68-6b2b-4655-a00e-bc3921c3847c/secG-G2"/>
    <s v="uuid:3a842e68-6b2b-4655-a00e-bc3921c3847c/secG-G5"/>
    <n v="-4.310173511505127"/>
    <n v="35.596302032470703"/>
    <n v="1637.5"/>
    <n v="5"/>
    <n v="1706031849"/>
    <s v="uuid:3a842e68-6b2b-4655-a00e-bc3921c3847c"/>
    <d v="2017-07-10T13:49:15"/>
    <d v="2017-07-05T11:38:58"/>
    <d v="2017-07-05T17:29:58"/>
    <d v="2017-02-04T00:00:00"/>
    <m/>
    <n v="4.1811188271604935"/>
    <n v="10.020370370370371"/>
    <n v="2.1583970856102006"/>
    <n v="0.89821493624772331"/>
    <m/>
    <n v="1"/>
    <m/>
    <s v="Upper slopes"/>
    <n v="4.7960176467900002"/>
    <s v="Gentle"/>
    <s v="Flat"/>
    <n v="0.18129228055499999"/>
    <n v="7.3213319778399999"/>
    <n v="145.62949034461792"/>
    <n v="598.45102641279732"/>
    <n v="0.88"/>
    <n v="1.5820000000000001"/>
    <n v="-0.70200000000000007"/>
    <n v="1.5283060109289619"/>
    <n v="7.1007445987654325"/>
    <n v="5.5724385878364711"/>
    <n v="1013.7600000000001"/>
    <n v="327.36"/>
    <n v="0"/>
    <n v="1341.1200000000001"/>
    <n v="0"/>
    <n v="1341.1200000000001"/>
  </r>
  <r>
    <s v="Inot Songoyani"/>
    <n v="177"/>
    <s v="Gregory Sirili Sule"/>
    <s v="Gregory Sirili Sule"/>
    <s v="DURU"/>
    <s v="Duru"/>
    <n v="3"/>
    <s v="outfield"/>
    <s v="Feed livestock"/>
    <s v="OffField feed"/>
    <n v="0"/>
    <m/>
    <m/>
    <s v=""/>
    <m/>
    <n v="0"/>
    <s v=""/>
    <m/>
    <m/>
    <s v=""/>
    <m/>
    <s v=""/>
    <m/>
    <m/>
    <s v=""/>
    <x v="1"/>
    <s v=""/>
    <n v="0"/>
    <s v=""/>
    <m/>
    <s v=""/>
    <s v=""/>
    <s v="No"/>
    <s v="No"/>
    <s v=""/>
    <n v="0"/>
    <s v=""/>
    <m/>
    <m/>
    <s v=""/>
    <s v=""/>
    <n v="0"/>
    <n v="0"/>
    <s v="00"/>
    <x v="2"/>
    <n v="1"/>
    <s v="No"/>
    <m/>
    <s v="No"/>
    <m/>
    <m/>
    <s v="Yes"/>
    <s v="Rent"/>
    <n v="0.5"/>
    <n v="0"/>
    <n v="0.5"/>
    <s v="No"/>
    <s v="No"/>
    <s v="No"/>
    <s v="No"/>
    <s v="No"/>
    <s v="No"/>
    <m/>
    <s v=""/>
    <m/>
    <s v=""/>
    <m/>
    <s v=""/>
    <m/>
    <s v=""/>
    <m/>
    <s v=""/>
    <m/>
    <n v="0"/>
    <s v="very low"/>
    <n v="1"/>
    <n v="0"/>
    <n v="0"/>
    <n v="1"/>
    <n v="0"/>
    <n v="0"/>
    <n v="0"/>
    <s v=""/>
    <n v="0"/>
    <s v="Low"/>
    <n v="0"/>
    <s v="No"/>
    <s v=""/>
    <s v="Yes"/>
    <s v="Casual"/>
    <n v="0.25"/>
    <n v="0.5"/>
    <m/>
    <s v="Yes"/>
    <n v="0.5"/>
    <n v="4"/>
    <s v="Bags"/>
    <n v="1.92"/>
    <m/>
    <n v="999"/>
    <s v="Bags"/>
    <m/>
    <n v="0.5"/>
    <n v="4"/>
    <s v="Bags"/>
    <n v="1.92"/>
    <x v="0"/>
    <s v="No"/>
    <s v="No"/>
    <s v="No"/>
    <s v="No"/>
    <n v="0"/>
    <n v="2"/>
    <s v="uuid:28aeaf8f-d8c3-4961-b46a-75286c16be9d/secG-G2"/>
    <s v="uuid:28aeaf8f-d8c3-4961-b46a-75286c16be9d/secG-G5"/>
    <n v="-4.3098268508911133"/>
    <n v="35.596477508544922"/>
    <n v="1644.199951171875"/>
    <n v="5"/>
    <n v="1706031849"/>
    <s v="uuid:28aeaf8f-d8c3-4961-b46a-75286c16be9d"/>
    <d v="2017-07-10T13:49:09"/>
    <d v="2017-07-05T11:31:46"/>
    <d v="2017-07-05T17:38:00"/>
    <d v="2017-01-27T00:00:00"/>
    <m/>
    <n v="5.128579234972678"/>
    <n v="4.8093442622950819"/>
    <n v="4.7427160493827163"/>
    <n v="1.8320987654320988"/>
    <m/>
    <n v="1"/>
    <m/>
    <s v="High ridges"/>
    <n v="2.5552546978000001"/>
    <s v="Gentle"/>
    <s v="Ridge"/>
    <n v="1.35963702202"/>
    <n v="7.52337741852"/>
    <n v="424.28889715580522"/>
    <n v="427.07549122391703"/>
    <n v="1.488"/>
    <n v="1.4910000000000001"/>
    <n v="-3.0000000000001137E-3"/>
    <n v="3.2874074074074073"/>
    <n v="4.9689617486338804"/>
    <n v="1.6815543412264731"/>
    <n v="675.83999999999992"/>
    <n v="1309.44"/>
    <n v="0"/>
    <n v="1985.28"/>
    <n v="0"/>
    <n v="1985.28"/>
  </r>
  <r>
    <s v="Inot Songoyani"/>
    <n v="228"/>
    <s v="Daniel Darabe Dagharo"/>
    <s v="Daniel Darabe Dagharo"/>
    <s v="ENDAGWE"/>
    <s v="Endagwe"/>
    <n v="3"/>
    <s v="outfield"/>
    <s v="Feed livestock"/>
    <s v="InField feed"/>
    <n v="0"/>
    <m/>
    <m/>
    <s v=""/>
    <m/>
    <n v="0"/>
    <s v=""/>
    <m/>
    <m/>
    <s v=""/>
    <m/>
    <s v=""/>
    <m/>
    <m/>
    <s v=""/>
    <x v="1"/>
    <s v=""/>
    <n v="0"/>
    <s v=""/>
    <m/>
    <s v=""/>
    <s v=""/>
    <s v="No"/>
    <s v="No"/>
    <s v=""/>
    <n v="0"/>
    <s v=""/>
    <m/>
    <m/>
    <s v=""/>
    <s v=""/>
    <n v="0"/>
    <n v="0"/>
    <s v="00"/>
    <x v="2"/>
    <n v="1"/>
    <s v="No"/>
    <m/>
    <s v="No"/>
    <m/>
    <m/>
    <s v="Yes"/>
    <s v="Family"/>
    <n v="2"/>
    <n v="0"/>
    <n v="2"/>
    <s v="No"/>
    <s v="No"/>
    <s v="No"/>
    <s v="No"/>
    <s v="No"/>
    <s v="No"/>
    <m/>
    <s v=""/>
    <m/>
    <s v=""/>
    <m/>
    <s v=""/>
    <m/>
    <s v=""/>
    <m/>
    <s v=""/>
    <m/>
    <n v="0"/>
    <s v="very low"/>
    <n v="1"/>
    <n v="1"/>
    <n v="0"/>
    <n v="2"/>
    <n v="0"/>
    <n v="0"/>
    <n v="0"/>
    <s v=""/>
    <n v="0"/>
    <s v="Low"/>
    <n v="0"/>
    <s v="No"/>
    <s v=""/>
    <s v="No"/>
    <s v=""/>
    <n v="0"/>
    <n v="0.25"/>
    <n v="1.75"/>
    <s v="Yes"/>
    <n v="2"/>
    <n v="12"/>
    <s v="Bags"/>
    <n v="1.4400000000000002"/>
    <m/>
    <n v="999"/>
    <s v="Bags"/>
    <m/>
    <n v="2"/>
    <n v="5"/>
    <s v="Bags"/>
    <n v="0.6"/>
    <x v="0"/>
    <s v="No"/>
    <s v="No"/>
    <s v="No"/>
    <s v="No"/>
    <n v="0"/>
    <n v="2"/>
    <s v="uuid:422265a2-5079-4ae8-b3d1-a4715fd919ee/secG-G2"/>
    <s v="uuid:422265a2-5079-4ae8-b3d1-a4715fd919ee/secG-G5"/>
    <n v="-4.3860979080200195"/>
    <n v="35.655014038085938"/>
    <n v="1659.4000244140625"/>
    <n v="5"/>
    <n v="1706031849"/>
    <s v="uuid:422265a2-5079-4ae8-b3d1-a4715fd919ee"/>
    <d v="2017-08-04T00:20:34"/>
    <d v="2017-07-19T12:20:39"/>
    <d v="2017-08-04T00:12:42"/>
    <d v="2017-03-02T00:00:00"/>
    <m/>
    <n v="3.0666666666666664"/>
    <n v="4.673976608187135"/>
    <n v="2.0523076923076919"/>
    <n v="1.5003076923076921"/>
    <m/>
    <n v="1"/>
    <m/>
    <s v="Upper slopes"/>
    <n v="8.3536539077800001"/>
    <s v="Moderate"/>
    <s v="Midslope"/>
    <n v="-9.0633422136300004E-2"/>
    <n v="7.43101072311"/>
    <n v="293.45036204599444"/>
    <n v="46.728885009081537"/>
    <n v="0.89700000000000002"/>
    <n v="0.81499999999999995"/>
    <n v="8.2000000000000073E-2"/>
    <n v="1.7763076923076921"/>
    <n v="3.8703216374269007"/>
    <n v="2.0940139451192086"/>
    <n v="506.88000000000005"/>
    <n v="409.2"/>
    <n v="0"/>
    <n v="916.08"/>
    <n v="0"/>
    <n v="916.08"/>
  </r>
  <r>
    <s v="Inot Songoyani"/>
    <n v="229"/>
    <s v="John b Darab Dakaro"/>
    <s v="John Darabe Dagharo"/>
    <s v="ENDAGWE"/>
    <s v="Endagwe"/>
    <n v="0"/>
    <s v="Homefield"/>
    <s v="Feed livestock"/>
    <s v="InField feed"/>
    <n v="0"/>
    <m/>
    <m/>
    <s v=""/>
    <m/>
    <n v="0"/>
    <s v=""/>
    <m/>
    <m/>
    <s v=""/>
    <m/>
    <s v=""/>
    <m/>
    <m/>
    <s v=""/>
    <x v="1"/>
    <s v=""/>
    <n v="0"/>
    <s v=""/>
    <m/>
    <s v=""/>
    <s v=""/>
    <s v="No"/>
    <s v="No"/>
    <s v=""/>
    <n v="0"/>
    <s v=""/>
    <m/>
    <m/>
    <s v=""/>
    <s v=""/>
    <n v="0"/>
    <n v="0"/>
    <s v="00"/>
    <x v="2"/>
    <n v="1"/>
    <s v="No"/>
    <m/>
    <s v="No"/>
    <m/>
    <m/>
    <s v="No"/>
    <s v=""/>
    <m/>
    <n v="0"/>
    <n v="0"/>
    <s v="No"/>
    <s v="No"/>
    <s v="No"/>
    <s v="No"/>
    <s v="No"/>
    <s v="No"/>
    <m/>
    <s v=""/>
    <m/>
    <s v=""/>
    <m/>
    <s v=""/>
    <m/>
    <s v=""/>
    <m/>
    <s v=""/>
    <m/>
    <n v="0"/>
    <s v="very low"/>
    <n v="0"/>
    <n v="2"/>
    <n v="3"/>
    <n v="5"/>
    <n v="0"/>
    <n v="0"/>
    <n v="0"/>
    <s v=""/>
    <n v="0"/>
    <s v="Low"/>
    <n v="0"/>
    <s v="No"/>
    <s v=""/>
    <s v="No"/>
    <s v=""/>
    <n v="0.25"/>
    <n v="0.75"/>
    <m/>
    <s v="Yes"/>
    <n v="1.5"/>
    <n v="12"/>
    <s v="Bags"/>
    <n v="1.9200000000000002"/>
    <m/>
    <n v="999"/>
    <s v="Bags"/>
    <m/>
    <n v="1.5"/>
    <n v="2"/>
    <s v="Bags"/>
    <n v="0.32"/>
    <x v="0"/>
    <s v="No"/>
    <s v="No"/>
    <s v="No"/>
    <s v="No"/>
    <n v="0"/>
    <n v="2"/>
    <s v="uuid:7b2bb193-0321-42c4-9744-4eebdafdc4ca/secG-G2"/>
    <s v="uuid:7b2bb193-0321-42c4-9744-4eebdafdc4ca/secG-G5"/>
    <n v="-4.3854074478149414"/>
    <n v="35.653667449951172"/>
    <n v="1661"/>
    <n v="5"/>
    <n v="1706031849"/>
    <s v="uuid:7b2bb193-0321-42c4-9744-4eebdafdc4ca"/>
    <d v="2017-08-04T00:20:33"/>
    <d v="2017-07-19T11:57:21"/>
    <d v="2017-08-04T00:20:18"/>
    <d v="2017-02-07T00:00:00"/>
    <m/>
    <n v="3.1124007936507936"/>
    <n v="3.5065476190476188"/>
    <n v="1.7349382716049384"/>
    <n v="0.79979423868312749"/>
    <m/>
    <n v="1"/>
    <m/>
    <s v="Open slopes"/>
    <n v="6.4429926872300003"/>
    <s v="Moderate"/>
    <s v="Upper slope"/>
    <n v="0.99706941842999997"/>
    <n v="7.3048858642600001"/>
    <n v="328.42423259977534"/>
    <n v="122.06806408810331"/>
    <n v="1.236"/>
    <n v="1.0509999999999999"/>
    <n v="0.18500000000000005"/>
    <n v="1.267366255144033"/>
    <n v="3.309474206349206"/>
    <n v="2.042107951205173"/>
    <n v="675.84"/>
    <n v="218.24"/>
    <n v="0"/>
    <n v="894.08"/>
    <n v="0"/>
    <n v="894.08"/>
  </r>
  <r>
    <s v="Inot Songoyani"/>
    <n v="215"/>
    <s v="Samwel Mohamedi Harseo"/>
    <s v="Samwel Mohamedi Harseo"/>
    <s v="ENDAGWE"/>
    <s v="Endagwe"/>
    <n v="4"/>
    <s v="outfield"/>
    <s v="Feed livestock"/>
    <s v="InField feed"/>
    <n v="0"/>
    <m/>
    <m/>
    <s v=""/>
    <m/>
    <n v="0"/>
    <s v=""/>
    <m/>
    <m/>
    <s v=""/>
    <m/>
    <s v=""/>
    <m/>
    <m/>
    <s v=""/>
    <x v="1"/>
    <s v=""/>
    <n v="0"/>
    <s v=""/>
    <m/>
    <s v=""/>
    <s v=""/>
    <s v="No"/>
    <s v="No"/>
    <s v=""/>
    <n v="0"/>
    <s v=""/>
    <m/>
    <m/>
    <s v=""/>
    <s v=""/>
    <n v="0"/>
    <n v="0"/>
    <s v="00"/>
    <x v="2"/>
    <n v="1"/>
    <s v="No"/>
    <m/>
    <s v="No"/>
    <m/>
    <m/>
    <s v="Yes"/>
    <s v="Family"/>
    <n v="1"/>
    <n v="0"/>
    <n v="1"/>
    <s v="No"/>
    <s v="No"/>
    <s v="No"/>
    <s v="No"/>
    <s v="No"/>
    <s v="No"/>
    <m/>
    <s v=""/>
    <m/>
    <s v=""/>
    <m/>
    <s v=""/>
    <m/>
    <s v=""/>
    <m/>
    <s v=""/>
    <m/>
    <n v="0"/>
    <s v="very low"/>
    <n v="1"/>
    <n v="0"/>
    <n v="0"/>
    <n v="1"/>
    <n v="0"/>
    <n v="0"/>
    <n v="0"/>
    <s v=""/>
    <n v="0"/>
    <s v="Low"/>
    <n v="0"/>
    <s v="No"/>
    <s v=""/>
    <s v="No"/>
    <s v=""/>
    <n v="0.25"/>
    <n v="0.75"/>
    <m/>
    <s v="No"/>
    <n v="1"/>
    <n v="3"/>
    <s v="Bags"/>
    <n v="0.72000000000000008"/>
    <m/>
    <n v="999"/>
    <s v="Bags"/>
    <m/>
    <n v="1"/>
    <n v="2"/>
    <s v="Bags"/>
    <n v="0.48"/>
    <x v="0"/>
    <s v="No"/>
    <s v="No"/>
    <s v="No"/>
    <s v="No"/>
    <n v="0"/>
    <n v="2"/>
    <s v="uuid:20cf5002-10e5-45e1-9444-1e4d36238d58/secG-G2"/>
    <s v="uuid:20cf5002-10e5-45e1-9444-1e4d36238d58/secG-G5"/>
    <n v="-4.3547134399414063"/>
    <n v="35.649200439453125"/>
    <n v="1602.9000244140625"/>
    <n v="5"/>
    <n v="1706031849"/>
    <s v="uuid:20cf5002-10e5-45e1-9444-1e4d36238d58"/>
    <d v="2017-08-03T23:13:07"/>
    <d v="2017-07-18T12:38:04"/>
    <d v="2017-08-03T21:41:06"/>
    <d v="2017-02-04T00:00:00"/>
    <m/>
    <n v="3.6637681159420294"/>
    <n v="5.0682125603864741"/>
    <n v="2.12780193236715"/>
    <n v="2.9897946859903386"/>
    <m/>
    <n v="1"/>
    <m/>
    <s v="Open slopes"/>
    <n v="5.1887135505700002"/>
    <s v="Moderate"/>
    <s v="Midslope"/>
    <n v="0.45321798324599999"/>
    <n v="7.4710698127699997"/>
    <n v="661.59333558048854"/>
    <n v="373.03768478836628"/>
    <n v="2.198"/>
    <n v="1.6970000000000001"/>
    <n v="0.50099999999999989"/>
    <n v="2.5587983091787443"/>
    <n v="4.3659903381642522"/>
    <n v="1.8071920289855079"/>
    <n v="253.44000000000003"/>
    <n v="327.36"/>
    <n v="0"/>
    <n v="580.80000000000007"/>
    <n v="0"/>
    <n v="580.80000000000007"/>
  </r>
  <r>
    <s v="Inot Songoyani"/>
    <n v="230"/>
    <s v="Hassani Abdi Hau"/>
    <s v="Hassani Abdi Hau"/>
    <s v="TSAMASI"/>
    <s v="Samatsi"/>
    <n v="1.5"/>
    <s v="outfield"/>
    <s v="Feed livestock"/>
    <s v="OffField feed"/>
    <n v="0"/>
    <m/>
    <m/>
    <s v=""/>
    <m/>
    <n v="0"/>
    <s v=""/>
    <m/>
    <m/>
    <s v=""/>
    <m/>
    <s v=""/>
    <m/>
    <m/>
    <s v=""/>
    <x v="1"/>
    <s v=""/>
    <n v="0"/>
    <s v=""/>
    <m/>
    <s v=""/>
    <s v=""/>
    <s v="No"/>
    <s v="No"/>
    <s v=""/>
    <n v="0"/>
    <s v=""/>
    <m/>
    <m/>
    <s v=""/>
    <s v=""/>
    <n v="0"/>
    <n v="0"/>
    <s v="00"/>
    <x v="2"/>
    <n v="1"/>
    <s v="No"/>
    <m/>
    <s v="No"/>
    <m/>
    <m/>
    <s v="No"/>
    <s v=""/>
    <m/>
    <n v="0"/>
    <n v="0"/>
    <s v="No"/>
    <s v="No"/>
    <s v="No"/>
    <s v="No"/>
    <s v="No"/>
    <s v="No"/>
    <m/>
    <s v=""/>
    <m/>
    <s v=""/>
    <m/>
    <s v=""/>
    <m/>
    <s v=""/>
    <m/>
    <s v=""/>
    <m/>
    <n v="0"/>
    <s v="very low"/>
    <n v="1"/>
    <n v="1"/>
    <n v="0"/>
    <n v="2"/>
    <n v="0"/>
    <n v="0"/>
    <n v="0"/>
    <s v=""/>
    <n v="0"/>
    <s v="Low"/>
    <n v="0"/>
    <s v="No"/>
    <s v=""/>
    <s v="No"/>
    <s v=""/>
    <n v="0.25"/>
    <n v="0.75"/>
    <m/>
    <s v="Yes"/>
    <n v="1"/>
    <n v="4"/>
    <s v="Bags"/>
    <n v="0.96"/>
    <m/>
    <n v="999"/>
    <s v="Bags"/>
    <m/>
    <n v="1"/>
    <n v="4"/>
    <s v="Gorogoro"/>
    <n v="0.16031999999999999"/>
    <x v="0"/>
    <s v="No"/>
    <s v="No"/>
    <s v="No"/>
    <s v="No"/>
    <n v="0"/>
    <n v="2"/>
    <s v="uuid:95ffd41c-a7b8-428b-8216-3e13d639f1cb/secG-G2"/>
    <s v="uuid:95ffd41c-a7b8-428b-8216-3e13d639f1cb/secG-G5"/>
    <n v="-4.294283390045166"/>
    <n v="35.813655853271484"/>
    <n v="1377.0999755859375"/>
    <n v="5"/>
    <n v="1706031849"/>
    <s v="uuid:95ffd41c-a7b8-428b-8216-3e13d639f1cb"/>
    <d v="2017-08-04T00:20:35"/>
    <d v="2017-07-22T13:21:58"/>
    <d v="2017-08-04T00:16:29"/>
    <d v="2017-02-08T00:00:00"/>
    <m/>
    <n v="0.72891975308641976"/>
    <n v="0.74665895061728393"/>
    <n v="1.8089954337899545"/>
    <n v="1.8455936073059362"/>
    <m/>
    <s v="FALSEE"/>
    <m/>
    <s v="Open slopes"/>
    <n v="10.450006484999999"/>
    <s v="Strong"/>
    <s v="Upper slope"/>
    <n v="0.815785527229"/>
    <n v="6.82558727264"/>
    <n v="6.3412939092600542"/>
    <n v="281.01808577952613"/>
    <n v="0.81499999999999995"/>
    <n v="1.1679999999999999"/>
    <n v="-0.35299999999999998"/>
    <n v="1.8272945205479454"/>
    <n v="0.7377893518518519"/>
    <n v="-1.0895051686960935"/>
    <n v="337.91999999999996"/>
    <n v="109.33824"/>
    <n v="0"/>
    <n v="447.25823999999994"/>
    <n v="0"/>
    <n v="447.25823999999994"/>
  </r>
  <r>
    <s v="Inot Songoyani"/>
    <n v="178"/>
    <s v="Damiano Gabriel Sanki"/>
    <s v="Damiano Gabriel Sanka"/>
    <s v="DURU"/>
    <s v="Duru"/>
    <n v="2"/>
    <s v="outfield"/>
    <s v="Feed livestock"/>
    <s v="OffField feed"/>
    <n v="0"/>
    <m/>
    <m/>
    <s v=""/>
    <m/>
    <n v="0"/>
    <s v=""/>
    <m/>
    <m/>
    <s v=""/>
    <m/>
    <s v=""/>
    <m/>
    <m/>
    <s v=""/>
    <x v="0"/>
    <s v="Purchase"/>
    <n v="0"/>
    <s v=""/>
    <m/>
    <s v=""/>
    <s v=""/>
    <s v="No"/>
    <s v="No"/>
    <s v=""/>
    <n v="0"/>
    <s v=""/>
    <m/>
    <m/>
    <s v=""/>
    <s v=""/>
    <n v="0"/>
    <n v="0"/>
    <s v="00"/>
    <x v="2"/>
    <n v="1"/>
    <s v="No"/>
    <m/>
    <s v="No"/>
    <m/>
    <m/>
    <s v="Yes"/>
    <s v="Rent"/>
    <n v="0.5"/>
    <n v="0"/>
    <n v="0.5"/>
    <s v="No"/>
    <s v="No"/>
    <s v="No"/>
    <s v="No"/>
    <s v="No"/>
    <s v="No"/>
    <m/>
    <s v=""/>
    <m/>
    <s v=""/>
    <m/>
    <s v=""/>
    <m/>
    <s v=""/>
    <m/>
    <s v=""/>
    <m/>
    <n v="0"/>
    <s v="very low"/>
    <n v="1"/>
    <n v="0"/>
    <n v="0"/>
    <n v="1"/>
    <n v="0"/>
    <n v="0"/>
    <n v="0"/>
    <s v=""/>
    <n v="0"/>
    <s v="Low"/>
    <n v="0"/>
    <s v="No"/>
    <s v=""/>
    <s v="Yes"/>
    <s v="Casual"/>
    <n v="0.25"/>
    <n v="0.25"/>
    <m/>
    <s v="Yes"/>
    <n v="0.25"/>
    <n v="3"/>
    <s v="Bags"/>
    <n v="2.8800000000000003"/>
    <m/>
    <n v="999"/>
    <s v="Bags"/>
    <m/>
    <n v="0.25"/>
    <n v="5"/>
    <s v="Gorogoro"/>
    <n v="0.80159999999999998"/>
    <x v="0"/>
    <s v="No"/>
    <s v="No"/>
    <s v="No"/>
    <s v="No"/>
    <n v="0"/>
    <n v="3"/>
    <s v="uuid:e559ec4e-8099-4214-adea-968d78983fad/secG-G2"/>
    <s v="uuid:e559ec4e-8099-4214-adea-968d78983fad/secG-G5"/>
    <n v="-4.3101954460144043"/>
    <n v="35.596420288085938"/>
    <n v="1636.4000244140625"/>
    <n v="5"/>
    <n v="1706031849"/>
    <s v="uuid:e559ec4e-8099-4214-adea-968d78983fad"/>
    <d v="2017-07-10T13:49:12"/>
    <d v="2017-07-05T11:34:10"/>
    <d v="2017-07-05T17:07:56"/>
    <d v="2017-02-04T00:00:00"/>
    <m/>
    <n v="3.0334697855750496"/>
    <n v="2.3793177387914239"/>
    <n v="3.1139412997903562"/>
    <n v="3.4406498951781974"/>
    <m/>
    <s v="FALSEE"/>
    <m/>
    <s v="Upper slopes"/>
    <n v="4.7960176467900002"/>
    <s v="Gentle"/>
    <s v="Flat"/>
    <n v="0.18129228055499999"/>
    <n v="7.3213319778399999"/>
    <n v="449.36824376881202"/>
    <n v="414.53581791741368"/>
    <n v="1.262"/>
    <n v="1.542"/>
    <n v="-0.28000000000000003"/>
    <n v="3.2772955974842768"/>
    <n v="2.7063937621832368"/>
    <n v="-0.57090183530103999"/>
    <n v="1013.7600000000001"/>
    <n v="546.69119999999998"/>
    <n v="0"/>
    <n v="1560.4512"/>
    <n v="63.699999999999996"/>
    <n v="1496.7511999999999"/>
  </r>
  <r>
    <s v="Ezekiel Mngumi"/>
    <n v="86"/>
    <s v="Ibrahim Israel"/>
    <s v="Ibrahim Israel"/>
    <e v="#N/A"/>
    <s v="Sabilo"/>
    <n v="0"/>
    <s v="Homefield"/>
    <s v="Feed livestock"/>
    <s v="OffField feed"/>
    <n v="0"/>
    <m/>
    <m/>
    <s v=""/>
    <m/>
    <n v="0"/>
    <s v=""/>
    <m/>
    <n v="0"/>
    <s v="Other fields in my home village"/>
    <m/>
    <s v="This field"/>
    <m/>
    <m/>
    <s v=""/>
    <x v="0"/>
    <s v="Own animals"/>
    <n v="0"/>
    <s v=""/>
    <m/>
    <s v=""/>
    <s v=""/>
    <s v="Yes"/>
    <s v="No"/>
    <s v=""/>
    <n v="0"/>
    <s v=""/>
    <m/>
    <m/>
    <s v=""/>
    <s v=""/>
    <n v="0"/>
    <n v="0"/>
    <s v="00"/>
    <x v="2"/>
    <n v="1"/>
    <s v="No"/>
    <m/>
    <s v="No"/>
    <m/>
    <m/>
    <s v="Yes"/>
    <s v="Donation for a period"/>
    <n v="1"/>
    <n v="0"/>
    <n v="1"/>
    <s v="No"/>
    <s v="No"/>
    <s v="No"/>
    <s v="No"/>
    <s v="No"/>
    <s v="No"/>
    <m/>
    <s v=""/>
    <m/>
    <s v=""/>
    <m/>
    <s v=""/>
    <m/>
    <s v=""/>
    <m/>
    <s v=""/>
    <m/>
    <n v="0"/>
    <s v="very low"/>
    <n v="5"/>
    <n v="3"/>
    <n v="4"/>
    <n v="12"/>
    <n v="0"/>
    <n v="0"/>
    <n v="0"/>
    <m/>
    <n v="0"/>
    <s v="Low"/>
    <n v="0"/>
    <s v="No"/>
    <s v=""/>
    <s v="No"/>
    <s v=""/>
    <n v="0"/>
    <n v="0.75"/>
    <n v="0"/>
    <s v="No"/>
    <n v="1"/>
    <n v="2"/>
    <s v="Bags"/>
    <n v="0.48"/>
    <n v="1"/>
    <n v="0.20000000298023224"/>
    <s v="Bags"/>
    <n v="4.8000000715255738E-2"/>
    <n v="1"/>
    <n v="0.20000000298023224"/>
    <s v="Bags"/>
    <n v="4.8000000715255738E-2"/>
    <x v="0"/>
    <s v="No"/>
    <s v="No"/>
    <s v="Yes"/>
    <s v="Yes"/>
    <n v="2"/>
    <n v="3"/>
    <s v="uuid:f0f05bd7-e2f7-453d-8199-f1027748c7bc/secG-G2"/>
    <s v="uuid:f0f05bd7-e2f7-453d-8199-f1027748c7bc/secG-G5"/>
    <n v="-4.3513932228088379"/>
    <n v="35.466178894042969"/>
    <n v="1658.4000244140625"/>
    <n v="15"/>
    <n v="1705231439"/>
    <s v="uuid:f0f05bd7-e2f7-453d-8199-f1027748c7bc"/>
    <d v="2017-07-11T08:17:11"/>
    <d v="2017-06-08T12:48:18"/>
    <d v="2017-07-11T08:15:42"/>
    <d v="2017-01-27T00:00:00"/>
    <m/>
    <m/>
    <m/>
    <m/>
    <m/>
    <m/>
    <n v="1"/>
    <m/>
    <s v="Plains"/>
    <n v="3.5062229633299999"/>
    <s v="Gentle"/>
    <s v="Flat"/>
    <n v="8.4776775111099995E-6"/>
    <n v="8.4191064834600002"/>
    <m/>
    <m/>
    <m/>
    <m/>
    <m/>
    <m/>
    <m/>
    <m/>
    <n v="168.95999999999998"/>
    <n v="32.736000487804411"/>
    <n v="38.160000568628313"/>
    <n v="239.85600105643269"/>
    <n v="63.699999999999996"/>
    <n v="176.1560010564327"/>
  </r>
  <r>
    <s v="No name"/>
    <n v="233"/>
    <s v="Dodi Athumani"/>
    <s v="Dodi Athuman"/>
    <s v="AYAMANGO"/>
    <s v="Ayamango"/>
    <n v="0"/>
    <s v="Homefield"/>
    <s v="3"/>
    <s v="Bury"/>
    <n v="0"/>
    <m/>
    <m/>
    <s v=""/>
    <m/>
    <n v="0"/>
    <s v=""/>
    <m/>
    <m/>
    <s v=""/>
    <m/>
    <s v=""/>
    <m/>
    <m/>
    <s v=""/>
    <x v="1"/>
    <s v=""/>
    <n v="0"/>
    <s v=""/>
    <m/>
    <s v=""/>
    <s v=""/>
    <s v="No"/>
    <s v="No"/>
    <s v=""/>
    <n v="0"/>
    <s v=""/>
    <m/>
    <m/>
    <s v=""/>
    <s v=""/>
    <n v="0"/>
    <n v="0"/>
    <s v="00"/>
    <x v="2"/>
    <n v="1"/>
    <s v="No"/>
    <m/>
    <s v="No"/>
    <m/>
    <m/>
    <s v="No"/>
    <s v=""/>
    <m/>
    <n v="0"/>
    <n v="0"/>
    <s v="No"/>
    <s v="No"/>
    <s v="No"/>
    <s v="No"/>
    <s v="No"/>
    <s v="No"/>
    <m/>
    <s v=""/>
    <m/>
    <s v=""/>
    <m/>
    <s v=""/>
    <m/>
    <s v=""/>
    <m/>
    <s v=""/>
    <m/>
    <n v="0"/>
    <s v="very low"/>
    <n v="2"/>
    <n v="1"/>
    <n v="3"/>
    <n v="6"/>
    <n v="0"/>
    <n v="1"/>
    <n v="1"/>
    <s v=""/>
    <n v="1.1000000000000001"/>
    <s v="Low"/>
    <n v="1.1000000000000001"/>
    <s v="No"/>
    <s v=""/>
    <s v="No"/>
    <s v=""/>
    <n v="0.25"/>
    <n v="2.25"/>
    <m/>
    <s v="Yes"/>
    <n v="1.5"/>
    <n v="12"/>
    <s v="Bags"/>
    <n v="1.9200000000000002"/>
    <m/>
    <n v="999"/>
    <s v="Bags"/>
    <m/>
    <n v="0.5"/>
    <n v="1"/>
    <s v="Bags"/>
    <n v="0.48"/>
    <x v="0"/>
    <s v="No"/>
    <s v="No"/>
    <s v="No"/>
    <s v="No"/>
    <n v="0"/>
    <n v="1"/>
    <s v="uuid:9b07e848-d725-4506-ad52-7d592fcd4261/secG-G2"/>
    <s v="uuid:9b07e848-d725-4506-ad52-7d592fcd4261/secG-G5"/>
    <n v="-4.3398313522338867"/>
    <n v="35.44287109375"/>
    <n v="1590.5999755859375"/>
    <n v="5"/>
    <n v="1706031849"/>
    <s v="uuid:9b07e848-d725-4506-ad52-7d592fcd4261"/>
    <d v="2017-08-04T03:01:18"/>
    <d v="2017-07-12T14:35:33"/>
    <d v="2017-08-04T02:52:49"/>
    <d v="2017-08-04T00:00:00"/>
    <m/>
    <n v="0.6656293222683265"/>
    <n v="0.53884278469340718"/>
    <n v="1.14741816505302"/>
    <n v="1.6165283540802216"/>
    <n v="3"/>
    <s v="FALSEE"/>
    <m/>
    <s v="Plains"/>
    <n v="3.3609845638300002"/>
    <s v="Gentle"/>
    <s v="Flat"/>
    <n v="-9.0633422136300004E-2"/>
    <n v="9.3972558975199991"/>
    <m/>
    <m/>
    <m/>
    <m/>
    <m/>
    <n v="1.3819732595666208"/>
    <n v="0.60223605348086684"/>
    <n v="-0.77973720608575392"/>
    <n v="675.84"/>
    <n v="327.36"/>
    <n v="0"/>
    <n v="1003.2"/>
    <n v="0"/>
    <n v="1003.2"/>
  </r>
  <r>
    <s v="Inot"/>
    <n v="238"/>
    <s v="No name"/>
    <s v="Fabiano Ama"/>
    <s v="MANDI"/>
    <s v="Mandi"/>
    <n v="2"/>
    <s v="outfield"/>
    <s v="Feed livestock"/>
    <s v="OffField feed"/>
    <n v="0"/>
    <m/>
    <m/>
    <s v=""/>
    <m/>
    <n v="0"/>
    <s v=""/>
    <m/>
    <m/>
    <s v=""/>
    <m/>
    <s v=""/>
    <m/>
    <m/>
    <s v=""/>
    <x v="1"/>
    <s v=""/>
    <n v="0"/>
    <s v=""/>
    <m/>
    <s v=""/>
    <s v=""/>
    <s v="No"/>
    <s v="No"/>
    <s v=""/>
    <n v="0"/>
    <s v=""/>
    <m/>
    <m/>
    <s v=""/>
    <s v=""/>
    <n v="0"/>
    <n v="0"/>
    <s v="00"/>
    <x v="2"/>
    <n v="1"/>
    <s v="No"/>
    <m/>
    <s v="No"/>
    <m/>
    <m/>
    <s v="No"/>
    <s v=""/>
    <m/>
    <n v="0"/>
    <n v="0"/>
    <s v="No"/>
    <s v="No"/>
    <s v="No"/>
    <s v="No"/>
    <s v="No"/>
    <s v="No"/>
    <m/>
    <s v=""/>
    <m/>
    <s v=""/>
    <m/>
    <s v=""/>
    <m/>
    <s v=""/>
    <m/>
    <s v=""/>
    <m/>
    <n v="0"/>
    <s v="very low"/>
    <n v="1"/>
    <n v="1"/>
    <n v="1"/>
    <n v="3"/>
    <n v="0"/>
    <n v="1"/>
    <n v="1"/>
    <s v=""/>
    <n v="1.1000000000000001"/>
    <s v="Low"/>
    <n v="1.1000000000000001"/>
    <s v="No"/>
    <s v=""/>
    <s v="No"/>
    <s v=""/>
    <n v="0.25"/>
    <m/>
    <m/>
    <s v="No"/>
    <n v="2"/>
    <n v="14"/>
    <s v="Bags"/>
    <n v="1.6800000000000002"/>
    <m/>
    <n v="999"/>
    <s v="Bags"/>
    <m/>
    <n v="999"/>
    <n v="999"/>
    <s v="Bags"/>
    <m/>
    <x v="0"/>
    <s v="No"/>
    <s v="No"/>
    <s v="No"/>
    <s v="No"/>
    <n v="0"/>
    <n v="2"/>
    <s v="uuid:2f68eec6-867d-4cc7-98c3-1b7b816f4395/secG-G2"/>
    <s v="uuid:2f68eec6-867d-4cc7-98c3-1b7b816f4395/secG-G5"/>
    <n v="-4.2970261573791504"/>
    <n v="35.864570617675781"/>
    <n v="1262.4000244140625"/>
    <n v="5"/>
    <n v="1706031849"/>
    <s v="uuid:2f68eec6-867d-4cc7-98c3-1b7b816f4395"/>
    <d v="2017-08-04T03:01:21"/>
    <d v="2017-08-02T13:29:42"/>
    <d v="2017-08-04T03:01:04"/>
    <d v="2017-03-04T00:00:00"/>
    <m/>
    <m/>
    <n v="3.710984848484848"/>
    <n v="1.8542592592592591"/>
    <n v="1.7088271604938272"/>
    <m/>
    <n v="1"/>
    <m/>
    <s v="Plains"/>
    <n v="0.900638759136"/>
    <s v="Very gentle"/>
    <s v="Flat"/>
    <n v="0.18129228055499999"/>
    <n v="8.7377004623399994"/>
    <n v="24.412648381751445"/>
    <n v="439.61516453042049"/>
    <n v="1.486"/>
    <n v="1.65"/>
    <n v="-0.16399999999999992"/>
    <n v="1.7815432098765431"/>
    <n v="3.710984848484848"/>
    <n v="1.9294416386083049"/>
    <n v="591.36"/>
    <n v="0"/>
    <n v="0"/>
    <n v="591.36"/>
    <n v="0"/>
    <n v="591.36"/>
  </r>
  <r>
    <s v="Inot Songoyani"/>
    <n v="163"/>
    <s v="Mariam Hassani Chwalwe"/>
    <s v="Mariam Hassani Schelwe"/>
    <s v="DURU"/>
    <s v="Duru"/>
    <n v="1"/>
    <s v="outfield"/>
    <s v="Feed livestock"/>
    <s v="OffField feed"/>
    <n v="0"/>
    <m/>
    <m/>
    <s v=""/>
    <m/>
    <n v="0"/>
    <s v=""/>
    <m/>
    <m/>
    <s v=""/>
    <m/>
    <s v=""/>
    <m/>
    <m/>
    <s v=""/>
    <x v="0"/>
    <s v="Own animals"/>
    <n v="0"/>
    <s v=""/>
    <m/>
    <s v=""/>
    <s v=""/>
    <s v="No"/>
    <s v="No"/>
    <s v=""/>
    <n v="0"/>
    <s v=""/>
    <m/>
    <m/>
    <s v=""/>
    <s v=""/>
    <n v="0"/>
    <n v="0"/>
    <s v="00"/>
    <x v="2"/>
    <n v="1"/>
    <s v="Yes"/>
    <n v="0.125"/>
    <s v="No"/>
    <m/>
    <m/>
    <s v="Yes"/>
    <s v="Rent"/>
    <n v="1"/>
    <n v="0.125"/>
    <n v="1.125"/>
    <s v="No"/>
    <s v="No"/>
    <s v="No"/>
    <s v="No"/>
    <s v="No"/>
    <s v="No"/>
    <m/>
    <s v=""/>
    <m/>
    <s v=""/>
    <m/>
    <s v=""/>
    <m/>
    <s v=""/>
    <m/>
    <s v=""/>
    <m/>
    <n v="0"/>
    <s v="very low"/>
    <n v="2"/>
    <n v="1"/>
    <n v="1"/>
    <n v="4"/>
    <n v="0"/>
    <n v="0"/>
    <n v="0"/>
    <s v=""/>
    <n v="1.875"/>
    <s v="Low"/>
    <n v="1.875"/>
    <s v="No"/>
    <s v=""/>
    <s v="No"/>
    <s v=""/>
    <n v="0.25"/>
    <n v="1.75"/>
    <m/>
    <s v="Yes"/>
    <n v="2"/>
    <n v="6"/>
    <s v="Bags"/>
    <n v="0.72000000000000008"/>
    <m/>
    <n v="999"/>
    <s v="Bags"/>
    <m/>
    <n v="2"/>
    <n v="2"/>
    <s v="Bags"/>
    <n v="0.24"/>
    <x v="1"/>
    <s v="Yes"/>
    <s v="Yes"/>
    <s v="Yes"/>
    <s v="Yes"/>
    <n v="5"/>
    <n v="2"/>
    <s v="uuid:09ddc92d-37ae-4818-9aa4-3ad13d3fd6ff/secG-G2"/>
    <s v="uuid:09ddc92d-37ae-4818-9aa4-3ad13d3fd6ff/secG-G5"/>
    <n v="-4.3193278312683105"/>
    <n v="35.604427337646484"/>
    <n v="1582.5999755859375"/>
    <n v="5"/>
    <n v="1706031849"/>
    <s v="uuid:09ddc92d-37ae-4818-9aa4-3ad13d3fd6ff"/>
    <d v="2017-07-05T10:22:50"/>
    <d v="2017-07-03T11:58:54"/>
    <d v="2017-07-03T12:17:00"/>
    <d v="2017-01-28T00:00:00"/>
    <m/>
    <n v="4.4800000000000004"/>
    <n v="3.71"/>
    <n v="3.2060000000000004"/>
    <n v="2.8000000000000003"/>
    <m/>
    <n v="1"/>
    <m/>
    <s v="Midslope drainages"/>
    <n v="12.7252845764"/>
    <s v="Strong"/>
    <s v="Valley"/>
    <n v="-1.35961997509"/>
    <n v="7.5343203544600001"/>
    <n v="495.68682152580686"/>
    <n v="563.09897468574434"/>
    <n v="2.4119999999999999"/>
    <n v="2.1949999999999998"/>
    <n v="0.21700000000000008"/>
    <n v="3.0030000000000001"/>
    <n v="4.0950000000000006"/>
    <n v="1.0920000000000005"/>
    <n v="253.44000000000003"/>
    <n v="163.68"/>
    <n v="0"/>
    <n v="417.12"/>
    <n v="63.699999999999996"/>
    <n v="353.42"/>
  </r>
  <r>
    <s v="Inoti Songoyani"/>
    <n v="235"/>
    <s v="No name"/>
    <s v="Jacob Joseph Kijuu"/>
    <s v="ENDAGWE"/>
    <s v="Endagwe"/>
    <n v="0"/>
    <s v="Homefield"/>
    <s v="Feed livestock"/>
    <s v="InField feed"/>
    <n v="0"/>
    <m/>
    <m/>
    <s v=""/>
    <m/>
    <n v="0"/>
    <s v=""/>
    <m/>
    <m/>
    <s v=""/>
    <m/>
    <s v=""/>
    <m/>
    <m/>
    <s v=""/>
    <x v="1"/>
    <s v=""/>
    <n v="0"/>
    <s v=""/>
    <m/>
    <s v=""/>
    <s v=""/>
    <s v="No"/>
    <s v="No"/>
    <s v=""/>
    <n v="0"/>
    <s v=""/>
    <m/>
    <m/>
    <s v=""/>
    <s v=""/>
    <n v="0"/>
    <n v="0"/>
    <s v="00"/>
    <x v="2"/>
    <n v="1"/>
    <s v="Yes"/>
    <n v="0.75"/>
    <s v="No"/>
    <m/>
    <m/>
    <s v="No"/>
    <s v=""/>
    <m/>
    <n v="0.75"/>
    <n v="0.75"/>
    <s v="No"/>
    <s v="No"/>
    <s v="No"/>
    <s v="No"/>
    <s v="No"/>
    <s v="No"/>
    <m/>
    <s v=""/>
    <m/>
    <s v=""/>
    <m/>
    <s v=""/>
    <m/>
    <s v=""/>
    <m/>
    <s v=""/>
    <m/>
    <n v="0"/>
    <s v="very low"/>
    <n v="1"/>
    <n v="1"/>
    <n v="2"/>
    <n v="4"/>
    <n v="0"/>
    <n v="0"/>
    <n v="0"/>
    <s v=""/>
    <n v="11.25"/>
    <s v="Low"/>
    <n v="11.25"/>
    <s v="No"/>
    <s v=""/>
    <s v="No"/>
    <s v=""/>
    <n v="0.25"/>
    <n v="2.75"/>
    <m/>
    <s v="Yes"/>
    <n v="2"/>
    <n v="10"/>
    <s v="Bags"/>
    <n v="1.2"/>
    <m/>
    <n v="999"/>
    <s v="Bags"/>
    <m/>
    <n v="2"/>
    <n v="4"/>
    <s v="Bags"/>
    <n v="0.48"/>
    <x v="0"/>
    <s v="No"/>
    <s v="No"/>
    <s v="No"/>
    <s v="No"/>
    <n v="0"/>
    <n v="1"/>
    <s v="uuid:3a27b521-f77e-41fe-a1b8-d2d2bf66f797/secG-G2"/>
    <s v="uuid:3a27b521-f77e-41fe-a1b8-d2d2bf66f797/secG-G5"/>
    <n v="-4.3537940979003906"/>
    <n v="35.646560668945313"/>
    <n v="1611.9000244140625"/>
    <n v="5"/>
    <n v="1706031849"/>
    <s v="uuid:3a27b521-f77e-41fe-a1b8-d2d2bf66f797"/>
    <d v="2017-08-04T03:01:19"/>
    <d v="2017-07-18T09:58:11"/>
    <d v="2017-08-04T00:41:31"/>
    <d v="2017-02-24T00:00:00"/>
    <m/>
    <n v="2.6414141414141419"/>
    <n v="2.5885858585858594"/>
    <n v="0.97472222222222227"/>
    <n v="0.63861111111111113"/>
    <m/>
    <n v="1"/>
    <m/>
    <s v="Plains"/>
    <n v="0.900638759136"/>
    <s v="Very gentle"/>
    <s v="Flat"/>
    <n v="0.18129228055499999"/>
    <n v="8.7377004623399994"/>
    <n v="53.838956036018736"/>
    <n v="178.96485770693903"/>
    <n v="0.88900000000000001"/>
    <n v="0.98299999999999998"/>
    <n v="-9.3999999999999972E-2"/>
    <n v="0.80666666666666664"/>
    <n v="2.6150000000000007"/>
    <n v="1.808333333333334"/>
    <n v="422.4"/>
    <n v="327.36"/>
    <n v="0"/>
    <n v="749.76"/>
    <n v="0"/>
    <n v="749.76"/>
  </r>
  <r>
    <s v="Inot Songoyani"/>
    <n v="234"/>
    <s v="No name"/>
    <s v="Andrea Dodi"/>
    <s v="ENDAGWE"/>
    <s v="Endagwe"/>
    <n v="0"/>
    <s v="Homefield"/>
    <s v="Feed livestock"/>
    <s v="OffField feed"/>
    <n v="0"/>
    <m/>
    <m/>
    <s v=""/>
    <m/>
    <n v="0"/>
    <s v=""/>
    <m/>
    <m/>
    <s v=""/>
    <m/>
    <s v=""/>
    <m/>
    <m/>
    <s v=""/>
    <x v="1"/>
    <s v=""/>
    <n v="0"/>
    <s v=""/>
    <m/>
    <s v=""/>
    <s v=""/>
    <s v="No"/>
    <s v="No"/>
    <s v=""/>
    <n v="0"/>
    <s v=""/>
    <m/>
    <m/>
    <s v=""/>
    <s v=""/>
    <n v="0"/>
    <n v="0"/>
    <s v="00"/>
    <x v="2"/>
    <n v="1"/>
    <s v="Yes"/>
    <n v="0.25"/>
    <s v="No"/>
    <m/>
    <m/>
    <s v="No"/>
    <s v=""/>
    <m/>
    <n v="0.25"/>
    <n v="0.25"/>
    <s v="No"/>
    <s v="No"/>
    <s v="No"/>
    <s v="No"/>
    <s v="No"/>
    <s v="No"/>
    <m/>
    <s v=""/>
    <m/>
    <s v=""/>
    <m/>
    <s v=""/>
    <m/>
    <s v=""/>
    <m/>
    <s v=""/>
    <m/>
    <n v="0"/>
    <s v="very low"/>
    <n v="1"/>
    <n v="1"/>
    <n v="5"/>
    <n v="7"/>
    <n v="1"/>
    <n v="0"/>
    <n v="1"/>
    <s v=""/>
    <n v="19.05"/>
    <s v="Medium"/>
    <n v="19.05"/>
    <s v="No"/>
    <s v=""/>
    <s v="No"/>
    <s v=""/>
    <n v="0.25"/>
    <n v="0.75"/>
    <m/>
    <s v="No"/>
    <n v="4"/>
    <n v="35"/>
    <s v="Bags"/>
    <n v="2.1"/>
    <m/>
    <n v="999"/>
    <s v="Bags"/>
    <m/>
    <n v="1"/>
    <n v="2.5"/>
    <s v="Bags"/>
    <n v="0.6"/>
    <x v="0"/>
    <s v="No"/>
    <s v="No"/>
    <s v="No"/>
    <s v="No"/>
    <n v="0"/>
    <n v="1"/>
    <s v="uuid:a3a936e5-a3ce-4959-b87d-012cd4d2dea2/secG-G2"/>
    <s v="uuid:a3a936e5-a3ce-4959-b87d-012cd4d2dea2/secG-G5"/>
    <n v="-4.2783560752868652"/>
    <n v="35.890415191650391"/>
    <n v="1226.0999755859375"/>
    <n v="5"/>
    <n v="1706031849"/>
    <s v="uuid:a3a936e5-a3ce-4959-b87d-012cd4d2dea2"/>
    <d v="2017-08-04T03:01:17"/>
    <d v="2017-06-27T10:15:10"/>
    <d v="2017-08-04T02:46:59"/>
    <d v="2017-02-24T00:00:00"/>
    <m/>
    <n v="1.3547463768115942"/>
    <n v="1.3094202898550724"/>
    <n v="0.54986568986568995"/>
    <n v="0.75374847374847387"/>
    <m/>
    <n v="1"/>
    <m/>
    <s v="Plains"/>
    <n v="0.900638759136"/>
    <s v="Very gentle"/>
    <s v="Flat"/>
    <n v="0.18129228055499999"/>
    <n v="8.7377004623399994"/>
    <m/>
    <n v="198.75447806203553"/>
    <m/>
    <n v="1.258"/>
    <m/>
    <n v="0.65180708180708191"/>
    <n v="1.3320833333333333"/>
    <n v="0.68027625152625137"/>
    <n v="739.2"/>
    <n v="409.2"/>
    <n v="0"/>
    <n v="1148.4000000000001"/>
    <n v="0"/>
    <n v="1148.4000000000001"/>
  </r>
  <r>
    <s v="Inot Songoyani"/>
    <n v="213"/>
    <s v="Emanuel Simon Ama"/>
    <s v="Emanuel Simon Ama"/>
    <s v="ENDAGWE"/>
    <s v="Endagwe"/>
    <n v="0"/>
    <s v="Homefield"/>
    <s v="Feed livestock"/>
    <s v="OffField feed"/>
    <n v="0"/>
    <m/>
    <m/>
    <s v=""/>
    <m/>
    <n v="0"/>
    <s v=""/>
    <m/>
    <m/>
    <s v=""/>
    <m/>
    <s v=""/>
    <m/>
    <m/>
    <s v=""/>
    <x v="1"/>
    <s v=""/>
    <n v="0"/>
    <s v=""/>
    <m/>
    <s v=""/>
    <s v=""/>
    <s v="No"/>
    <s v="No"/>
    <s v=""/>
    <n v="0"/>
    <s v=""/>
    <m/>
    <m/>
    <s v=""/>
    <s v=""/>
    <n v="0"/>
    <n v="0"/>
    <s v="00"/>
    <x v="2"/>
    <n v="1"/>
    <s v="Yes"/>
    <n v="0.75"/>
    <s v="Yes"/>
    <n v="1"/>
    <n v="1"/>
    <s v="No"/>
    <s v=""/>
    <m/>
    <n v="1.75"/>
    <n v="1.75"/>
    <s v="No"/>
    <s v="No"/>
    <s v="No"/>
    <s v="No"/>
    <s v="No"/>
    <s v="No"/>
    <m/>
    <s v=""/>
    <m/>
    <s v=""/>
    <m/>
    <s v=""/>
    <m/>
    <s v=""/>
    <m/>
    <s v=""/>
    <m/>
    <n v="0"/>
    <s v="very low"/>
    <n v="1"/>
    <n v="0"/>
    <n v="0"/>
    <n v="1"/>
    <n v="0"/>
    <n v="0"/>
    <n v="0"/>
    <s v=""/>
    <n v="26.25"/>
    <s v="Medium"/>
    <n v="26.25"/>
    <s v="No"/>
    <s v=""/>
    <s v="No"/>
    <s v=""/>
    <n v="0.25"/>
    <n v="0.25"/>
    <m/>
    <s v="No"/>
    <n v="0.75"/>
    <n v="4"/>
    <s v="Bags"/>
    <n v="1.28"/>
    <m/>
    <n v="999"/>
    <s v="Bags"/>
    <m/>
    <n v="0.75"/>
    <n v="1"/>
    <s v="Bags"/>
    <n v="0.32"/>
    <x v="0"/>
    <s v="No"/>
    <s v="No"/>
    <s v="No"/>
    <s v="No"/>
    <n v="0"/>
    <n v="2"/>
    <s v="uuid:2420c1d6-0e17-48bc-8d5b-d87c866915f5/secG-G2"/>
    <s v="uuid:2420c1d6-0e17-48bc-8d5b-d87c866915f5/secG-G5"/>
    <n v="-4.3540863990783691"/>
    <n v="35.648262023925781"/>
    <n v="1601.300048828125"/>
    <n v="5"/>
    <n v="1706031849"/>
    <s v="uuid:2420c1d6-0e17-48bc-8d5b-d87c866915f5"/>
    <d v="2017-08-03T23:12:49"/>
    <d v="2017-07-18T10:41:01"/>
    <d v="2017-08-03T22:48:17"/>
    <d v="2017-02-04T00:00:00"/>
    <m/>
    <n v="1.4793795093795095"/>
    <n v="1.8562914862914865"/>
    <n v="0.5861333333333334"/>
    <n v="0.65591111111111111"/>
    <m/>
    <n v="1"/>
    <m/>
    <s v="Open slopes"/>
    <n v="6.2356286048899996"/>
    <s v="Moderate"/>
    <s v="Midslope"/>
    <n v="-9.0633422136300004E-2"/>
    <n v="7.4885134697"/>
    <m/>
    <n v="241.52780854239919"/>
    <m/>
    <n v="1.472"/>
    <m/>
    <n v="0.62102222222222225"/>
    <n v="1.6678354978354979"/>
    <n v="1.0468132756132755"/>
    <n v="450.56"/>
    <n v="218.24"/>
    <n v="0"/>
    <n v="668.8"/>
    <n v="0"/>
    <n v="668.8"/>
  </r>
  <r>
    <s v="Inot Songoyani"/>
    <n v="175"/>
    <s v="Leonce Sirili Sule"/>
    <s v="Leonce Sirili Sule"/>
    <s v="DURU"/>
    <s v="Duru"/>
    <n v="2"/>
    <s v="outfield"/>
    <s v="Feed livestock"/>
    <s v="OffField feed"/>
    <n v="0"/>
    <m/>
    <m/>
    <s v=""/>
    <m/>
    <n v="0"/>
    <s v=""/>
    <m/>
    <m/>
    <s v=""/>
    <m/>
    <s v=""/>
    <m/>
    <m/>
    <s v=""/>
    <x v="1"/>
    <s v=""/>
    <n v="0"/>
    <s v=""/>
    <m/>
    <s v=""/>
    <s v=""/>
    <s v="No"/>
    <s v="No"/>
    <s v=""/>
    <n v="0"/>
    <s v=""/>
    <m/>
    <m/>
    <s v=""/>
    <s v=""/>
    <n v="0"/>
    <n v="0"/>
    <s v="00"/>
    <x v="2"/>
    <n v="1"/>
    <s v="Yes"/>
    <n v="0.125"/>
    <s v="Yes"/>
    <n v="1"/>
    <n v="2"/>
    <s v="Yes"/>
    <s v="Rent"/>
    <n v="0.5"/>
    <n v="2.125"/>
    <n v="2.625"/>
    <s v="No"/>
    <s v="No"/>
    <s v="No"/>
    <s v="No"/>
    <s v="No"/>
    <s v="No"/>
    <m/>
    <s v=""/>
    <m/>
    <s v=""/>
    <m/>
    <s v=""/>
    <m/>
    <s v=""/>
    <m/>
    <s v=""/>
    <m/>
    <n v="0"/>
    <s v="very low"/>
    <n v="1"/>
    <n v="0"/>
    <n v="0"/>
    <n v="1"/>
    <n v="0"/>
    <n v="0"/>
    <n v="0"/>
    <s v=""/>
    <n v="31.875"/>
    <s v="Medium"/>
    <n v="31.875"/>
    <s v="No"/>
    <s v=""/>
    <s v="Yes"/>
    <s v="Casual"/>
    <n v="0.25"/>
    <n v="0.25"/>
    <m/>
    <s v="Yes"/>
    <n v="0.5"/>
    <n v="5"/>
    <s v="Bags"/>
    <n v="2.4"/>
    <m/>
    <n v="999"/>
    <s v="Bags"/>
    <m/>
    <n v="0.5"/>
    <n v="3"/>
    <s v="Bags"/>
    <n v="1.44"/>
    <x v="0"/>
    <s v="No"/>
    <s v="No"/>
    <s v="No"/>
    <s v="No"/>
    <n v="0"/>
    <n v="2"/>
    <s v="uuid:2dc6c8c8-650b-4104-b9c7-0154f174bb0c/secG-G2"/>
    <s v="uuid:2dc6c8c8-650b-4104-b9c7-0154f174bb0c/secG-G5"/>
    <n v="-4.3097758293151855"/>
    <n v="35.596157073974609"/>
    <n v="1632.5"/>
    <n v="5"/>
    <n v="1706031849"/>
    <s v="uuid:2dc6c8c8-650b-4104-b9c7-0154f174bb0c"/>
    <d v="2017-07-10T13:48:59"/>
    <d v="2017-07-05T10:24:12"/>
    <d v="2017-07-05T17:23:24"/>
    <d v="2017-01-04T00:00:00"/>
    <m/>
    <n v="4.7516239316239322"/>
    <n v="4.2922317188983863"/>
    <n v="1.7026337448559672"/>
    <n v="2.0009053497942388"/>
    <m/>
    <n v="1"/>
    <m/>
    <s v="High ridges"/>
    <n v="2.5552546978000001"/>
    <s v="Gentle"/>
    <s v="Ridge"/>
    <n v="1.35963702202"/>
    <n v="7.52337741852"/>
    <m/>
    <n v="502.31353106293767"/>
    <m/>
    <n v="1.5740000000000001"/>
    <m/>
    <n v="1.851769547325103"/>
    <n v="4.5219278252611588"/>
    <n v="2.6701582779360558"/>
    <n v="844.8"/>
    <n v="982.07999999999993"/>
    <n v="0"/>
    <n v="1826.8799999999999"/>
    <n v="0"/>
    <n v="1826.8799999999999"/>
  </r>
  <r>
    <s v="Inot Songoyani"/>
    <n v="239"/>
    <s v="FRANK JOSEPH"/>
    <s v="Frank Joseph"/>
    <s v="ORNGADIDA"/>
    <s v="Orngadida"/>
    <n v="1.5"/>
    <s v="outfield"/>
    <s v="Feed livestock"/>
    <s v="InField feed"/>
    <n v="0"/>
    <m/>
    <m/>
    <s v=""/>
    <m/>
    <n v="0"/>
    <s v=""/>
    <m/>
    <m/>
    <s v=""/>
    <m/>
    <s v=""/>
    <m/>
    <m/>
    <s v=""/>
    <x v="1"/>
    <s v=""/>
    <n v="0"/>
    <s v=""/>
    <m/>
    <s v=""/>
    <s v=""/>
    <s v="No"/>
    <s v="No"/>
    <s v=""/>
    <n v="0"/>
    <s v=""/>
    <m/>
    <m/>
    <s v=""/>
    <s v=""/>
    <n v="0"/>
    <n v="0"/>
    <s v="00"/>
    <x v="2"/>
    <n v="1"/>
    <s v="Yes"/>
    <n v="2.5"/>
    <s v="Yes"/>
    <n v="1"/>
    <n v="1"/>
    <s v="No"/>
    <s v=""/>
    <m/>
    <n v="3.5"/>
    <n v="3.5"/>
    <s v="No"/>
    <s v="No"/>
    <s v="No"/>
    <s v="No"/>
    <s v="No"/>
    <s v="No"/>
    <m/>
    <s v=""/>
    <m/>
    <s v=""/>
    <m/>
    <s v=""/>
    <m/>
    <s v=""/>
    <m/>
    <s v=""/>
    <m/>
    <n v="0"/>
    <s v="very low"/>
    <n v="1"/>
    <n v="1"/>
    <n v="4"/>
    <n v="6"/>
    <n v="0"/>
    <n v="0"/>
    <n v="0"/>
    <s v=""/>
    <n v="52.5"/>
    <s v="Medium"/>
    <n v="52.5"/>
    <s v="No"/>
    <s v=""/>
    <s v="No"/>
    <s v=""/>
    <n v="0.25"/>
    <n v="2.25"/>
    <m/>
    <s v="Yes"/>
    <n v="2.5"/>
    <n v="16"/>
    <s v="Bags"/>
    <n v="1.536"/>
    <m/>
    <n v="999"/>
    <s v="Bags"/>
    <m/>
    <n v="2.5"/>
    <n v="4"/>
    <s v="Bags"/>
    <n v="0.38400000000000001"/>
    <x v="0"/>
    <s v="No"/>
    <s v="No"/>
    <s v="No"/>
    <s v="No"/>
    <n v="0"/>
    <n v="3"/>
    <s v="uuid:2ff68551-81c6-408f-a5a3-e63f11f6cb98/secG-G2"/>
    <s v="uuid:2ff68551-81c6-408f-a5a3-e63f11f6cb98/secG-G5"/>
    <n v="-4.2963466644287109"/>
    <n v="35.860977172851563"/>
    <n v="1258.300048828125"/>
    <n v="5"/>
    <n v="1706031849"/>
    <s v="uuid:2ff68551-81c6-408f-a5a3-e63f11f6cb98"/>
    <d v="2017-08-04T03:01:20"/>
    <d v="2017-08-02T12:48:27"/>
    <d v="2017-08-04T00:27:29"/>
    <d v="2017-03-04T00:00:00"/>
    <m/>
    <n v="4.1023391812865491"/>
    <n v="3.2953216374269005"/>
    <n v="2.7136363636363638"/>
    <n v="2.0454545454545454"/>
    <m/>
    <n v="1"/>
    <m/>
    <s v="Plains"/>
    <n v="0.48846834898000002"/>
    <s v="Depression"/>
    <s v="Flat"/>
    <n v="0.18129228055499999"/>
    <n v="8.6934442520099999"/>
    <n v="434.39091372739068"/>
    <n v="439.39978236426435"/>
    <n v="1.3169999999999999"/>
    <n v="1.4430000000000001"/>
    <n v="-0.12600000000000011"/>
    <m/>
    <m/>
    <m/>
    <n v="540.67200000000003"/>
    <n v="261.88800000000003"/>
    <n v="0"/>
    <n v="802.56000000000006"/>
    <n v="0"/>
    <n v="802.56000000000006"/>
  </r>
  <r>
    <s v="Inot Songoyani"/>
    <n v="152"/>
    <s v="Hallu Primary school"/>
    <s v="Hallu Primary School"/>
    <s v="HALLU"/>
    <s v="Hallu"/>
    <n v="0"/>
    <s v="Homefield"/>
    <s v="Feed livestock"/>
    <s v="Bury"/>
    <n v="0"/>
    <m/>
    <m/>
    <s v=""/>
    <m/>
    <n v="0"/>
    <s v=""/>
    <m/>
    <m/>
    <s v=""/>
    <m/>
    <s v=""/>
    <m/>
    <m/>
    <s v=""/>
    <x v="1"/>
    <s v=""/>
    <n v="0"/>
    <s v=""/>
    <m/>
    <s v=""/>
    <s v=""/>
    <s v="No"/>
    <s v="No"/>
    <s v=""/>
    <n v="0"/>
    <s v=""/>
    <m/>
    <m/>
    <s v=""/>
    <s v=""/>
    <n v="0"/>
    <n v="0"/>
    <s v="00"/>
    <x v="2"/>
    <n v="1"/>
    <s v="Yes"/>
    <n v="10"/>
    <s v="No"/>
    <m/>
    <m/>
    <s v="No"/>
    <s v=""/>
    <m/>
    <n v="10"/>
    <n v="10"/>
    <s v="No"/>
    <s v="No"/>
    <s v="No"/>
    <s v="No"/>
    <s v="No"/>
    <s v="No"/>
    <m/>
    <s v=""/>
    <m/>
    <s v=""/>
    <m/>
    <s v=""/>
    <m/>
    <s v=""/>
    <m/>
    <s v=""/>
    <m/>
    <n v="0"/>
    <s v="very low"/>
    <n v="0"/>
    <n v="0"/>
    <n v="1"/>
    <n v="1"/>
    <n v="0"/>
    <n v="0"/>
    <n v="0"/>
    <s v=""/>
    <n v="150"/>
    <s v="High"/>
    <n v="150"/>
    <s v="No"/>
    <s v=""/>
    <s v="No"/>
    <s v=""/>
    <n v="1"/>
    <n v="8"/>
    <m/>
    <s v="Yes"/>
    <n v="1"/>
    <n v="8"/>
    <s v="Bags"/>
    <n v="1.92"/>
    <m/>
    <n v="999"/>
    <s v="Bags"/>
    <m/>
    <n v="1"/>
    <n v="3"/>
    <s v="Bags"/>
    <n v="0.72"/>
    <x v="0"/>
    <s v="No"/>
    <s v="No"/>
    <s v="No"/>
    <s v="No"/>
    <n v="0"/>
    <n v="3"/>
    <s v="uuid:db513604-4a95-4bac-81ba-1d236089e955/secG-G2"/>
    <s v="uuid:db513604-4a95-4bac-81ba-1d236089e955/secG-G5"/>
    <n v="-4.2948718070983887"/>
    <n v="35.893413543701172"/>
    <n v="1230.9000244140625"/>
    <n v="5"/>
    <n v="1706031849"/>
    <s v="uuid:db513604-4a95-4bac-81ba-1d236089e955"/>
    <d v="2017-06-27T15:19:38"/>
    <d v="2017-06-23T15:24:24"/>
    <d v="2017-06-23T15:37:41"/>
    <d v="2017-02-09T00:00:00"/>
    <m/>
    <n v="5.2430078563411895"/>
    <n v="4.7903254769921446"/>
    <n v="4.8930370370370371"/>
    <n v="6.1810370370370382"/>
    <m/>
    <s v="FALSEE"/>
    <m/>
    <s v="Plains"/>
    <n v="1.0756396055199999"/>
    <s v="Very gentle"/>
    <s v="Flat"/>
    <n v="0.45321798324599999"/>
    <n v="8.1580381393400003"/>
    <m/>
    <m/>
    <m/>
    <m/>
    <m/>
    <n v="5.5370370370370381"/>
    <n v="5.0166666666666675"/>
    <n v="-0.52037037037037059"/>
    <n v="675.83999999999992"/>
    <n v="491.03999999999996"/>
    <n v="0"/>
    <n v="1166.8799999999999"/>
    <n v="0"/>
    <n v="1166.8799999999999"/>
  </r>
  <r>
    <s v="Inot Songoyani"/>
    <n v="200"/>
    <s v="Zainabu Juma Saidi"/>
    <s v="Zainabu Juma Saidi"/>
    <s v="TSAMASI"/>
    <s v="Samatsi"/>
    <n v="1"/>
    <s v="outfield"/>
    <s v="Feed livestock"/>
    <s v="OffField feed"/>
    <n v="0"/>
    <m/>
    <m/>
    <s v=""/>
    <m/>
    <n v="0"/>
    <s v=""/>
    <m/>
    <m/>
    <s v=""/>
    <m/>
    <s v=""/>
    <m/>
    <m/>
    <s v=""/>
    <x v="1"/>
    <s v=""/>
    <n v="0"/>
    <s v=""/>
    <m/>
    <s v=""/>
    <s v=""/>
    <s v="No"/>
    <s v="No"/>
    <s v=""/>
    <n v="0"/>
    <s v=""/>
    <m/>
    <m/>
    <s v=""/>
    <s v=""/>
    <n v="0"/>
    <n v="0"/>
    <s v="00"/>
    <x v="2"/>
    <n v="1"/>
    <s v="No"/>
    <m/>
    <s v="No"/>
    <m/>
    <m/>
    <s v="Yes"/>
    <s v="Family"/>
    <n v="2"/>
    <n v="0"/>
    <n v="2"/>
    <s v="No"/>
    <s v="No"/>
    <s v="Yes"/>
    <s v="No"/>
    <s v="No"/>
    <s v="No"/>
    <m/>
    <s v=""/>
    <m/>
    <s v=""/>
    <n v="2"/>
    <s v="Both"/>
    <m/>
    <s v=""/>
    <m/>
    <s v=""/>
    <m/>
    <n v="0.02"/>
    <s v="very low"/>
    <n v="1"/>
    <n v="2"/>
    <n v="0"/>
    <n v="3"/>
    <n v="0"/>
    <n v="0"/>
    <n v="0"/>
    <s v=""/>
    <n v="0"/>
    <s v="Low"/>
    <n v="0.02"/>
    <s v="No"/>
    <s v=""/>
    <s v="Yes"/>
    <s v="Casual"/>
    <n v="0.25"/>
    <n v="1"/>
    <m/>
    <s v="No"/>
    <n v="2"/>
    <n v="0"/>
    <s v="Gorogoro"/>
    <n v="0"/>
    <m/>
    <n v="999"/>
    <s v="Gorogoro"/>
    <m/>
    <n v="2"/>
    <n v="0"/>
    <s v="Gorogoro"/>
    <n v="0"/>
    <x v="0"/>
    <s v="No"/>
    <s v="No"/>
    <s v="No"/>
    <s v="No"/>
    <n v="0"/>
    <n v="4"/>
    <s v="uuid:cea93993-854e-4519-907f-c56faca61ae7/secG-G2"/>
    <s v="uuid:cea93993-854e-4519-907f-c56faca61ae7/secG-G5"/>
    <n v="-4.2902736663818359"/>
    <n v="35.828704833984375"/>
    <n v="1331.800048828125"/>
    <n v="5"/>
    <n v="1706031849"/>
    <s v="uuid:cea93993-854e-4519-907f-c56faca61ae7"/>
    <d v="2017-08-01T21:48:10"/>
    <d v="2017-07-22T11:10:35"/>
    <d v="2017-07-22T11:38:26"/>
    <d v="2017-02-28T00:00:00"/>
    <m/>
    <n v="3.0618948824343022"/>
    <n v="3.3598432457353624"/>
    <m/>
    <m/>
    <m/>
    <n v="1"/>
    <m/>
    <s v="Valleys"/>
    <n v="0.63687402010000005"/>
    <s v="Very gentle"/>
    <s v="Flat"/>
    <n v="-0.45320102572400001"/>
    <n v="14.599243164100001"/>
    <n v="462.50512873591418"/>
    <m/>
    <n v="1.476"/>
    <m/>
    <m/>
    <m/>
    <n v="3.2108690640848323"/>
    <m/>
    <n v="0"/>
    <n v="0"/>
    <n v="0"/>
    <n v="0"/>
    <n v="0"/>
    <n v="0"/>
  </r>
  <r>
    <s v="Inot Songoyani"/>
    <n v="9"/>
    <s v="Iddi Salimu Isambe"/>
    <s v="Iddi Salimu Mumba"/>
    <s v="ORNGADIDA"/>
    <s v="Orngadida"/>
    <n v="2"/>
    <s v="outfield"/>
    <s v="Feed livestock"/>
    <s v="InField feed"/>
    <n v="0"/>
    <m/>
    <m/>
    <s v=""/>
    <m/>
    <n v="0"/>
    <s v=""/>
    <m/>
    <s v="Variable"/>
    <s v="Other fields in my home village"/>
    <m/>
    <s v="Other, Specify"/>
    <n v="999"/>
    <m/>
    <s v=""/>
    <x v="1"/>
    <s v=""/>
    <n v="0"/>
    <s v=""/>
    <m/>
    <s v=""/>
    <s v=""/>
    <s v="No"/>
    <s v="No"/>
    <s v=""/>
    <n v="0"/>
    <s v=""/>
    <m/>
    <m/>
    <s v=""/>
    <s v=""/>
    <n v="0"/>
    <n v="0"/>
    <s v="00"/>
    <x v="2"/>
    <n v="1"/>
    <s v="No"/>
    <m/>
    <s v="No"/>
    <m/>
    <m/>
    <s v="Yes"/>
    <s v="Family"/>
    <n v="1"/>
    <n v="0"/>
    <n v="1"/>
    <s v="No"/>
    <s v="No"/>
    <s v="Yes"/>
    <s v="No"/>
    <s v="No"/>
    <s v="No"/>
    <m/>
    <s v=""/>
    <m/>
    <s v=""/>
    <n v="3"/>
    <s v="Free range"/>
    <m/>
    <s v=""/>
    <m/>
    <s v=""/>
    <m/>
    <n v="0.03"/>
    <s v="very low"/>
    <n v="3"/>
    <n v="5"/>
    <n v="3"/>
    <n v="11"/>
    <n v="0"/>
    <n v="1"/>
    <n v="2"/>
    <s v=""/>
    <n v="1.4"/>
    <s v="Low"/>
    <n v="1.4300000000000002"/>
    <s v="No"/>
    <s v=""/>
    <s v="Yes"/>
    <s v="Casual"/>
    <n v="0.25"/>
    <m/>
    <n v="0.75"/>
    <s v="Yes"/>
    <m/>
    <n v="999"/>
    <s v="Bags"/>
    <m/>
    <m/>
    <n v="999"/>
    <s v="Bags"/>
    <m/>
    <n v="1"/>
    <n v="3"/>
    <s v="Bags"/>
    <n v="0.72"/>
    <x v="0"/>
    <s v="No"/>
    <s v="No"/>
    <s v="No"/>
    <s v="No"/>
    <n v="0"/>
    <n v="2"/>
    <s v="uuid:6306352e-160b-4746-a6a1-26c2d223a5c7/secG-G2"/>
    <s v="uuid:6306352e-160b-4746-a6a1-26c2d223a5c7/secG-G5"/>
    <n v="-4.316126823425293"/>
    <n v="35.874771118164063"/>
    <n v="1232.699951171875"/>
    <n v="5"/>
    <n v="1705231439"/>
    <s v="uuid:6306352e-160b-4746-a6a1-26c2d223a5c7"/>
    <d v="2017-06-07T14:17:45"/>
    <d v="2017-06-06T14:22:15"/>
    <d v="2017-06-06T14:33:37"/>
    <d v="2017-03-26T00:00:00"/>
    <m/>
    <n v="4.3090381426202322"/>
    <n v="5.6303897180762856"/>
    <n v="5.3979091995221022"/>
    <n v="4.3430704898446839"/>
    <m/>
    <n v="1"/>
    <m/>
    <s v="Plains"/>
    <n v="0.900638759136"/>
    <s v="Very gentle"/>
    <s v="Flat"/>
    <n v="9.0650379657699995E-2"/>
    <n v="9.4924430847199996"/>
    <n v="363.31130398402144"/>
    <n v="357.70449975345872"/>
    <n v="2.0019999999999998"/>
    <n v="1.6839999999999999"/>
    <n v="0.31799999999999984"/>
    <n v="4.8704898446833926"/>
    <n v="4.9697139303482594"/>
    <n v="9.9224085664866735E-2"/>
    <n v="0"/>
    <n v="491.03999999999996"/>
    <n v="0"/>
    <n v="491.03999999999996"/>
    <n v="0"/>
    <n v="491.03999999999996"/>
  </r>
  <r>
    <s v="Inot Songoyani"/>
    <n v="219"/>
    <s v="JOHN TEMBEA"/>
    <s v="John Tembea"/>
    <s v="ORNGADIDA"/>
    <s v="Orngadida"/>
    <n v="0.5"/>
    <s v="outfield"/>
    <s v="Feed livestock"/>
    <s v="Bury"/>
    <n v="0"/>
    <m/>
    <m/>
    <s v=""/>
    <m/>
    <n v="0"/>
    <s v=""/>
    <m/>
    <m/>
    <s v=""/>
    <m/>
    <s v=""/>
    <m/>
    <m/>
    <s v=""/>
    <x v="1"/>
    <s v=""/>
    <n v="0"/>
    <s v=""/>
    <m/>
    <s v=""/>
    <s v=""/>
    <s v="No"/>
    <s v="No"/>
    <s v=""/>
    <n v="0"/>
    <s v=""/>
    <m/>
    <m/>
    <s v=""/>
    <s v=""/>
    <n v="0"/>
    <n v="0"/>
    <s v="00"/>
    <x v="2"/>
    <n v="1"/>
    <s v="Yes"/>
    <n v="1"/>
    <s v="No"/>
    <m/>
    <m/>
    <s v="No"/>
    <s v=""/>
    <m/>
    <n v="1"/>
    <n v="1"/>
    <s v="No"/>
    <s v="No"/>
    <s v="Yes"/>
    <s v="No"/>
    <s v="No"/>
    <s v="No"/>
    <m/>
    <s v=""/>
    <m/>
    <s v=""/>
    <n v="3"/>
    <s v="Free range"/>
    <m/>
    <s v=""/>
    <m/>
    <s v=""/>
    <m/>
    <n v="0.03"/>
    <s v="very low"/>
    <n v="1"/>
    <n v="1"/>
    <n v="0"/>
    <n v="2"/>
    <n v="0"/>
    <n v="0"/>
    <n v="0"/>
    <s v=""/>
    <n v="15"/>
    <s v="Low"/>
    <n v="15.03"/>
    <s v="No"/>
    <s v=""/>
    <s v="Yes"/>
    <s v="Casual"/>
    <n v="0.25"/>
    <n v="0.5"/>
    <m/>
    <s v="No"/>
    <n v="0.75"/>
    <n v="4"/>
    <s v="Bags"/>
    <n v="1.28"/>
    <m/>
    <n v="999"/>
    <s v="Bags"/>
    <m/>
    <n v="0.75"/>
    <n v="2"/>
    <s v="Bags"/>
    <n v="0.64"/>
    <x v="0"/>
    <s v="No"/>
    <s v="No"/>
    <s v="No"/>
    <s v="No"/>
    <n v="0"/>
    <n v="2"/>
    <s v="uuid:6828fab1-5caf-4539-bc82-b0868b5f8b43/secG-G2"/>
    <s v="uuid:6828fab1-5caf-4539-bc82-b0868b5f8b43/secG-G5"/>
    <n v="-4.3043117523193359"/>
    <n v="35.865875244140625"/>
    <n v="1246.800048828125"/>
    <n v="5"/>
    <n v="1706031849"/>
    <s v="uuid:6828fab1-5caf-4539-bc82-b0868b5f8b43"/>
    <d v="2017-08-03T23:13:24"/>
    <d v="2017-08-02T13:40:03"/>
    <d v="2017-08-03T20:32:49"/>
    <d v="2017-03-03T00:00:00"/>
    <m/>
    <n v="5.1265020576131688"/>
    <n v="5.5359670781893007"/>
    <n v="3.8335294117647063"/>
    <n v="4.6309803921568626"/>
    <m/>
    <n v="1"/>
    <m/>
    <s v="Plains"/>
    <n v="1.0361100435299999"/>
    <s v="Very gentle"/>
    <s v="Upper slope"/>
    <n v="0.54385989904400001"/>
    <n v="8.8965396881099998"/>
    <n v="29.985836517975233"/>
    <n v="391.12919621651605"/>
    <n v="0.68400000000000005"/>
    <m/>
    <m/>
    <n v="4.2322549019607845"/>
    <n v="5.3312345679012347"/>
    <n v="1.0989796659404503"/>
    <n v="450.56"/>
    <n v="436.48"/>
    <n v="0"/>
    <n v="887.04"/>
    <n v="0"/>
    <n v="887.04"/>
  </r>
  <r>
    <s v="Inot Songoyani"/>
    <n v="214"/>
    <s v="Paulo Gelasi Polini"/>
    <s v="Paulo Gelasi Polini"/>
    <s v="ENDAGWE"/>
    <s v="Endagwe"/>
    <n v="0"/>
    <s v="Homefield"/>
    <s v="Feed livestock"/>
    <s v="OffField feed"/>
    <n v="0"/>
    <m/>
    <m/>
    <s v=""/>
    <m/>
    <n v="0"/>
    <s v=""/>
    <m/>
    <m/>
    <s v=""/>
    <m/>
    <s v=""/>
    <m/>
    <m/>
    <s v=""/>
    <x v="1"/>
    <s v=""/>
    <n v="0"/>
    <s v=""/>
    <m/>
    <s v=""/>
    <s v=""/>
    <s v="No"/>
    <s v="No"/>
    <s v=""/>
    <n v="0"/>
    <s v=""/>
    <m/>
    <m/>
    <s v=""/>
    <s v=""/>
    <n v="0"/>
    <n v="0"/>
    <s v="00"/>
    <x v="2"/>
    <n v="1"/>
    <s v="Yes"/>
    <n v="1"/>
    <s v="Yes"/>
    <n v="1"/>
    <n v="2"/>
    <s v="No"/>
    <s v=""/>
    <m/>
    <n v="3"/>
    <n v="3"/>
    <s v="No"/>
    <s v="No"/>
    <s v="Yes"/>
    <s v="No"/>
    <s v="No"/>
    <s v="No"/>
    <m/>
    <s v=""/>
    <m/>
    <s v=""/>
    <n v="4"/>
    <s v="Both"/>
    <m/>
    <s v=""/>
    <m/>
    <s v=""/>
    <m/>
    <n v="0.04"/>
    <s v="very low"/>
    <n v="1"/>
    <n v="1"/>
    <n v="0"/>
    <n v="2"/>
    <n v="0"/>
    <n v="0"/>
    <n v="0"/>
    <s v=""/>
    <n v="45"/>
    <s v="Medium"/>
    <n v="45.04"/>
    <s v="No"/>
    <s v=""/>
    <s v="Yes"/>
    <s v="Casual"/>
    <n v="0.25"/>
    <n v="0.75"/>
    <m/>
    <s v="Yes"/>
    <n v="1"/>
    <n v="11"/>
    <s v="Bags"/>
    <n v="2.64"/>
    <m/>
    <n v="999"/>
    <s v="Bags"/>
    <m/>
    <n v="1"/>
    <n v="2"/>
    <s v="Bags"/>
    <n v="0.48"/>
    <x v="0"/>
    <s v="Yes"/>
    <s v="Yes"/>
    <s v="No"/>
    <s v="No"/>
    <n v="2"/>
    <n v="2"/>
    <s v="uuid:87cd89bd-7d24-422c-bebd-bbcdff381df1/secG-G2"/>
    <s v="uuid:87cd89bd-7d24-422c-bebd-bbcdff381df1/secG-G5"/>
    <n v="-4.3520464897155762"/>
    <n v="35.650688171386719"/>
    <n v="1591.699951171875"/>
    <n v="5"/>
    <n v="1706031849"/>
    <s v="uuid:87cd89bd-7d24-422c-bebd-bbcdff381df1"/>
    <d v="2017-08-03T23:12:49"/>
    <d v="2017-07-18T11:49:33"/>
    <d v="2017-08-03T23:04:54"/>
    <d v="2017-02-06T00:00:00"/>
    <m/>
    <n v="3.7722147651006712"/>
    <n v="2.5218344519015661"/>
    <n v="3.452519561815337"/>
    <n v="3.2545539906103294"/>
    <m/>
    <s v="FALSEE"/>
    <m/>
    <s v="Valleys"/>
    <n v="3.9993274211899998"/>
    <s v="Gentle"/>
    <s v="Toeslope"/>
    <n v="-0.725126743317"/>
    <n v="10.1581029892"/>
    <n v="311.75152886791551"/>
    <n v="550.51217797467154"/>
    <n v="1.4390000000000001"/>
    <n v="1.599"/>
    <n v="-0.15999999999999992"/>
    <n v="3.3535367762128332"/>
    <n v="3.1470246085011189"/>
    <n v="-0.20651216771171432"/>
    <n v="929.28000000000009"/>
    <n v="327.36"/>
    <n v="0"/>
    <n v="1256.6400000000001"/>
    <n v="0"/>
    <n v="1256.6400000000001"/>
  </r>
  <r>
    <s v="Inot Songoyani"/>
    <n v="203"/>
    <s v="Paskali Danieli Kalambai"/>
    <s v="Paskali Danieli Kalambai"/>
    <s v="TSAMASI"/>
    <s v="Samatsi"/>
    <n v="0"/>
    <s v="Homefield"/>
    <s v="Feed livestock"/>
    <s v="OffField feed"/>
    <n v="0"/>
    <m/>
    <m/>
    <s v=""/>
    <m/>
    <n v="0"/>
    <s v=""/>
    <m/>
    <m/>
    <s v=""/>
    <m/>
    <s v=""/>
    <m/>
    <m/>
    <s v=""/>
    <x v="1"/>
    <s v=""/>
    <n v="0"/>
    <s v=""/>
    <m/>
    <s v=""/>
    <s v=""/>
    <s v="No"/>
    <s v="No"/>
    <s v=""/>
    <n v="0"/>
    <s v=""/>
    <m/>
    <m/>
    <s v=""/>
    <s v=""/>
    <n v="0"/>
    <n v="0"/>
    <s v="00"/>
    <x v="2"/>
    <n v="1"/>
    <s v="Yes"/>
    <n v="0.5"/>
    <s v="Yes"/>
    <n v="2"/>
    <n v="4"/>
    <s v="Yes"/>
    <s v="Rent"/>
    <n v="0.5"/>
    <n v="4.5"/>
    <n v="5"/>
    <s v="No"/>
    <s v="No"/>
    <s v="Yes"/>
    <s v="No"/>
    <s v="No"/>
    <s v="No"/>
    <m/>
    <s v=""/>
    <m/>
    <s v=""/>
    <n v="7"/>
    <s v="Both"/>
    <m/>
    <s v=""/>
    <m/>
    <s v=""/>
    <m/>
    <n v="7.0000000000000007E-2"/>
    <s v="very low"/>
    <n v="1"/>
    <n v="1"/>
    <n v="4"/>
    <n v="6"/>
    <n v="0"/>
    <n v="0"/>
    <n v="0"/>
    <s v=""/>
    <n v="67.5"/>
    <s v="High"/>
    <n v="67.569999999999993"/>
    <s v="No"/>
    <s v=""/>
    <s v="No"/>
    <s v=""/>
    <n v="0.25"/>
    <n v="3.25"/>
    <m/>
    <s v="No"/>
    <n v="2"/>
    <n v="40"/>
    <s v="Bags"/>
    <n v="4.8"/>
    <m/>
    <n v="999"/>
    <s v="Bags"/>
    <m/>
    <n v="3"/>
    <n v="6"/>
    <s v="Bags"/>
    <n v="0.48"/>
    <x v="0"/>
    <s v="No"/>
    <s v="No"/>
    <s v="No"/>
    <s v="No"/>
    <n v="0"/>
    <n v="2"/>
    <s v="uuid:9dbc93db-ae08-4133-807e-498a5c8f8318/secG-G2"/>
    <s v="uuid:9dbc93db-ae08-4133-807e-498a5c8f8318/secG-G5"/>
    <n v="-4.2916555404663086"/>
    <n v="35.814193725585938"/>
    <n v="1378.800048828125"/>
    <n v="5"/>
    <n v="1706031849"/>
    <s v="uuid:9dbc93db-ae08-4133-807e-498a5c8f8318"/>
    <d v="2017-08-01T21:48:17"/>
    <d v="2017-07-22T13:54:23"/>
    <d v="2017-07-22T14:02:59"/>
    <d v="2017-02-28T00:00:00"/>
    <m/>
    <n v="3.558085585585586"/>
    <n v="3.5257882882882883"/>
    <n v="1.732936507936508"/>
    <n v="2.7989550264550269"/>
    <m/>
    <n v="1"/>
    <m/>
    <s v="Open slopes"/>
    <n v="7.8896226882900002"/>
    <s v="Moderate"/>
    <s v="Midslope"/>
    <n v="-9.0633422136300004E-2"/>
    <n v="8.8443002700799997"/>
    <n v="267.07510142062972"/>
    <n v="190.38868744669747"/>
    <n v="1.056"/>
    <n v="0.88800000000000001"/>
    <n v="0.16800000000000004"/>
    <n v="2.2659457671957677"/>
    <n v="3.5419369369369371"/>
    <n v="1.2759911697411694"/>
    <n v="1689.6"/>
    <n v="327.36"/>
    <n v="0"/>
    <n v="2016.96"/>
    <n v="0"/>
    <n v="2016.96"/>
  </r>
  <r>
    <s v="Inot Songoyani"/>
    <n v="221"/>
    <s v="ABUBAKARI SAIDI"/>
    <s v="Abukakhari Saidi"/>
    <s v="ORNGADIDA"/>
    <s v="Orngadida"/>
    <n v="0"/>
    <s v="Homefield"/>
    <s v="Feed livestock"/>
    <s v="OffField feed"/>
    <n v="0"/>
    <m/>
    <m/>
    <s v=""/>
    <m/>
    <n v="0"/>
    <s v=""/>
    <m/>
    <m/>
    <s v=""/>
    <m/>
    <s v=""/>
    <m/>
    <m/>
    <s v=""/>
    <x v="1"/>
    <s v=""/>
    <n v="0"/>
    <s v=""/>
    <m/>
    <s v=""/>
    <s v=""/>
    <s v="No"/>
    <s v="No"/>
    <s v=""/>
    <n v="0"/>
    <s v=""/>
    <m/>
    <m/>
    <s v=""/>
    <s v=""/>
    <n v="0"/>
    <n v="0"/>
    <s v="00"/>
    <x v="2"/>
    <n v="1"/>
    <s v="Yes"/>
    <n v="0.5"/>
    <s v="No"/>
    <m/>
    <m/>
    <s v="Yes"/>
    <s v="Family"/>
    <n v="1"/>
    <n v="0.5"/>
    <n v="1.5"/>
    <s v="No"/>
    <s v="Yes"/>
    <s v="Yes"/>
    <s v="No"/>
    <s v="No"/>
    <s v="No"/>
    <m/>
    <s v=""/>
    <n v="2"/>
    <s v="Both"/>
    <n v="3"/>
    <s v="Both"/>
    <m/>
    <s v=""/>
    <m/>
    <s v=""/>
    <m/>
    <n v="0.23"/>
    <s v="very low"/>
    <n v="1"/>
    <n v="1"/>
    <n v="1"/>
    <n v="3"/>
    <n v="0"/>
    <n v="0"/>
    <n v="0"/>
    <s v=""/>
    <n v="7.5"/>
    <s v="Low"/>
    <n v="7.73"/>
    <s v="No"/>
    <s v=""/>
    <s v="No"/>
    <s v=""/>
    <n v="0.25"/>
    <m/>
    <m/>
    <s v="No"/>
    <n v="0.25"/>
    <n v="2"/>
    <s v="Gorogoro"/>
    <n v="0.32063999999999998"/>
    <n v="0.25"/>
    <n v="999"/>
    <s v="Bags"/>
    <m/>
    <n v="0.25"/>
    <n v="2"/>
    <s v="Gorogoro"/>
    <n v="0.32063999999999998"/>
    <x v="0"/>
    <s v="No"/>
    <s v="No"/>
    <s v="No"/>
    <s v="No"/>
    <n v="0"/>
    <n v="2"/>
    <s v="uuid:b6e52458-a1a8-497b-83a0-c9925024391c/secG-G2"/>
    <s v="uuid:b6e52458-a1a8-497b-83a0-c9925024391c/secG-G5"/>
    <n v="-4.3045344352722168"/>
    <n v="35.866374969482422"/>
    <n v="1243.699951171875"/>
    <n v="5"/>
    <n v="1706031849"/>
    <s v="uuid:b6e52458-a1a8-497b-83a0-c9925024391c"/>
    <d v="2017-08-03T23:13:25"/>
    <d v="2017-08-02T13:44:50"/>
    <d v="2017-08-03T20:27:02"/>
    <d v="2017-02-28T00:00:00"/>
    <m/>
    <n v="7.1560905349794242"/>
    <n v="5.4881893004115225"/>
    <n v="5.0021241830065355"/>
    <n v="4.5060457516339865"/>
    <m/>
    <n v="1"/>
    <m/>
    <s v="Plains"/>
    <n v="1.0361100435299999"/>
    <s v="Very gentle"/>
    <s v="Upper slope"/>
    <n v="0.54385989904400001"/>
    <n v="8.8965396881099998"/>
    <n v="253.25475489831277"/>
    <n v="331.97159242310181"/>
    <n v="1.5629999999999999"/>
    <n v="1.734"/>
    <n v="-0.17100000000000004"/>
    <n v="4.754084967320261"/>
    <n v="6.3221399176954733"/>
    <n v="1.5680549503752124"/>
    <n v="112.86528"/>
    <n v="218.67648"/>
    <n v="0"/>
    <n v="331.54176000000001"/>
    <n v="0"/>
    <n v="331.54176000000001"/>
  </r>
  <r>
    <s v="Inot Songoyani"/>
    <n v="216"/>
    <s v="Petro Haima Qhwanga"/>
    <s v="Petro Haima Qhwanga"/>
    <s v="ENDAGWE"/>
    <s v="Orngadida"/>
    <n v="0.75"/>
    <s v="outfield"/>
    <s v="Feed livestock"/>
    <s v="OffField feed"/>
    <n v="0"/>
    <m/>
    <m/>
    <s v=""/>
    <m/>
    <n v="0"/>
    <s v=""/>
    <m/>
    <m/>
    <s v=""/>
    <m/>
    <s v=""/>
    <m/>
    <m/>
    <s v=""/>
    <x v="1"/>
    <s v=""/>
    <n v="0"/>
    <s v=""/>
    <m/>
    <s v=""/>
    <s v=""/>
    <s v="No"/>
    <s v="No"/>
    <s v=""/>
    <n v="0"/>
    <s v=""/>
    <m/>
    <m/>
    <s v=""/>
    <s v=""/>
    <n v="0"/>
    <n v="0"/>
    <s v="00"/>
    <x v="2"/>
    <n v="1"/>
    <s v="Yes"/>
    <n v="2"/>
    <s v="Yes"/>
    <n v="2"/>
    <n v="2.5"/>
    <s v="No"/>
    <s v=""/>
    <m/>
    <n v="4.5"/>
    <n v="4.5"/>
    <s v="No"/>
    <s v="Yes"/>
    <s v="Yes"/>
    <s v="No"/>
    <s v="No"/>
    <s v="No"/>
    <m/>
    <s v=""/>
    <n v="2"/>
    <s v="Free range"/>
    <n v="6"/>
    <s v="Both"/>
    <m/>
    <s v=""/>
    <m/>
    <s v=""/>
    <m/>
    <n v="0.26"/>
    <s v="very low"/>
    <n v="1"/>
    <n v="1"/>
    <n v="3"/>
    <n v="5"/>
    <n v="0"/>
    <n v="0"/>
    <n v="1"/>
    <s v=""/>
    <n v="67.8"/>
    <s v="High"/>
    <n v="68.06"/>
    <s v="Yes"/>
    <s v="Money"/>
    <s v="Yes"/>
    <s v="Casual"/>
    <n v="0.25"/>
    <n v="0.25"/>
    <m/>
    <s v="Yes"/>
    <n v="0.5"/>
    <n v="7"/>
    <s v="Bags"/>
    <n v="3.3600000000000003"/>
    <m/>
    <n v="999"/>
    <s v="Bags"/>
    <m/>
    <n v="0.5"/>
    <n v="5"/>
    <s v="Gorogoro"/>
    <n v="0.40079999999999999"/>
    <x v="0"/>
    <s v="No"/>
    <s v="No"/>
    <s v="No"/>
    <s v="No"/>
    <n v="0"/>
    <n v="2"/>
    <s v="uuid:46df8db4-a9cf-4a75-be50-f8cc338de630/secG-G2"/>
    <s v="uuid:46df8db4-a9cf-4a75-be50-f8cc338de630/secG-G5"/>
    <n v="-4.3781700134277344"/>
    <n v="35.645359039306641"/>
    <n v="1671.199951171875"/>
    <n v="5"/>
    <n v="1706031849"/>
    <s v="uuid:46df8db4-a9cf-4a75-be50-f8cc338de630"/>
    <d v="2017-08-03T23:13:08"/>
    <d v="2017-07-19T10:56:45"/>
    <d v="2017-08-03T21:26:50"/>
    <d v="2017-04-02T00:00:00"/>
    <m/>
    <n v="1.4233766233766234"/>
    <n v="1.2335930735930736"/>
    <n v="1.9072628726287266"/>
    <n v="2.359308943089431"/>
    <m/>
    <s v="FALSEE"/>
    <m/>
    <s v="Upper slopes"/>
    <n v="1.3195674419400001"/>
    <s v="Very gentle"/>
    <s v="Upper slope"/>
    <n v="0.815785527229"/>
    <n v="7.9470510482799996"/>
    <n v="120.10482534901254"/>
    <n v="139.12203732794822"/>
    <n v="0.79600000000000004"/>
    <n v="1.0389999999999999"/>
    <n v="-0.24299999999999988"/>
    <n v="2.1332859078590789"/>
    <n v="1.3284848484848486"/>
    <n v="-0.8048010593742303"/>
    <n v="1182.72"/>
    <n v="273.34559999999999"/>
    <n v="0"/>
    <n v="1456.0655999999999"/>
    <n v="0"/>
    <n v="1456.0655999999999"/>
  </r>
  <r>
    <s v="Inot Songoyani"/>
    <n v="131"/>
    <s v="Baghayo Dodo Matambo"/>
    <s v="Baghayo Dodo Matambo"/>
    <s v="HALLU"/>
    <s v="Hallu"/>
    <n v="0"/>
    <s v="Homefield"/>
    <s v="Feed livestock"/>
    <s v="InField feed"/>
    <n v="0"/>
    <m/>
    <m/>
    <s v=""/>
    <m/>
    <n v="0"/>
    <s v=""/>
    <m/>
    <m/>
    <s v=""/>
    <m/>
    <s v=""/>
    <m/>
    <m/>
    <s v=""/>
    <x v="1"/>
    <s v=""/>
    <n v="0"/>
    <s v=""/>
    <m/>
    <s v=""/>
    <s v=""/>
    <s v="No"/>
    <s v="No"/>
    <s v=""/>
    <n v="0"/>
    <s v=""/>
    <m/>
    <m/>
    <s v=""/>
    <s v=""/>
    <n v="0"/>
    <n v="0"/>
    <s v="00"/>
    <x v="2"/>
    <n v="1"/>
    <s v="No"/>
    <m/>
    <s v="No"/>
    <m/>
    <m/>
    <s v="Yes"/>
    <s v="Family"/>
    <n v="2"/>
    <n v="0"/>
    <n v="2"/>
    <s v="No"/>
    <s v="Yes"/>
    <s v="Yes"/>
    <s v="No"/>
    <s v="No"/>
    <s v="No"/>
    <m/>
    <s v=""/>
    <n v="2"/>
    <s v="Both"/>
    <n v="15"/>
    <s v="Both"/>
    <m/>
    <s v=""/>
    <m/>
    <s v=""/>
    <m/>
    <n v="0.35"/>
    <s v="very low"/>
    <n v="1"/>
    <n v="0"/>
    <n v="0"/>
    <n v="1"/>
    <n v="0"/>
    <n v="0"/>
    <n v="0"/>
    <s v=""/>
    <n v="0"/>
    <s v="Low"/>
    <n v="0.35"/>
    <s v="No"/>
    <s v=""/>
    <s v="No"/>
    <s v=""/>
    <n v="0.25"/>
    <n v="1.75"/>
    <m/>
    <s v="Yes"/>
    <n v="2"/>
    <n v="13"/>
    <s v="Bags"/>
    <n v="1.56"/>
    <m/>
    <n v="999"/>
    <s v="Bags"/>
    <m/>
    <n v="2"/>
    <n v="1.5"/>
    <s v="Bags"/>
    <n v="0.18"/>
    <x v="0"/>
    <s v="No"/>
    <s v="Yes"/>
    <s v="No"/>
    <s v="No"/>
    <n v="1"/>
    <n v="2"/>
    <s v="uuid:6ea00960-36b1-4509-aeb1-19a57de52d5e/secG-G2"/>
    <s v="uuid:6ea00960-36b1-4509-aeb1-19a57de52d5e/secG-G5"/>
    <n v="-4.28460693359375"/>
    <n v="35.8924560546875"/>
    <n v="1222.0999755859375"/>
    <n v="5"/>
    <n v="1706031849"/>
    <s v="uuid:6ea00960-36b1-4509-aeb1-19a57de52d5e"/>
    <d v="2017-06-21T14:14:01"/>
    <d v="2017-06-20T16:10:11"/>
    <d v="2017-06-20T16:17:40"/>
    <d v="2017-02-23T00:00:00"/>
    <m/>
    <n v="6.7044444444444444"/>
    <n v="4.511111111111112"/>
    <n v="4.1539094650205763"/>
    <n v="4.5947325102880656"/>
    <m/>
    <n v="1"/>
    <m/>
    <s v="Plains"/>
    <n v="0.87375217676200001"/>
    <s v="Very gentle"/>
    <s v="Flat"/>
    <n v="-9.0633422136300004E-2"/>
    <n v="10.7202291489"/>
    <n v="374.43608098413478"/>
    <n v="338.18432165100319"/>
    <n v="1.9690000000000001"/>
    <n v="1.758"/>
    <n v="0.21100000000000008"/>
    <n v="4.374320987654321"/>
    <n v="5.6077777777777786"/>
    <n v="1.2334567901234577"/>
    <n v="549.12"/>
    <n v="122.75999999999999"/>
    <n v="0"/>
    <n v="671.88"/>
    <n v="0"/>
    <n v="671.88"/>
  </r>
  <r>
    <s v="Inot Songoyani"/>
    <n v="226"/>
    <s v="NADA KARANI JUMBE"/>
    <s v="Nada Karani Jumbe"/>
    <s v="ENDAGWE"/>
    <s v="Endagwe"/>
    <n v="2"/>
    <s v="outfield"/>
    <s v="Feed livestock"/>
    <s v="OffField feed"/>
    <n v="0"/>
    <m/>
    <m/>
    <s v=""/>
    <m/>
    <n v="0"/>
    <s v=""/>
    <m/>
    <m/>
    <s v=""/>
    <m/>
    <s v=""/>
    <m/>
    <m/>
    <s v=""/>
    <x v="1"/>
    <s v=""/>
    <n v="0"/>
    <s v=""/>
    <m/>
    <s v=""/>
    <s v=""/>
    <s v="Yes"/>
    <s v="No"/>
    <s v=""/>
    <n v="0"/>
    <s v=""/>
    <m/>
    <m/>
    <s v=""/>
    <s v=""/>
    <n v="0"/>
    <n v="0"/>
    <s v="00"/>
    <x v="2"/>
    <n v="1"/>
    <s v="Yes"/>
    <n v="0.5"/>
    <s v="Yes"/>
    <n v="1"/>
    <n v="2"/>
    <s v="No"/>
    <s v=""/>
    <m/>
    <n v="2.5"/>
    <n v="2.5"/>
    <s v="No"/>
    <s v="Yes"/>
    <s v="Yes"/>
    <s v="No"/>
    <s v="No"/>
    <s v="No"/>
    <m/>
    <s v=""/>
    <n v="3"/>
    <s v="Zero grazing"/>
    <n v="5"/>
    <s v="Free range"/>
    <m/>
    <s v=""/>
    <m/>
    <s v=""/>
    <m/>
    <n v="0.35000000000000003"/>
    <s v="very low"/>
    <n v="1"/>
    <n v="1"/>
    <n v="3"/>
    <n v="5"/>
    <n v="0"/>
    <n v="0"/>
    <n v="0"/>
    <s v=""/>
    <n v="37.5"/>
    <s v="Medium"/>
    <n v="37.85"/>
    <s v="No"/>
    <s v=""/>
    <s v="No"/>
    <s v=""/>
    <n v="0.25"/>
    <n v="0.25"/>
    <m/>
    <s v="No"/>
    <n v="0.5"/>
    <n v="4"/>
    <s v="Bags"/>
    <n v="1.92"/>
    <m/>
    <n v="999"/>
    <s v="Bags"/>
    <m/>
    <n v="0.5"/>
    <n v="4"/>
    <s v="Gorogoro"/>
    <n v="0.32063999999999998"/>
    <x v="0"/>
    <s v="No"/>
    <s v="No"/>
    <s v="No"/>
    <s v="No"/>
    <n v="0"/>
    <n v="2"/>
    <s v="uuid:144d1cc6-b411-4d51-8cd8-e5f77f519c26/secG-G2"/>
    <s v="uuid:144d1cc6-b411-4d51-8cd8-e5f77f519c26/secG-G5"/>
    <n v="-4.3485698699951172"/>
    <n v="35.658477783203125"/>
    <n v="1633.4000244140625"/>
    <n v="5"/>
    <n v="1706031849"/>
    <s v="uuid:144d1cc6-b411-4d51-8cd8-e5f77f519c26"/>
    <d v="2017-08-03T23:13:38"/>
    <d v="2017-08-03T16:28:57"/>
    <d v="2017-08-03T20:00:30"/>
    <d v="2017-02-27T00:00:00"/>
    <m/>
    <n v="1.1444444444444446"/>
    <n v="1.4907894736842107"/>
    <n v="0.98685185185185198"/>
    <m/>
    <m/>
    <n v="1"/>
    <m/>
    <s v="Upper slopes"/>
    <n v="11.3292856216"/>
    <s v="Strong"/>
    <s v="Midslope"/>
    <n v="9.0650379657699995E-2"/>
    <n v="6.8279480934099999"/>
    <n v="9.1511340106900931"/>
    <n v="95.973188231328663"/>
    <n v="0.56399999999999995"/>
    <n v="0.77"/>
    <n v="-0.20600000000000007"/>
    <n v="0.98685185185185198"/>
    <n v="1.3176169590643276"/>
    <n v="0.33076510721247565"/>
    <n v="675.83999999999992"/>
    <n v="218.67648"/>
    <n v="0"/>
    <n v="894.51647999999989"/>
    <n v="0"/>
    <n v="894.51647999999989"/>
  </r>
  <r>
    <s v="Evaline K Kaaya"/>
    <n v="248"/>
    <s v="Atanas Keya Humay"/>
    <s v="Atanas Keya"/>
    <s v="ENDANOGA"/>
    <s v="Endanoga"/>
    <n v="0"/>
    <s v="Homefield"/>
    <s v="Feed livestock"/>
    <s v="OffField feed"/>
    <n v="0"/>
    <m/>
    <m/>
    <s v=""/>
    <m/>
    <n v="0"/>
    <s v=""/>
    <m/>
    <m/>
    <s v=""/>
    <m/>
    <s v=""/>
    <m/>
    <m/>
    <s v=""/>
    <x v="0"/>
    <s v="Own animals"/>
    <n v="0"/>
    <s v=""/>
    <m/>
    <s v=""/>
    <s v=""/>
    <s v="Yes"/>
    <s v="No"/>
    <s v=""/>
    <n v="0"/>
    <s v=""/>
    <m/>
    <m/>
    <s v=""/>
    <s v=""/>
    <n v="0"/>
    <n v="0"/>
    <s v="00"/>
    <x v="2"/>
    <n v="1"/>
    <s v="Yes"/>
    <n v="0.5"/>
    <s v="Yes"/>
    <n v="3"/>
    <n v="3"/>
    <s v="No"/>
    <s v=""/>
    <m/>
    <n v="3.5"/>
    <n v="3.5"/>
    <s v="No"/>
    <s v="Yes"/>
    <s v="Yes"/>
    <s v="Yes"/>
    <s v="No"/>
    <s v="No"/>
    <m/>
    <s v=""/>
    <n v="2"/>
    <s v="Zero grazing"/>
    <n v="15"/>
    <s v="Zero grazing"/>
    <n v="4"/>
    <s v="Zero grazing"/>
    <m/>
    <s v=""/>
    <m/>
    <n v="0.75"/>
    <s v="very low"/>
    <n v="1"/>
    <n v="1"/>
    <n v="0"/>
    <n v="2"/>
    <n v="0"/>
    <n v="0"/>
    <n v="0"/>
    <s v=""/>
    <n v="52.5"/>
    <s v="Medium"/>
    <n v="53.25"/>
    <s v="Yes"/>
    <s v="Karate"/>
    <s v="Yes"/>
    <s v="Casual"/>
    <n v="0.25"/>
    <n v="0"/>
    <n v="2"/>
    <s v="No"/>
    <n v="2.5"/>
    <n v="13"/>
    <s v="Bags"/>
    <n v="1.248"/>
    <m/>
    <m/>
    <s v="Bags"/>
    <m/>
    <n v="2.5"/>
    <n v="5"/>
    <s v="Bags"/>
    <n v="0.48"/>
    <x v="0"/>
    <s v="Yes"/>
    <s v="No"/>
    <s v="No"/>
    <s v="No"/>
    <n v="1"/>
    <n v="2"/>
    <s v="uuid:19c202dd-26da-451d-a7e0-2dcec24c5133/secG-G2"/>
    <s v="uuid:19c202dd-26da-451d-a7e0-2dcec24c5133/secG-G5"/>
    <n v="-4.2677412033081055"/>
    <n v="35.853012084960938"/>
    <n v="1341.199951171875"/>
    <n v="5"/>
    <n v="1706031849"/>
    <s v="uuid:19c202dd-26da-451d-a7e0-2dcec24c5133"/>
    <d v="2017-08-31T14:11:32"/>
    <d v="2017-06-09T15:17:20"/>
    <d v="2017-08-31T14:08:35"/>
    <d v="2017-02-08T00:00:00"/>
    <m/>
    <n v="7.9535135135135127"/>
    <n v="5.6529729729729725"/>
    <n v="1.9796335697399532"/>
    <n v="2.2926713947990547"/>
    <m/>
    <n v="1"/>
    <m/>
    <s v="Plains"/>
    <n v="2.1943719387099998"/>
    <s v="Gentle"/>
    <s v="Flat"/>
    <n v="-0.27191722393000001"/>
    <n v="11.7191648483"/>
    <n v="48.565397505813927"/>
    <n v="47.189639278059829"/>
    <n v="0.83099999999999996"/>
    <n v="0.82199999999999995"/>
    <n v="9.000000000000008E-3"/>
    <n v="2.1361524822695039"/>
    <n v="6.8032432432432426"/>
    <n v="4.6670907609737391"/>
    <n v="439.29599999999999"/>
    <n v="327.36"/>
    <n v="0"/>
    <n v="766.65599999999995"/>
    <n v="63.699999999999996"/>
    <n v="702.9559999999999"/>
  </r>
  <r>
    <s v="Inot Songoyani"/>
    <n v="7"/>
    <s v="Rehema Issa Iddi"/>
    <s v="Rehema Issa Iddi"/>
    <s v="ORNGADIDA"/>
    <s v="Orngadida"/>
    <n v="2"/>
    <s v="outfield"/>
    <s v="Bury"/>
    <s v="Bury"/>
    <n v="0"/>
    <m/>
    <m/>
    <s v=""/>
    <m/>
    <n v="0"/>
    <s v=""/>
    <m/>
    <s v="Variable"/>
    <s v="Other fields in my home village"/>
    <m/>
    <s v="Other, Specify"/>
    <n v="999"/>
    <m/>
    <s v=""/>
    <x v="1"/>
    <s v=""/>
    <n v="0"/>
    <s v=""/>
    <m/>
    <s v=""/>
    <s v=""/>
    <s v="No"/>
    <s v="No"/>
    <s v=""/>
    <n v="0"/>
    <s v=""/>
    <m/>
    <m/>
    <s v=""/>
    <s v=""/>
    <n v="0"/>
    <n v="0"/>
    <s v="00"/>
    <x v="2"/>
    <n v="1"/>
    <s v="No"/>
    <m/>
    <s v="No"/>
    <m/>
    <m/>
    <s v="Yes"/>
    <s v="Family"/>
    <n v="1"/>
    <n v="0"/>
    <n v="1"/>
    <s v="No"/>
    <s v="Yes"/>
    <s v="Yes"/>
    <s v="No"/>
    <s v="No"/>
    <s v="No"/>
    <m/>
    <s v=""/>
    <n v="8"/>
    <s v="Free range"/>
    <n v="13"/>
    <s v="Free range"/>
    <m/>
    <s v=""/>
    <m/>
    <s v=""/>
    <m/>
    <n v="0.93"/>
    <s v="very low"/>
    <n v="2"/>
    <n v="2"/>
    <n v="0"/>
    <n v="4"/>
    <n v="1"/>
    <n v="0"/>
    <n v="0"/>
    <s v=""/>
    <n v="15"/>
    <s v="Low"/>
    <n v="15.93"/>
    <s v="No"/>
    <s v=""/>
    <s v="Yes"/>
    <s v="Casual"/>
    <n v="1"/>
    <n v="0"/>
    <n v="0"/>
    <s v="Yes"/>
    <n v="1"/>
    <n v="15"/>
    <s v="Bags"/>
    <n v="3.5999999999999996"/>
    <m/>
    <n v="999"/>
    <s v="Bags"/>
    <m/>
    <n v="1"/>
    <n v="5"/>
    <s v="Bags"/>
    <n v="1.2"/>
    <x v="0"/>
    <s v="No"/>
    <s v="No"/>
    <s v="No"/>
    <s v="No"/>
    <n v="0"/>
    <n v="2"/>
    <s v="uuid:f10f70b5-9cc4-4c5f-8ade-b367cf8bafe3/secG-G2"/>
    <s v="uuid:f10f70b5-9cc4-4c5f-8ade-b367cf8bafe3/secG-G5"/>
    <n v="-4.310492992401123"/>
    <n v="35.873733520507813"/>
    <n v="1235.5"/>
    <n v="5"/>
    <n v="1705231439"/>
    <s v="uuid:f10f70b5-9cc4-4c5f-8ade-b367cf8bafe3"/>
    <d v="2017-06-07T14:17:32"/>
    <d v="2017-06-06T13:12:24"/>
    <d v="2017-06-06T14:45:07"/>
    <d v="2017-02-26T00:00:00"/>
    <m/>
    <n v="4.3676480129764803"/>
    <n v="5.5825709651257096"/>
    <n v="1.9998039215686274"/>
    <n v="4.2488235294117649"/>
    <m/>
    <n v="1"/>
    <m/>
    <s v="Plains"/>
    <n v="1.1402179002799999"/>
    <s v="Very gentle"/>
    <s v="Flat"/>
    <n v="-0.27191722393000001"/>
    <n v="11.7633571625"/>
    <n v="281.01808577952613"/>
    <n v="187.6000905749178"/>
    <n v="1.68"/>
    <n v="0.77400000000000002"/>
    <n v="0.90599999999999992"/>
    <n v="3.1243137254901963"/>
    <n v="4.9751094890510945"/>
    <n v="1.8507957635608983"/>
    <n v="1267.1999999999998"/>
    <n v="818.4"/>
    <n v="0"/>
    <n v="2085.6"/>
    <n v="0"/>
    <n v="2085.6"/>
  </r>
  <r>
    <s v="Inot Songoyani"/>
    <n v="180"/>
    <s v="Mick Daniel Kwalaida"/>
    <s v="Miki Daniel Qwaraida"/>
    <s v="DURU"/>
    <s v="Duru"/>
    <n v="3"/>
    <s v="outfield"/>
    <s v="Feed livestock"/>
    <s v="OffField feed"/>
    <n v="0"/>
    <m/>
    <m/>
    <s v=""/>
    <m/>
    <n v="0"/>
    <s v=""/>
    <m/>
    <m/>
    <s v=""/>
    <m/>
    <s v=""/>
    <m/>
    <m/>
    <s v=""/>
    <x v="1"/>
    <s v=""/>
    <n v="0"/>
    <s v=""/>
    <m/>
    <s v=""/>
    <s v=""/>
    <s v="No"/>
    <s v="No"/>
    <s v=""/>
    <n v="0"/>
    <s v=""/>
    <m/>
    <m/>
    <s v=""/>
    <s v=""/>
    <n v="0"/>
    <n v="0"/>
    <s v="00"/>
    <x v="2"/>
    <n v="1"/>
    <s v="No"/>
    <m/>
    <s v="Yes"/>
    <n v="1"/>
    <n v="0.5"/>
    <s v="Yes"/>
    <s v="Rent"/>
    <n v="0.5"/>
    <n v="0.5"/>
    <n v="1"/>
    <s v="Yes"/>
    <s v="No"/>
    <s v="No"/>
    <s v="No"/>
    <s v="No"/>
    <s v="No"/>
    <n v="1"/>
    <s v="Zero grazing"/>
    <m/>
    <s v=""/>
    <m/>
    <s v=""/>
    <m/>
    <s v=""/>
    <m/>
    <s v=""/>
    <m/>
    <n v="1"/>
    <s v="very low"/>
    <n v="1"/>
    <n v="0"/>
    <n v="0"/>
    <n v="1"/>
    <n v="0"/>
    <n v="0"/>
    <n v="0"/>
    <s v=""/>
    <n v="7.5"/>
    <s v="Low"/>
    <n v="8.5"/>
    <s v="No"/>
    <s v=""/>
    <s v="Yes"/>
    <s v="Casual"/>
    <n v="0.25"/>
    <n v="0.25"/>
    <m/>
    <s v="Yes"/>
    <n v="0.5"/>
    <n v="4"/>
    <s v="Bags"/>
    <n v="1.92"/>
    <m/>
    <n v="999"/>
    <s v="Bags"/>
    <m/>
    <n v="0.5"/>
    <n v="1"/>
    <s v="Bags"/>
    <n v="0.48"/>
    <x v="0"/>
    <s v="No"/>
    <s v="No"/>
    <s v="No"/>
    <s v="No"/>
    <n v="0"/>
    <n v="2"/>
    <s v="uuid:fa62c821-f933-4c38-bc40-a15ccf9517a2/secG-G2"/>
    <s v="uuid:fa62c821-f933-4c38-bc40-a15ccf9517a2/secG-G5"/>
    <n v="-4.3102412223815918"/>
    <n v="35.59613037109375"/>
    <n v="1639.5"/>
    <n v="5"/>
    <n v="1706031849"/>
    <s v="uuid:fa62c821-f933-4c38-bc40-a15ccf9517a2"/>
    <d v="2017-07-10T13:49:17"/>
    <d v="2017-07-05T11:40:56"/>
    <d v="2017-07-05T12:19:52"/>
    <d v="2017-01-14T00:00:00"/>
    <m/>
    <n v="4.7512857142857152"/>
    <n v="3.4872857142857145"/>
    <n v="5.3166666666666673"/>
    <n v="4.4611111111111121"/>
    <m/>
    <s v="FALSEE"/>
    <m/>
    <s v="Upper slopes"/>
    <n v="4.7960176467900002"/>
    <s v="Gentle"/>
    <s v="Flat"/>
    <n v="0.18129228055499999"/>
    <n v="7.3213319778399999"/>
    <m/>
    <n v="584.51805607223787"/>
    <m/>
    <n v="1.597"/>
    <m/>
    <n v="4.8888888888888893"/>
    <n v="4.1192857142857147"/>
    <n v="-0.76960317460317462"/>
    <n v="675.83999999999992"/>
    <n v="327.36"/>
    <n v="0"/>
    <n v="1003.1999999999999"/>
    <n v="0"/>
    <n v="1003.1999999999999"/>
  </r>
  <r>
    <s v="Inot Songoyani"/>
    <n v="157"/>
    <s v="FaridavAmsi Slaa"/>
    <s v="Farida Amsi Slaa"/>
    <s v="HALLU"/>
    <s v="Hallu"/>
    <n v="0"/>
    <s v="Homefield"/>
    <s v="Bury"/>
    <s v="Bury"/>
    <n v="0"/>
    <m/>
    <m/>
    <s v=""/>
    <m/>
    <n v="0"/>
    <s v=""/>
    <m/>
    <m/>
    <s v=""/>
    <m/>
    <s v=""/>
    <m/>
    <m/>
    <s v=""/>
    <x v="1"/>
    <s v=""/>
    <n v="0"/>
    <s v=""/>
    <m/>
    <s v=""/>
    <s v=""/>
    <s v="No"/>
    <s v="No"/>
    <s v=""/>
    <n v="0"/>
    <s v=""/>
    <m/>
    <m/>
    <s v=""/>
    <s v=""/>
    <n v="0"/>
    <n v="0"/>
    <s v="00"/>
    <x v="2"/>
    <n v="1"/>
    <s v="Yes"/>
    <n v="1"/>
    <s v="Yes"/>
    <n v="1"/>
    <n v="2"/>
    <s v="No"/>
    <s v=""/>
    <m/>
    <n v="3"/>
    <n v="3"/>
    <s v="Yes"/>
    <s v="No"/>
    <s v="No"/>
    <s v="No"/>
    <s v="No"/>
    <s v="No"/>
    <n v="1"/>
    <s v="Zero grazing"/>
    <m/>
    <s v=""/>
    <m/>
    <s v=""/>
    <m/>
    <s v=""/>
    <m/>
    <s v=""/>
    <m/>
    <n v="1"/>
    <s v="very low"/>
    <n v="2"/>
    <n v="1"/>
    <n v="2"/>
    <n v="5"/>
    <n v="0"/>
    <n v="0"/>
    <n v="0"/>
    <s v=""/>
    <n v="45"/>
    <s v="Medium"/>
    <n v="46"/>
    <s v="No"/>
    <s v=""/>
    <s v="No"/>
    <s v=""/>
    <n v="0.25"/>
    <n v="0.25"/>
    <m/>
    <s v="Yes"/>
    <n v="0.5"/>
    <n v="6"/>
    <s v="Bags"/>
    <n v="2.8800000000000003"/>
    <m/>
    <n v="999"/>
    <s v="Bags"/>
    <m/>
    <n v="0.5"/>
    <n v="1"/>
    <s v="Bags"/>
    <n v="0.48"/>
    <x v="0"/>
    <s v="No"/>
    <s v="No"/>
    <s v="No"/>
    <s v="No"/>
    <n v="0"/>
    <n v="3"/>
    <s v="uuid:6d3968ed-d988-43c0-87d9-6ae132f14bb9/secG-G2"/>
    <s v="uuid:6d3968ed-d988-43c0-87d9-6ae132f14bb9/secG-G5"/>
    <n v="-4.2881870269775391"/>
    <n v="35.897674560546875"/>
    <n v="1205.300048828125"/>
    <n v="5"/>
    <n v="1706031849"/>
    <s v="uuid:6d3968ed-d988-43c0-87d9-6ae132f14bb9"/>
    <d v="2017-07-05T10:22:38"/>
    <d v="2017-06-27T13:03:30"/>
    <d v="2017-06-27T13:19:55"/>
    <d v="2017-02-10T00:00:00"/>
    <m/>
    <n v="3.2456038647342997"/>
    <n v="1.6668599033816427"/>
    <n v="1.6606153846153846"/>
    <n v="4.2904615384615381"/>
    <m/>
    <s v="FALSEE"/>
    <m/>
    <s v="Plains"/>
    <n v="2.1752965450300001"/>
    <s v="Gentle"/>
    <s v="Flat"/>
    <n v="0.36257606744799997"/>
    <n v="8.4629182815600004"/>
    <n v="538.96329641911655"/>
    <n v="375.83037942002437"/>
    <n v="1.671"/>
    <n v="1.298"/>
    <n v="0.373"/>
    <n v="2.9755384615384615"/>
    <n v="2.4562318840579711"/>
    <n v="-0.51930657748049036"/>
    <n v="1013.7600000000001"/>
    <n v="327.36"/>
    <n v="0"/>
    <n v="1341.1200000000001"/>
    <n v="0"/>
    <n v="1341.1200000000001"/>
  </r>
  <r>
    <s v="Michael"/>
    <n v="21"/>
    <s v="Sinorina Paulo"/>
    <s v="Sinorina Paulo"/>
    <s v="SABILO"/>
    <s v="Sabilo"/>
    <n v="2.5"/>
    <s v="outfield"/>
    <s v="Feed livestock"/>
    <s v="OffField feed"/>
    <n v="0"/>
    <m/>
    <m/>
    <s v=""/>
    <m/>
    <n v="0"/>
    <s v=""/>
    <m/>
    <s v="Variable"/>
    <s v="Other fields in my home village"/>
    <m/>
    <s v="My 'home field' away from here"/>
    <m/>
    <m/>
    <s v=""/>
    <x v="1"/>
    <s v=""/>
    <n v="0"/>
    <s v=""/>
    <m/>
    <s v=""/>
    <s v=""/>
    <s v="Yes"/>
    <s v="No"/>
    <m/>
    <n v="0"/>
    <s v=""/>
    <m/>
    <m/>
    <s v=""/>
    <s v=""/>
    <n v="0"/>
    <n v="0"/>
    <s v="00"/>
    <x v="2"/>
    <n v="1"/>
    <s v="Yes"/>
    <n v="0.5"/>
    <s v="Yes"/>
    <n v="1"/>
    <n v="2.5"/>
    <s v="No"/>
    <s v=""/>
    <m/>
    <n v="3"/>
    <n v="3"/>
    <s v="Yes"/>
    <s v="No"/>
    <s v="No"/>
    <s v="No"/>
    <s v="No"/>
    <s v="No"/>
    <n v="1"/>
    <s v="Free range"/>
    <m/>
    <s v=""/>
    <m/>
    <s v=""/>
    <m/>
    <s v=""/>
    <m/>
    <s v=""/>
    <m/>
    <n v="1"/>
    <s v="very low"/>
    <n v="3"/>
    <n v="1"/>
    <n v="0"/>
    <n v="4"/>
    <n v="0"/>
    <n v="1"/>
    <n v="1"/>
    <m/>
    <n v="46.1"/>
    <s v="Medium"/>
    <n v="47.1"/>
    <s v="No"/>
    <s v=""/>
    <s v="Yes"/>
    <s v="Multiple"/>
    <n v="0.5"/>
    <n v="2"/>
    <n v="0"/>
    <s v="Yes"/>
    <n v="1"/>
    <n v="10"/>
    <s v="Bags"/>
    <n v="2.4"/>
    <n v="1"/>
    <n v="1"/>
    <s v="Bags"/>
    <n v="0.24"/>
    <n v="1"/>
    <n v="0.5"/>
    <s v="Bags"/>
    <n v="0.12"/>
    <x v="0"/>
    <s v="No"/>
    <s v="No"/>
    <s v="No"/>
    <s v="No"/>
    <n v="0"/>
    <n v="3"/>
    <s v="uuid:39bfc944-c23f-4d08-ae94-9e4d04bd4f5e/secG-G2"/>
    <s v="uuid:39bfc944-c23f-4d08-ae94-9e4d04bd4f5e/secG-G5"/>
    <n v="-4.3406481742858887"/>
    <n v="35.470245361328125"/>
    <n v="1600.4000244140625"/>
    <n v="15"/>
    <n v="1705231439"/>
    <s v="uuid:39bfc944-c23f-4d08-ae94-9e4d04bd4f5e"/>
    <d v="2017-06-22T07:01:17"/>
    <d v="2017-06-08T16:57:10"/>
    <d v="2017-06-22T06:59:20"/>
    <d v="2017-02-09T00:00:00"/>
    <m/>
    <n v="2.6470175438596493"/>
    <n v="3.2512280701754395"/>
    <n v="0.85382716049382712"/>
    <n v="1.6161728395061727"/>
    <m/>
    <n v="1"/>
    <m/>
    <s v="Plains"/>
    <n v="2.35151100159"/>
    <s v="Gentle"/>
    <s v="Flat"/>
    <n v="9.0650379657699995E-2"/>
    <n v="9.2979307174700008"/>
    <n v="8.8431014063134743"/>
    <n v="15.221167743445479"/>
    <n v="1.5229999999999999"/>
    <n v="1.5669999999999999"/>
    <n v="-4.4000000000000039E-2"/>
    <n v="1.2349999999999999"/>
    <n v="2.9491228070175444"/>
    <n v="1.7141228070175445"/>
    <n v="844.8"/>
    <n v="81.84"/>
    <n v="190.79999999999998"/>
    <n v="1117.44"/>
    <n v="0"/>
    <n v="1117.44"/>
  </r>
  <r>
    <s v="Inot Songoyani"/>
    <n v="97"/>
    <s v="BENADECTA IGNAS Hotti"/>
    <s v="Benadecta Ignas Hotti"/>
    <s v="ORNGADIDA"/>
    <s v="Orngadida"/>
    <n v="0.30000001192092896"/>
    <s v="Midfield"/>
    <s v="Feed livestock"/>
    <s v="OffField feed"/>
    <n v="0"/>
    <m/>
    <m/>
    <s v=""/>
    <m/>
    <n v="0"/>
    <s v=""/>
    <m/>
    <s v="Variable"/>
    <s v="Other fields in my home village"/>
    <m/>
    <s v="This field"/>
    <m/>
    <m/>
    <s v=""/>
    <x v="1"/>
    <s v=""/>
    <n v="0"/>
    <s v=""/>
    <m/>
    <s v=""/>
    <s v=""/>
    <s v="No"/>
    <s v="No"/>
    <s v=""/>
    <n v="0"/>
    <s v=""/>
    <m/>
    <m/>
    <s v=""/>
    <s v=""/>
    <n v="0"/>
    <n v="0"/>
    <s v="00"/>
    <x v="2"/>
    <n v="1"/>
    <s v="Yes"/>
    <n v="0.75"/>
    <s v="Yes"/>
    <n v="2"/>
    <n v="3.5"/>
    <s v="No"/>
    <s v=""/>
    <m/>
    <n v="4.25"/>
    <n v="4.25"/>
    <s v="Yes"/>
    <s v="No"/>
    <s v="Yes"/>
    <s v="No"/>
    <s v="No"/>
    <s v="No"/>
    <n v="1"/>
    <s v="Zero grazing"/>
    <m/>
    <s v=""/>
    <n v="12"/>
    <s v="Both"/>
    <m/>
    <s v=""/>
    <m/>
    <s v=""/>
    <m/>
    <n v="1.1200000000000001"/>
    <s v="very low"/>
    <n v="1"/>
    <n v="2"/>
    <n v="3"/>
    <n v="6"/>
    <n v="0"/>
    <n v="0"/>
    <n v="0"/>
    <m/>
    <n v="63.75"/>
    <s v="High"/>
    <n v="64.87"/>
    <s v="Yes"/>
    <s v="Karate"/>
    <s v="Yes"/>
    <s v="Casual"/>
    <n v="0.5"/>
    <n v="0.5"/>
    <m/>
    <s v="Yes"/>
    <n v="1"/>
    <n v="10"/>
    <s v="Bags"/>
    <n v="2.4"/>
    <m/>
    <n v="999"/>
    <s v="Bags"/>
    <m/>
    <n v="1"/>
    <n v="4"/>
    <s v="Bags"/>
    <n v="0.96"/>
    <x v="0"/>
    <s v="No"/>
    <s v="No"/>
    <s v="No"/>
    <s v="No"/>
    <n v="0"/>
    <n v="3"/>
    <s v="uuid:84fbc77d-8c49-44b3-953a-f6336535bd3c/secG-G2"/>
    <s v="uuid:84fbc77d-8c49-44b3-953a-f6336535bd3c/secG-G5"/>
    <n v="-4.2969870567321777"/>
    <n v="35.849224090576172"/>
    <n v="1274.800048828125"/>
    <n v="5"/>
    <n v="1705231439"/>
    <s v="uuid:84fbc77d-8c49-44b3-953a-f6336535bd3c"/>
    <d v="2017-07-11T08:19:41"/>
    <d v="2017-06-06T10:06:10"/>
    <d v="2017-07-11T08:18:19"/>
    <d v="2017-02-27T00:00:00"/>
    <m/>
    <m/>
    <m/>
    <m/>
    <m/>
    <m/>
    <n v="1"/>
    <m/>
    <s v="Plains"/>
    <n v="1.5327152013800001"/>
    <s v="Very gentle"/>
    <s v="Flat"/>
    <n v="-0.27191722393000001"/>
    <n v="9.4327993392899998"/>
    <n v="457.16559114869972"/>
    <n v="158.14415692300889"/>
    <n v="1.85"/>
    <n v="1.5129999999999999"/>
    <n v="0.33700000000000019"/>
    <m/>
    <m/>
    <m/>
    <n v="844.8"/>
    <n v="654.72"/>
    <n v="0"/>
    <n v="1499.52"/>
    <n v="0"/>
    <n v="1499.52"/>
  </r>
  <r>
    <s v="Inot Songoyani"/>
    <n v="160"/>
    <s v="Jamila Jumanne Maja"/>
    <s v="Jamila Jumanne Maja"/>
    <s v="HALLU"/>
    <s v="Hallu"/>
    <n v="0"/>
    <s v="Homefield"/>
    <s v="Feed livestock"/>
    <s v="InField feed"/>
    <n v="0"/>
    <m/>
    <m/>
    <s v=""/>
    <m/>
    <n v="0"/>
    <s v=""/>
    <m/>
    <m/>
    <s v=""/>
    <m/>
    <s v=""/>
    <m/>
    <m/>
    <s v=""/>
    <x v="1"/>
    <s v=""/>
    <n v="0"/>
    <s v=""/>
    <m/>
    <s v=""/>
    <s v=""/>
    <s v="No"/>
    <s v="No"/>
    <s v=""/>
    <n v="0"/>
    <s v=""/>
    <m/>
    <m/>
    <s v=""/>
    <s v=""/>
    <n v="0"/>
    <n v="0"/>
    <s v="00"/>
    <x v="2"/>
    <n v="1"/>
    <s v="Yes"/>
    <n v="0.5"/>
    <s v="Yes"/>
    <n v="1"/>
    <n v="2"/>
    <s v="No"/>
    <s v=""/>
    <m/>
    <n v="2.5"/>
    <n v="2.5"/>
    <s v="No"/>
    <s v="Yes"/>
    <s v="Yes"/>
    <s v="Yes"/>
    <s v="No"/>
    <s v="No"/>
    <m/>
    <s v=""/>
    <n v="10"/>
    <s v="Both"/>
    <n v="2"/>
    <s v="Both"/>
    <n v="2"/>
    <s v="Both"/>
    <m/>
    <s v=""/>
    <m/>
    <n v="1.22"/>
    <s v="very low"/>
    <n v="3"/>
    <n v="2"/>
    <n v="4"/>
    <n v="9"/>
    <n v="0"/>
    <n v="0"/>
    <n v="0"/>
    <s v=""/>
    <n v="37.5"/>
    <s v="Medium"/>
    <n v="38.72"/>
    <s v="No"/>
    <s v=""/>
    <s v="Yes"/>
    <s v="Casual"/>
    <n v="0.25"/>
    <n v="0.25"/>
    <m/>
    <s v="Yes"/>
    <n v="0.25"/>
    <n v="2"/>
    <s v="Bags"/>
    <n v="1.92"/>
    <m/>
    <n v="999"/>
    <s v="Bags"/>
    <m/>
    <n v="0.25"/>
    <n v="4"/>
    <s v="Gorogoro"/>
    <n v="0.64127999999999996"/>
    <x v="0"/>
    <s v="No"/>
    <s v="No"/>
    <s v="No"/>
    <s v="No"/>
    <n v="0"/>
    <n v="3"/>
    <s v="uuid:994add44-cedb-42f9-aeed-d99f4db2bd46/secG-G2"/>
    <s v="uuid:994add44-cedb-42f9-aeed-d99f4db2bd46/secG-G5"/>
    <n v="-4.2845678329467773"/>
    <n v="35.895767211914063"/>
    <n v="1230.699951171875"/>
    <n v="5"/>
    <n v="1706031849"/>
    <s v="uuid:994add44-cedb-42f9-aeed-d99f4db2bd46"/>
    <d v="2017-07-05T10:22:44"/>
    <d v="2017-06-27T14:25:59"/>
    <d v="2017-06-27T14:50:15"/>
    <d v="2017-02-23T00:00:00"/>
    <m/>
    <n v="2.2201709401709402"/>
    <n v="1.7467521367521366"/>
    <n v="2.8790123456790124"/>
    <m/>
    <m/>
    <s v="FALSEE"/>
    <m/>
    <s v="Plains"/>
    <n v="1.5749045610400001"/>
    <s v="Very gentle"/>
    <s v="Flat"/>
    <n v="-0.362559139729"/>
    <n v="9.9196262359599991"/>
    <n v="191.78298588258733"/>
    <n v="246.16062488228459"/>
    <n v="1.089"/>
    <n v="1.08"/>
    <n v="8.999999999999897E-3"/>
    <n v="2.8790123456790124"/>
    <n v="1.9834615384615384"/>
    <n v="-0.89555080721747404"/>
    <n v="675.83999999999992"/>
    <n v="437.35296"/>
    <n v="0"/>
    <n v="1113.1929599999999"/>
    <n v="0"/>
    <n v="1113.1929599999999"/>
  </r>
  <r>
    <s v="Inot Songoyani"/>
    <n v="143"/>
    <s v="Lucia Doho Bombo"/>
    <s v="Lucia Doho Bombo"/>
    <s v="AYAMANGO"/>
    <s v="Ayamango"/>
    <n v="0.30000001192092896"/>
    <s v="Midfield"/>
    <s v="Feed livestock"/>
    <s v="OffField feed"/>
    <n v="0"/>
    <m/>
    <m/>
    <s v=""/>
    <m/>
    <n v="0"/>
    <s v=""/>
    <m/>
    <m/>
    <s v=""/>
    <m/>
    <s v=""/>
    <m/>
    <m/>
    <s v=""/>
    <x v="1"/>
    <s v=""/>
    <n v="0"/>
    <s v=""/>
    <m/>
    <s v=""/>
    <s v=""/>
    <s v="Yes"/>
    <s v="No"/>
    <s v=""/>
    <n v="0"/>
    <s v=""/>
    <m/>
    <m/>
    <s v=""/>
    <s v=""/>
    <n v="0"/>
    <n v="0"/>
    <s v="00"/>
    <x v="2"/>
    <n v="1"/>
    <s v="Yes"/>
    <n v="1"/>
    <s v="No"/>
    <m/>
    <m/>
    <s v="Yes"/>
    <s v="Family"/>
    <n v="0.25"/>
    <n v="1"/>
    <n v="1.25"/>
    <s v="Yes"/>
    <s v="Yes"/>
    <s v="Yes"/>
    <s v="No"/>
    <s v="No"/>
    <s v="No"/>
    <n v="1"/>
    <s v="Both"/>
    <n v="2"/>
    <s v="Both"/>
    <n v="5"/>
    <s v="Both"/>
    <m/>
    <s v=""/>
    <m/>
    <s v=""/>
    <m/>
    <n v="1.25"/>
    <s v="very low"/>
    <n v="2"/>
    <n v="3"/>
    <n v="5"/>
    <n v="10"/>
    <n v="0"/>
    <n v="0"/>
    <n v="0"/>
    <s v=""/>
    <n v="15"/>
    <s v="Low"/>
    <n v="16.25"/>
    <s v="No"/>
    <s v=""/>
    <s v="No"/>
    <s v=""/>
    <n v="0.25"/>
    <n v="0.25"/>
    <m/>
    <s v="Yes"/>
    <n v="0.25"/>
    <n v="9"/>
    <s v="Bags"/>
    <n v="8.64"/>
    <m/>
    <n v="999"/>
    <s v="Bags"/>
    <m/>
    <n v="0.25"/>
    <n v="4"/>
    <s v="Gorogoro"/>
    <n v="0.64127999999999996"/>
    <x v="0"/>
    <s v="No"/>
    <s v="No"/>
    <s v="No"/>
    <s v="No"/>
    <n v="0"/>
    <n v="2"/>
    <s v="uuid:c8d62162-b368-4d43-a887-fd443415c5ae/secG-G2"/>
    <s v="uuid:c8d62162-b368-4d43-a887-fd443415c5ae/secG-G5"/>
    <n v="-4.244534969329834"/>
    <n v="35.891998291015625"/>
    <n v="1224.9000244140625"/>
    <n v="5"/>
    <n v="1706031849"/>
    <s v="uuid:c8d62162-b368-4d43-a887-fd443415c5ae"/>
    <d v="2017-06-23T11:53:52"/>
    <d v="2017-06-22T11:24:35"/>
    <d v="2017-06-22T11:32:24"/>
    <d v="2017-02-09T00:00:00"/>
    <m/>
    <n v="4.2269281045751628"/>
    <n v="7.719389978213508"/>
    <n v="4.372056530214425"/>
    <n v="4.1487719298245613"/>
    <n v="10"/>
    <n v="1"/>
    <m/>
    <s v="Plains"/>
    <n v="1.0756396055199999"/>
    <s v="Very gentle"/>
    <s v="Flat"/>
    <n v="-0.18127532303300001"/>
    <n v="10.502039909400001"/>
    <n v="592.87783827657358"/>
    <m/>
    <n v="2.153"/>
    <n v="2.202"/>
    <n v="-4.8999999999999932E-2"/>
    <n v="4.2604142300194932"/>
    <n v="5.9731590413943358"/>
    <n v="1.7127448113748427"/>
    <n v="3041.28"/>
    <n v="437.35296"/>
    <n v="0"/>
    <n v="3478.6329600000004"/>
    <n v="0"/>
    <n v="3478.6329600000004"/>
  </r>
  <r>
    <s v="Inot Songoyani"/>
    <n v="142"/>
    <s v="Joji Leonard Jabu"/>
    <s v="Joji Leonard Jabu"/>
    <s v="AYAMANGO"/>
    <s v="Ayamango"/>
    <n v="0.5"/>
    <s v="outfield"/>
    <s v="Feed livestock"/>
    <s v="InField feed"/>
    <n v="0"/>
    <m/>
    <m/>
    <s v=""/>
    <m/>
    <n v="0"/>
    <s v=""/>
    <m/>
    <m/>
    <s v=""/>
    <m/>
    <s v=""/>
    <m/>
    <m/>
    <s v=""/>
    <x v="0"/>
    <s v="Own animals"/>
    <n v="0"/>
    <s v=""/>
    <m/>
    <s v=""/>
    <s v=""/>
    <s v="No"/>
    <s v="No"/>
    <s v=""/>
    <n v="0"/>
    <s v=""/>
    <m/>
    <m/>
    <s v=""/>
    <s v=""/>
    <n v="0"/>
    <n v="0"/>
    <s v="00"/>
    <x v="2"/>
    <n v="1"/>
    <s v="No"/>
    <m/>
    <s v="Yes"/>
    <n v="1"/>
    <n v="1.5"/>
    <s v="Yes"/>
    <s v="Family"/>
    <n v="25"/>
    <n v="1.5"/>
    <n v="26.5"/>
    <s v="Yes"/>
    <s v="Yes"/>
    <s v="No"/>
    <s v="No"/>
    <s v="No"/>
    <s v="No"/>
    <n v="1"/>
    <s v="Both"/>
    <n v="3"/>
    <s v="Both"/>
    <m/>
    <s v=""/>
    <m/>
    <s v=""/>
    <m/>
    <s v=""/>
    <m/>
    <n v="1.3"/>
    <s v="very low"/>
    <n v="1"/>
    <n v="0"/>
    <n v="0"/>
    <n v="1"/>
    <n v="0"/>
    <n v="0"/>
    <n v="0"/>
    <s v=""/>
    <n v="22.5"/>
    <s v="Medium"/>
    <n v="23.8"/>
    <s v="No"/>
    <s v=""/>
    <s v="No"/>
    <s v=""/>
    <n v="0.25"/>
    <n v="0.25"/>
    <m/>
    <s v="Yes"/>
    <n v="0.5"/>
    <n v="10"/>
    <s v="Bags"/>
    <n v="4.8"/>
    <m/>
    <n v="999"/>
    <s v="Bags"/>
    <m/>
    <n v="0.5"/>
    <n v="1.25"/>
    <s v="Bags"/>
    <n v="0.6"/>
    <x v="0"/>
    <s v="No"/>
    <s v="No"/>
    <s v="No"/>
    <s v="Yes"/>
    <n v="1"/>
    <n v="3"/>
    <s v="uuid:201d0852-546d-485d-a532-d23250f3c265/secG-G2"/>
    <s v="uuid:201d0852-546d-485d-a532-d23250f3c265/secG-G5"/>
    <n v="-4.2444829940795898"/>
    <n v="35.892040252685547"/>
    <n v="1224.199951171875"/>
    <n v="5"/>
    <n v="1706031849"/>
    <s v="uuid:201d0852-546d-485d-a532-d23250f3c265"/>
    <d v="2017-06-23T11:53:51"/>
    <d v="2017-06-22T11:03:51"/>
    <d v="2017-06-22T11:24:28"/>
    <d v="2017-02-09T00:00:00"/>
    <m/>
    <n v="5.8809362139917694"/>
    <n v="4.9944958847736629"/>
    <n v="3.4614545454545453"/>
    <n v="4.5950303030303026"/>
    <n v="5"/>
    <n v="1"/>
    <m/>
    <s v="Plains"/>
    <n v="1.0756396055199999"/>
    <s v="Very gentle"/>
    <s v="Flat"/>
    <n v="-0.18127532303300001"/>
    <n v="10.502039909400001"/>
    <n v="488.38056072237833"/>
    <n v="480.02077851804273"/>
    <n v="2.0819999999999999"/>
    <n v="2.2469999999999999"/>
    <n v="-0.16500000000000004"/>
    <n v="4.028242424242424"/>
    <n v="5.4377160493827166"/>
    <n v="1.4094736251402926"/>
    <n v="1689.6"/>
    <n v="409.2"/>
    <n v="0"/>
    <n v="2098.7999999999997"/>
    <n v="63.699999999999996"/>
    <n v="2035.0999999999997"/>
  </r>
  <r>
    <s v="Inot Songoyani"/>
    <n v="106"/>
    <s v="Porotus Hero Dadwe"/>
    <s v="Porotus Hero Dadwe"/>
    <s v="ENDANOGA"/>
    <s v="Endanoga"/>
    <n v="0"/>
    <s v="Homefield"/>
    <s v="Feed livestock"/>
    <s v="OffField feed"/>
    <n v="0"/>
    <m/>
    <m/>
    <s v=""/>
    <m/>
    <n v="0"/>
    <s v=""/>
    <m/>
    <m/>
    <s v=""/>
    <m/>
    <s v=""/>
    <m/>
    <m/>
    <s v=""/>
    <x v="0"/>
    <s v="Own animals"/>
    <n v="0"/>
    <s v=""/>
    <m/>
    <s v=""/>
    <s v=""/>
    <s v="No"/>
    <s v="No"/>
    <s v=""/>
    <n v="0"/>
    <s v=""/>
    <m/>
    <m/>
    <s v=""/>
    <s v=""/>
    <n v="0"/>
    <n v="0"/>
    <s v="00"/>
    <x v="2"/>
    <n v="1"/>
    <s v="Yes"/>
    <n v="1.25"/>
    <s v="No"/>
    <m/>
    <m/>
    <s v="No"/>
    <s v=""/>
    <m/>
    <n v="1.25"/>
    <n v="1.25"/>
    <s v="Yes"/>
    <s v="Yes"/>
    <s v="Yes"/>
    <s v="No"/>
    <s v="No"/>
    <s v="No"/>
    <n v="1"/>
    <s v="Zero grazing"/>
    <n v="3"/>
    <s v="Zero grazing"/>
    <n v="1"/>
    <s v="Free range"/>
    <m/>
    <s v=""/>
    <m/>
    <s v=""/>
    <m/>
    <n v="1.31"/>
    <s v="very low"/>
    <n v="2"/>
    <n v="1"/>
    <n v="6"/>
    <n v="9"/>
    <n v="0"/>
    <n v="0"/>
    <n v="0"/>
    <m/>
    <n v="18.75"/>
    <s v="Medium"/>
    <n v="20.059999999999999"/>
    <s v="No"/>
    <s v=""/>
    <s v="No"/>
    <s v=""/>
    <n v="0.25"/>
    <n v="1"/>
    <n v="0"/>
    <s v="Yes"/>
    <n v="1.25"/>
    <n v="5"/>
    <s v="Bags"/>
    <n v="0.96"/>
    <m/>
    <n v="999"/>
    <s v="Bags"/>
    <m/>
    <n v="1.25"/>
    <n v="1.5"/>
    <s v="Bags"/>
    <n v="0.28799999999999998"/>
    <x v="1"/>
    <s v="Yes"/>
    <s v="Yes"/>
    <s v="No"/>
    <s v="No"/>
    <n v="3"/>
    <n v="2"/>
    <s v="uuid:21758831-960a-404d-9176-1f34164314e3/secG-G2"/>
    <s v="uuid:21758831-960a-404d-9176-1f34164314e3/secG-G5"/>
    <n v="-4.2591938972473145"/>
    <n v="35.857143402099609"/>
    <n v="1322.0999755859375"/>
    <n v="5"/>
    <n v="1706031849"/>
    <s v="uuid:21758831-960a-404d-9176-1f34164314e3"/>
    <d v="2017-06-17T09:54:35"/>
    <d v="2017-06-07T15:48:01"/>
    <d v="2017-06-07T16:00:46"/>
    <d v="2017-02-07T00:00:00"/>
    <m/>
    <n v="6.8147763946519149"/>
    <n v="5.9906639004149378"/>
    <n v="3.3281466113416327"/>
    <n v="3.4359151682803142"/>
    <m/>
    <n v="1"/>
    <m/>
    <s v="Plains"/>
    <n v="4.6913475990300002"/>
    <s v="Gentle"/>
    <s v="Flat"/>
    <n v="0.36257606744799997"/>
    <n v="8.6527519226099994"/>
    <n v="336.15062674724533"/>
    <n v="250.34352018995361"/>
    <n v="1.083"/>
    <n v="1.4670000000000001"/>
    <n v="-0.38400000000000012"/>
    <n v="3.3820308898109737"/>
    <n v="6.4027201475334259"/>
    <n v="3.0206892577224522"/>
    <n v="337.91999999999996"/>
    <n v="196.416"/>
    <n v="0"/>
    <n v="534.33600000000001"/>
    <n v="63.699999999999996"/>
    <n v="470.63600000000002"/>
  </r>
  <r>
    <s v="Inot Songoyani"/>
    <n v="109"/>
    <s v="Amsi Gurtu Akonaay"/>
    <s v="Amsi Gurtu Akonaay"/>
    <e v="#N/A"/>
    <s v="Seloto"/>
    <n v="2"/>
    <s v="outfield"/>
    <s v="Feed livestock"/>
    <s v="OffField feed"/>
    <n v="0"/>
    <m/>
    <m/>
    <s v=""/>
    <m/>
    <n v="0"/>
    <s v=""/>
    <m/>
    <m/>
    <s v=""/>
    <m/>
    <s v=""/>
    <m/>
    <m/>
    <s v=""/>
    <x v="1"/>
    <s v=""/>
    <n v="0"/>
    <s v=""/>
    <m/>
    <s v=""/>
    <s v=""/>
    <s v="Yes"/>
    <s v="No"/>
    <s v=""/>
    <n v="0"/>
    <s v=""/>
    <m/>
    <m/>
    <s v=""/>
    <s v=""/>
    <n v="0"/>
    <n v="0"/>
    <s v="00"/>
    <x v="2"/>
    <n v="1"/>
    <s v="Yes"/>
    <n v="1"/>
    <s v="Yes"/>
    <n v="2"/>
    <n v="2"/>
    <s v="Yes"/>
    <s v="Rent"/>
    <n v="1"/>
    <n v="3"/>
    <n v="4"/>
    <s v="Yes"/>
    <s v="Yes"/>
    <s v="Yes"/>
    <s v="No"/>
    <s v="Yes"/>
    <s v="No"/>
    <n v="1"/>
    <s v="Zero grazing"/>
    <n v="2"/>
    <s v="Zero grazing"/>
    <n v="1"/>
    <s v="Zero grazing"/>
    <m/>
    <s v=""/>
    <n v="1"/>
    <s v="Zero grazing"/>
    <m/>
    <n v="1.51"/>
    <s v="very low"/>
    <n v="3"/>
    <n v="2"/>
    <n v="4"/>
    <n v="9"/>
    <n v="0"/>
    <n v="0"/>
    <n v="1"/>
    <m/>
    <n v="45.3"/>
    <s v="Medium"/>
    <n v="46.81"/>
    <s v="No"/>
    <s v=""/>
    <s v="Yes"/>
    <s v="Casual"/>
    <n v="0.25"/>
    <n v="1"/>
    <n v="0"/>
    <s v="Yes"/>
    <n v="0.5"/>
    <n v="4"/>
    <s v="Bags"/>
    <n v="1.92"/>
    <n v="1.25"/>
    <n v="4"/>
    <s v="Gorogoro"/>
    <n v="0.12825599999999998"/>
    <n v="1.25"/>
    <n v="1.75"/>
    <s v="Gorogoro"/>
    <n v="5.6111999999999995E-2"/>
    <x v="0"/>
    <s v="No"/>
    <s v="No"/>
    <s v="No"/>
    <s v="No"/>
    <n v="0"/>
    <n v="3"/>
    <s v="uuid:2ef605ea-7b87-4c5e-9f4d-9d88388fb133/secG-G2"/>
    <s v="uuid:2ef605ea-7b87-4c5e-9f4d-9d88388fb133/secG-G5"/>
    <n v="-4.2571825981140137"/>
    <n v="35.525119781494141"/>
    <n v="1629.5999755859375"/>
    <n v="5"/>
    <n v="1706031849"/>
    <s v="uuid:2ef605ea-7b87-4c5e-9f4d-9d88388fb133"/>
    <d v="2017-06-17T09:54:35"/>
    <d v="2017-06-15T10:35:31"/>
    <d v="2017-06-15T11:16:50"/>
    <d v="2017-01-09T00:00:00"/>
    <m/>
    <m/>
    <m/>
    <m/>
    <m/>
    <m/>
    <n v="1"/>
    <m/>
    <s v="Plains"/>
    <n v="1.52882194519"/>
    <s v="Very gentle"/>
    <s v="Upper slope"/>
    <n v="0.63450175523800001"/>
    <n v="8.1430721283"/>
    <m/>
    <m/>
    <m/>
    <m/>
    <m/>
    <m/>
    <m/>
    <m/>
    <n v="675.83999999999992"/>
    <n v="38.268383999999998"/>
    <n v="101.96351999999999"/>
    <n v="816.0719039999999"/>
    <n v="0"/>
    <n v="816.0719039999999"/>
  </r>
  <r>
    <s v="Inot Songoyani"/>
    <n v="196"/>
    <s v="Fabiano Mpunzi Lambo"/>
    <s v="Fabiano Mpunzi Lambo"/>
    <s v="ENDAGWE"/>
    <s v="Endagwe"/>
    <n v="0"/>
    <s v="Homefield"/>
    <s v="Feed livestock"/>
    <s v="OffField feed"/>
    <n v="0"/>
    <m/>
    <m/>
    <s v=""/>
    <m/>
    <n v="0"/>
    <s v=""/>
    <m/>
    <m/>
    <s v=""/>
    <m/>
    <s v=""/>
    <m/>
    <m/>
    <s v=""/>
    <x v="1"/>
    <s v=""/>
    <n v="0"/>
    <s v=""/>
    <m/>
    <s v=""/>
    <s v=""/>
    <s v="Yes"/>
    <s v="No"/>
    <s v=""/>
    <n v="0"/>
    <s v=""/>
    <m/>
    <m/>
    <s v=""/>
    <s v=""/>
    <n v="0"/>
    <n v="0"/>
    <s v="00"/>
    <x v="2"/>
    <n v="1"/>
    <s v="Yes"/>
    <n v="0.25"/>
    <s v="Yes"/>
    <n v="2"/>
    <n v="7.25"/>
    <s v="No"/>
    <s v=""/>
    <m/>
    <n v="7.5"/>
    <n v="7.5"/>
    <s v="Yes"/>
    <s v="Yes"/>
    <s v="Yes"/>
    <s v="No"/>
    <s v="Yes"/>
    <s v="No"/>
    <n v="1"/>
    <s v="Zero grazing"/>
    <n v="5"/>
    <s v="Both"/>
    <n v="10"/>
    <s v="Both"/>
    <m/>
    <s v=""/>
    <n v="1"/>
    <s v="Both"/>
    <m/>
    <n v="1.9000000000000001"/>
    <s v="Low"/>
    <n v="1"/>
    <n v="1"/>
    <n v="3"/>
    <n v="5"/>
    <n v="0"/>
    <n v="0"/>
    <n v="0"/>
    <s v=""/>
    <n v="112.5"/>
    <s v="High"/>
    <n v="114.4"/>
    <s v="No"/>
    <s v=""/>
    <s v="Yes"/>
    <s v="Casual"/>
    <n v="0.25"/>
    <n v="0"/>
    <n v="0"/>
    <s v="Yes"/>
    <n v="0.25"/>
    <n v="4"/>
    <s v="Bags"/>
    <n v="3.84"/>
    <m/>
    <n v="999"/>
    <s v="Bags"/>
    <m/>
    <n v="999"/>
    <n v="999"/>
    <s v="Bags"/>
    <m/>
    <x v="0"/>
    <s v="No"/>
    <s v="Yes"/>
    <s v="No"/>
    <s v="No"/>
    <n v="1"/>
    <n v="3"/>
    <s v="uuid:292adcde-0056-40a9-8306-6a5b61cd070a/secG-G2"/>
    <s v="uuid:292adcde-0056-40a9-8306-6a5b61cd070a/secG-G5"/>
    <n v="-4.3547811508178711"/>
    <n v="35.648090362548828"/>
    <n v="1588.5"/>
    <n v="5"/>
    <n v="1706031849"/>
    <s v="uuid:292adcde-0056-40a9-8306-6a5b61cd070a"/>
    <d v="2017-08-01T21:46:46"/>
    <d v="2017-07-18T10:25:45"/>
    <d v="2017-07-18T10:35:35"/>
    <d v="2017-02-04T00:00:00"/>
    <m/>
    <n v="1.955993265993266"/>
    <n v="2.7487878787878794"/>
    <n v="3.4294871794871797"/>
    <n v="0.83679487179487189"/>
    <m/>
    <n v="1"/>
    <m/>
    <s v="Midslope ridges"/>
    <n v="4.7364945411699999"/>
    <s v="Gentle"/>
    <s v="Ridge"/>
    <n v="1.26899504662"/>
    <n v="7.4302625656099996"/>
    <n v="39.794211970915427"/>
    <n v="43.624596715943625"/>
    <n v="0.71799999999999997"/>
    <n v="0.70299999999999996"/>
    <n v="1.5000000000000013E-2"/>
    <n v="2.1331410256410259"/>
    <n v="2.3523905723905729"/>
    <n v="0.219249546749547"/>
    <n v="1351.6799999999998"/>
    <n v="0"/>
    <n v="0"/>
    <n v="1351.6799999999998"/>
    <n v="0"/>
    <n v="1351.6799999999998"/>
  </r>
  <r>
    <s v="Inot Songoyani"/>
    <n v="174"/>
    <s v="Hassan Rashidi Gau"/>
    <s v="Hassan Rashidi Gau"/>
    <s v="DURU"/>
    <s v="Duru"/>
    <n v="0"/>
    <s v="Homefield"/>
    <s v="Feed livestock"/>
    <s v="OffField feed"/>
    <n v="0"/>
    <m/>
    <m/>
    <s v=""/>
    <m/>
    <n v="0"/>
    <s v=""/>
    <m/>
    <m/>
    <s v=""/>
    <m/>
    <s v=""/>
    <m/>
    <m/>
    <s v=""/>
    <x v="0"/>
    <s v="Own animals"/>
    <n v="0"/>
    <s v=""/>
    <m/>
    <s v=""/>
    <s v=""/>
    <s v="No"/>
    <s v="No"/>
    <s v=""/>
    <n v="0"/>
    <s v=""/>
    <m/>
    <m/>
    <s v=""/>
    <s v=""/>
    <n v="0"/>
    <n v="0"/>
    <s v="00"/>
    <x v="2"/>
    <n v="1"/>
    <s v="Yes"/>
    <n v="2.5"/>
    <s v="Yes"/>
    <n v="1"/>
    <n v="2.5"/>
    <s v="No"/>
    <s v=""/>
    <m/>
    <n v="5"/>
    <n v="5"/>
    <s v="Yes"/>
    <s v="No"/>
    <s v="No"/>
    <s v="No"/>
    <s v="No"/>
    <s v="No"/>
    <n v="2"/>
    <s v="Zero grazing"/>
    <m/>
    <s v=""/>
    <m/>
    <s v=""/>
    <m/>
    <s v=""/>
    <m/>
    <s v=""/>
    <m/>
    <n v="2"/>
    <s v="Low"/>
    <n v="1"/>
    <n v="1"/>
    <n v="2"/>
    <n v="4"/>
    <n v="0"/>
    <n v="0"/>
    <n v="0"/>
    <s v=""/>
    <n v="75"/>
    <s v="High"/>
    <n v="77"/>
    <s v="No"/>
    <s v=""/>
    <s v="No"/>
    <s v=""/>
    <n v="0.25"/>
    <n v="2"/>
    <m/>
    <s v="Yes"/>
    <n v="2.25"/>
    <n v="17"/>
    <s v="Bags"/>
    <n v="1.8133333333333335"/>
    <m/>
    <n v="999"/>
    <s v="Bags"/>
    <m/>
    <n v="2.25"/>
    <n v="4"/>
    <s v="Bags"/>
    <n v="0.42666666666666664"/>
    <x v="1"/>
    <s v="Yes"/>
    <s v="Yes"/>
    <s v="Yes"/>
    <s v="Yes"/>
    <n v="5"/>
    <n v="4"/>
    <s v="uuid:bbc6e859-333d-42ca-b499-4a83cc816618/secG-G2"/>
    <s v="uuid:bbc6e859-333d-42ca-b499-4a83cc816618/secG-G5"/>
    <n v="-4.3184409141540527"/>
    <n v="35.595367431640625"/>
    <n v="1528.4000244140625"/>
    <n v="5"/>
    <n v="1706031849"/>
    <s v="uuid:bbc6e859-333d-42ca-b499-4a83cc816618"/>
    <d v="2017-07-05T10:23:09"/>
    <d v="2017-07-04T13:55:50"/>
    <d v="2017-07-04T14:12:14"/>
    <d v="2017-02-04T00:00:00"/>
    <m/>
    <n v="5.7480888888888879"/>
    <n v="6.6156000000000006"/>
    <n v="3.7018222222222219"/>
    <n v="4.2647111111111116"/>
    <m/>
    <n v="1"/>
    <m/>
    <s v="Plains"/>
    <n v="2.1943719387099998"/>
    <s v="Gentle"/>
    <s v="Toeslope"/>
    <n v="-0.54384291171999999"/>
    <n v="10.636289596599999"/>
    <n v="1.8910316778667779"/>
    <m/>
    <n v="0.622"/>
    <m/>
    <m/>
    <n v="3.9832666666666667"/>
    <n v="6.1818444444444438"/>
    <n v="2.1985777777777771"/>
    <n v="638.29333333333341"/>
    <n v="290.98666666666662"/>
    <n v="0"/>
    <n v="929.28"/>
    <n v="63.699999999999996"/>
    <n v="865.57999999999993"/>
  </r>
  <r>
    <s v="Inot Sogoyani"/>
    <n v="164"/>
    <s v="Abdilah Abdala Yusufu"/>
    <s v="Abdilah Abdala Yusufu"/>
    <s v="DURU"/>
    <s v="Duru"/>
    <n v="0"/>
    <s v="Homefield"/>
    <s v="Feed livestock"/>
    <s v="OffField feed"/>
    <n v="0"/>
    <m/>
    <m/>
    <s v=""/>
    <m/>
    <n v="0"/>
    <s v=""/>
    <m/>
    <m/>
    <s v=""/>
    <m/>
    <s v=""/>
    <m/>
    <m/>
    <s v=""/>
    <x v="0"/>
    <s v="Own animals"/>
    <n v="0"/>
    <s v=""/>
    <m/>
    <s v=""/>
    <s v=""/>
    <s v="Yes"/>
    <s v="No"/>
    <s v=""/>
    <n v="0"/>
    <s v=""/>
    <m/>
    <m/>
    <s v=""/>
    <s v=""/>
    <n v="0"/>
    <n v="0"/>
    <s v="00"/>
    <x v="2"/>
    <n v="1"/>
    <s v="Yes"/>
    <n v="0.25"/>
    <s v="Yes"/>
    <n v="1"/>
    <n v="0.75"/>
    <s v="Yes"/>
    <s v="Family"/>
    <n v="0.5"/>
    <n v="1"/>
    <n v="1.5"/>
    <s v="Yes"/>
    <s v="No"/>
    <s v="Yes"/>
    <s v="No"/>
    <s v="No"/>
    <s v="No"/>
    <n v="2"/>
    <s v="Zero grazing"/>
    <m/>
    <s v=""/>
    <n v="7"/>
    <s v="Free range"/>
    <m/>
    <s v=""/>
    <m/>
    <s v=""/>
    <m/>
    <n v="2.0699999999999998"/>
    <s v="Low"/>
    <n v="2"/>
    <n v="1"/>
    <n v="5"/>
    <n v="8"/>
    <n v="0"/>
    <n v="0"/>
    <n v="0"/>
    <s v=""/>
    <n v="15"/>
    <s v="Low"/>
    <n v="17.07"/>
    <s v="No"/>
    <s v=""/>
    <s v="No"/>
    <s v=""/>
    <n v="0.25"/>
    <n v="0.25"/>
    <m/>
    <s v="Yes"/>
    <n v="0.5"/>
    <n v="1"/>
    <s v="Bags"/>
    <n v="0.48"/>
    <m/>
    <n v="999"/>
    <s v="Bags"/>
    <m/>
    <n v="0.25"/>
    <n v="0"/>
    <s v="Bags"/>
    <n v="0"/>
    <x v="1"/>
    <s v="No"/>
    <s v="No"/>
    <s v="No"/>
    <s v="No"/>
    <n v="1"/>
    <n v="2"/>
    <s v="uuid:b532852e-3e1b-42ea-9eb3-c9b83b4dae69/secG-G2"/>
    <s v="uuid:b532852e-3e1b-42ea-9eb3-c9b83b4dae69/secG-G5"/>
    <n v="-4.3194785118103027"/>
    <n v="35.6044921875"/>
    <n v="1588.4000244140625"/>
    <n v="5"/>
    <n v="1706031849"/>
    <s v="uuid:b532852e-3e1b-42ea-9eb3-c9b83b4dae69"/>
    <d v="2017-07-05T10:22:52"/>
    <d v="2017-07-03T12:20:56"/>
    <d v="2017-07-03T12:47:33"/>
    <d v="2017-01-29T00:00:00"/>
    <m/>
    <n v="5.2553019824804066"/>
    <n v="6.8591516828031365"/>
    <n v="3.4929691101890277"/>
    <n v="2.3709082526509917"/>
    <m/>
    <n v="1"/>
    <m/>
    <s v="Open slopes"/>
    <n v="12.976887702899999"/>
    <s v="Strong"/>
    <s v="Midslope"/>
    <n v="-0.27191722393000001"/>
    <n v="7.2643718719499999"/>
    <n v="413.14252088335769"/>
    <m/>
    <n v="1.516"/>
    <m/>
    <m/>
    <n v="2.9319386814200099"/>
    <n v="6.0572268326417715"/>
    <n v="3.1252881512217616"/>
    <n v="168.95999999999998"/>
    <n v="0"/>
    <n v="0"/>
    <n v="168.95999999999998"/>
    <n v="63.699999999999996"/>
    <n v="105.25999999999999"/>
  </r>
  <r>
    <s v="Inot Songoyani"/>
    <n v="165"/>
    <s v="Fatuma Ally Saidi"/>
    <s v="Fatuma Ally Saidi"/>
    <s v="DURU"/>
    <s v="Duru"/>
    <n v="0"/>
    <s v="Homefield"/>
    <s v="Feed livestock"/>
    <s v="OffField feed"/>
    <n v="0"/>
    <m/>
    <m/>
    <s v=""/>
    <m/>
    <n v="0"/>
    <s v=""/>
    <m/>
    <m/>
    <s v=""/>
    <m/>
    <s v=""/>
    <m/>
    <m/>
    <s v=""/>
    <x v="0"/>
    <s v="Own animals"/>
    <n v="0"/>
    <s v=""/>
    <m/>
    <s v=""/>
    <s v=""/>
    <s v="No"/>
    <s v="No"/>
    <s v=""/>
    <n v="0"/>
    <s v=""/>
    <m/>
    <m/>
    <s v=""/>
    <s v=""/>
    <n v="0"/>
    <n v="0"/>
    <s v="00"/>
    <x v="2"/>
    <n v="1"/>
    <s v="Yes"/>
    <n v="0.25"/>
    <s v="Yes"/>
    <n v="2"/>
    <n v="1.5"/>
    <s v="No"/>
    <s v=""/>
    <m/>
    <n v="1.75"/>
    <n v="1.75"/>
    <s v="Yes"/>
    <s v="No"/>
    <s v="Yes"/>
    <s v="No"/>
    <s v="No"/>
    <s v="No"/>
    <n v="2"/>
    <s v="Zero grazing"/>
    <m/>
    <s v=""/>
    <n v="8"/>
    <s v="Free range"/>
    <m/>
    <s v=""/>
    <m/>
    <s v=""/>
    <m/>
    <n v="2.08"/>
    <s v="Low"/>
    <n v="2"/>
    <n v="1"/>
    <n v="5"/>
    <n v="8"/>
    <n v="0"/>
    <n v="0"/>
    <n v="0"/>
    <s v=""/>
    <n v="26.25"/>
    <s v="Medium"/>
    <n v="28.33"/>
    <s v="No"/>
    <s v=""/>
    <s v="No"/>
    <s v=""/>
    <n v="0.25"/>
    <m/>
    <m/>
    <s v="Yes"/>
    <n v="0.25"/>
    <n v="4.5"/>
    <s v="Bags"/>
    <n v="4.32"/>
    <m/>
    <n v="999"/>
    <s v="Bags"/>
    <m/>
    <n v="0.25"/>
    <n v="1.5"/>
    <s v="Bags"/>
    <n v="1.44"/>
    <x v="1"/>
    <s v="No"/>
    <s v="No"/>
    <s v="No"/>
    <s v="No"/>
    <n v="1"/>
    <n v="2"/>
    <s v="uuid:bdec20fb-6b6c-436c-a005-c3718bb86852/secG-G2"/>
    <s v="uuid:bdec20fb-6b6c-436c-a005-c3718bb86852/secG-G5"/>
    <n v="-4.3192477226257324"/>
    <n v="35.6043701171875"/>
    <n v="1589.9000244140625"/>
    <n v="5"/>
    <n v="1706031849"/>
    <s v="uuid:bdec20fb-6b6c-436c-a005-c3718bb86852"/>
    <d v="2017-07-05T10:22:54"/>
    <d v="2017-07-03T12:48:26"/>
    <d v="2017-07-03T12:58:27"/>
    <d v="2017-01-28T00:00:00"/>
    <m/>
    <n v="3.6759259259259265"/>
    <n v="2.8567195767195774"/>
    <n v="3.2243121693121695"/>
    <n v="3.187552910052911"/>
    <m/>
    <n v="1"/>
    <m/>
    <s v="Midslope drainages"/>
    <n v="12.7252845764"/>
    <s v="Strong"/>
    <s v="Valley"/>
    <n v="-1.35961997509"/>
    <n v="7.5343203544600001"/>
    <n v="252.91336196692504"/>
    <n v="569.19178869762266"/>
    <n v="0.82199999999999995"/>
    <n v="1.7809999999999999"/>
    <n v="-0.95899999999999996"/>
    <n v="3.2059325396825402"/>
    <n v="3.2663227513227522"/>
    <n v="6.0390211640211966E-2"/>
    <n v="1520.64"/>
    <n v="982.07999999999993"/>
    <n v="0"/>
    <n v="2502.7200000000003"/>
    <n v="63.699999999999996"/>
    <n v="2439.0200000000004"/>
  </r>
  <r>
    <s v="Inot Songoyani"/>
    <n v="4"/>
    <s v="Asia Saidi Hamisi"/>
    <s v=""/>
    <e v="#N/A"/>
    <s v="Orngadida"/>
    <n v="1"/>
    <s v="outfield"/>
    <s v="Feed livestock"/>
    <s v="OffField feed"/>
    <n v="0"/>
    <m/>
    <m/>
    <s v=""/>
    <m/>
    <n v="0"/>
    <s v=""/>
    <m/>
    <s v="Variable"/>
    <s v="Other fields in my home village"/>
    <m/>
    <s v="Other, Specify"/>
    <n v="999"/>
    <m/>
    <s v=""/>
    <x v="0"/>
    <s v="Own animals"/>
    <n v="0"/>
    <s v=""/>
    <m/>
    <s v=""/>
    <s v=""/>
    <s v="Yes"/>
    <s v="No"/>
    <s v=""/>
    <n v="0"/>
    <s v=""/>
    <m/>
    <m/>
    <s v=""/>
    <s v=""/>
    <n v="0"/>
    <n v="0"/>
    <s v="00"/>
    <x v="2"/>
    <n v="1"/>
    <s v="Yes"/>
    <n v="0.5"/>
    <s v="Yes"/>
    <n v="2"/>
    <n v="5.5"/>
    <s v="Yes"/>
    <s v="Rent"/>
    <n v="1"/>
    <n v="6"/>
    <n v="7"/>
    <s v="Yes"/>
    <s v="No"/>
    <s v="Yes"/>
    <s v="No"/>
    <s v="No"/>
    <s v="No"/>
    <n v="2"/>
    <s v="Zero grazing"/>
    <m/>
    <s v=""/>
    <n v="15"/>
    <s v="Both"/>
    <m/>
    <s v=""/>
    <m/>
    <s v=""/>
    <m/>
    <n v="2.15"/>
    <s v="Low"/>
    <n v="3"/>
    <n v="4"/>
    <n v="1"/>
    <n v="8"/>
    <n v="0"/>
    <n v="0"/>
    <n v="1"/>
    <s v=""/>
    <n v="90.3"/>
    <s v="High"/>
    <n v="92.45"/>
    <s v="Yes"/>
    <s v="Karate"/>
    <s v="Yes"/>
    <s v="Casual"/>
    <n v="0.25"/>
    <m/>
    <n v="0.75"/>
    <s v="Yes"/>
    <n v="1"/>
    <n v="15"/>
    <s v="Bags"/>
    <n v="3.5999999999999996"/>
    <m/>
    <n v="999"/>
    <s v="Bags"/>
    <m/>
    <n v="1"/>
    <n v="5"/>
    <s v="Bags"/>
    <n v="1.2"/>
    <x v="0"/>
    <s v="Yes"/>
    <s v="No"/>
    <s v="No"/>
    <s v="No"/>
    <n v="1"/>
    <n v="3"/>
    <s v="uuid:0bb792e5-f637-4627-8840-3708f2989049/secG-G2"/>
    <s v="uuid:0bb792e5-f637-4627-8840-3708f2989049/secG-G5"/>
    <n v="-4.3023514747619629"/>
    <n v="35.852252960205078"/>
    <n v="1259.4000244140625"/>
    <n v="5"/>
    <n v="1705231439"/>
    <s v="uuid:0bb792e5-f637-4627-8840-3708f2989049"/>
    <d v="2017-06-07T14:17:07"/>
    <d v="2017-06-06T11:34:24"/>
    <d v="2017-06-06T12:23:10"/>
    <d v="2017-02-08T00:00:00"/>
    <m/>
    <m/>
    <m/>
    <m/>
    <m/>
    <m/>
    <n v="1"/>
    <m/>
    <s v="Plains"/>
    <n v="0.55693554878200002"/>
    <s v="Very gentle"/>
    <s v="Upper slope"/>
    <n v="0.815785527229"/>
    <n v="8.9477910995500007"/>
    <m/>
    <m/>
    <m/>
    <m/>
    <m/>
    <m/>
    <m/>
    <m/>
    <n v="1267.1999999999998"/>
    <n v="818.4"/>
    <n v="0"/>
    <n v="2085.6"/>
    <n v="63.699999999999996"/>
    <n v="2021.8999999999999"/>
  </r>
  <r>
    <s v="Inot Songoyani"/>
    <n v="205"/>
    <s v="Abdi Antony Silayo"/>
    <s v="Abdi Antony Silayo"/>
    <s v="TSAMASI"/>
    <s v="Samatsi"/>
    <n v="0"/>
    <s v="Homefield"/>
    <s v="Feed livestock"/>
    <s v="OffField feed"/>
    <n v="0"/>
    <m/>
    <m/>
    <s v=""/>
    <m/>
    <n v="0"/>
    <s v=""/>
    <m/>
    <m/>
    <s v=""/>
    <m/>
    <s v=""/>
    <m/>
    <m/>
    <s v=""/>
    <x v="1"/>
    <s v=""/>
    <n v="0"/>
    <s v=""/>
    <m/>
    <s v=""/>
    <s v=""/>
    <s v="No"/>
    <s v="No"/>
    <s v=""/>
    <n v="0"/>
    <s v=""/>
    <m/>
    <m/>
    <s v=""/>
    <s v=""/>
    <n v="0"/>
    <n v="0"/>
    <s v="00"/>
    <x v="2"/>
    <n v="1"/>
    <s v="Yes"/>
    <n v="0.75"/>
    <s v="Yes"/>
    <n v="2"/>
    <n v="3.75"/>
    <s v="Yes"/>
    <s v="Rent"/>
    <n v="1"/>
    <n v="4.5"/>
    <n v="5.5"/>
    <s v="Yes"/>
    <s v="No"/>
    <s v="Yes"/>
    <s v="No"/>
    <s v="No"/>
    <s v="No"/>
    <n v="2"/>
    <s v="Both"/>
    <m/>
    <s v=""/>
    <n v="18"/>
    <s v="Both"/>
    <m/>
    <s v=""/>
    <m/>
    <s v=""/>
    <m/>
    <n v="2.1800000000000002"/>
    <s v="Low"/>
    <n v="2"/>
    <n v="2"/>
    <n v="7"/>
    <n v="11"/>
    <n v="0"/>
    <n v="8"/>
    <n v="0"/>
    <s v=""/>
    <n v="73.900000000000006"/>
    <s v="High"/>
    <n v="76.08"/>
    <s v="No"/>
    <s v=""/>
    <s v="Yes"/>
    <s v="Casual"/>
    <n v="0.25"/>
    <n v="0.75"/>
    <m/>
    <s v="No"/>
    <n v="1"/>
    <n v="4"/>
    <s v="Gorogoro"/>
    <n v="0.16031999999999999"/>
    <m/>
    <n v="999"/>
    <s v="Gorogoro"/>
    <m/>
    <n v="1"/>
    <n v="1"/>
    <s v="Bags"/>
    <n v="0.24"/>
    <x v="0"/>
    <s v="No"/>
    <s v="No"/>
    <s v="No"/>
    <s v="No"/>
    <n v="0"/>
    <n v="2"/>
    <s v="uuid:75cbb65a-4079-47cf-b5d8-e5e5abaf3c85/secG-G2"/>
    <s v="uuid:75cbb65a-4079-47cf-b5d8-e5e5abaf3c85/secG-G5"/>
    <n v="-4.294527530670166"/>
    <n v="35.81781005859375"/>
    <n v="1336.5999755859375"/>
    <n v="5"/>
    <n v="1706031849"/>
    <s v="uuid:75cbb65a-4079-47cf-b5d8-e5e5abaf3c85"/>
    <d v="2017-08-01T21:48:20"/>
    <d v="2017-07-22T14:24:36"/>
    <d v="2017-07-22T14:50:53"/>
    <d v="2017-02-27T00:00:00"/>
    <m/>
    <n v="2.1895026455026456"/>
    <n v="1.6842328042328039"/>
    <n v="1.2888383838383837"/>
    <n v="2.7530808080808078"/>
    <m/>
    <s v="FALSEE"/>
    <m/>
    <s v="Valleys"/>
    <n v="4.0362029075599999"/>
    <s v="Gentle"/>
    <s v="Flat"/>
    <n v="-0.18127532303300001"/>
    <n v="10.2631206512"/>
    <n v="425.82156364242962"/>
    <n v="392.50495444426986"/>
    <n v="1.2529999999999999"/>
    <n v="1.7470000000000001"/>
    <n v="-0.49400000000000022"/>
    <n v="2.0209595959595958"/>
    <n v="1.9368677248677248"/>
    <n v="-8.4091871091870996E-2"/>
    <n v="56.432639999999999"/>
    <n v="163.68"/>
    <n v="0"/>
    <n v="220.11264"/>
    <n v="0"/>
    <n v="220.11264"/>
  </r>
  <r>
    <s v="Evaline K Kaaya"/>
    <n v="242"/>
    <s v="Adinani Amsi Sidame"/>
    <s v="Adinam Amsi Sidame"/>
    <s v="ENDANOGA"/>
    <s v="Endanoga"/>
    <n v="0"/>
    <s v="Homefield"/>
    <s v="Feed livestock"/>
    <s v="OffField feed"/>
    <n v="0"/>
    <m/>
    <m/>
    <s v=""/>
    <m/>
    <n v="0"/>
    <s v=""/>
    <m/>
    <m/>
    <s v=""/>
    <m/>
    <s v=""/>
    <m/>
    <m/>
    <s v=""/>
    <x v="0"/>
    <s v="Own animals"/>
    <n v="0"/>
    <s v=""/>
    <m/>
    <s v=""/>
    <s v=""/>
    <s v="Yes"/>
    <s v="No"/>
    <s v=""/>
    <n v="0"/>
    <s v=""/>
    <m/>
    <m/>
    <s v=""/>
    <s v=""/>
    <n v="0"/>
    <n v="0"/>
    <s v="00"/>
    <x v="2"/>
    <n v="1"/>
    <s v="Yes"/>
    <n v="1"/>
    <s v="Yes"/>
    <n v="1"/>
    <n v="1"/>
    <s v="No"/>
    <s v=""/>
    <m/>
    <n v="2"/>
    <n v="2"/>
    <s v="Yes"/>
    <s v="No"/>
    <s v="Yes"/>
    <s v="Yes"/>
    <s v="No"/>
    <s v="No"/>
    <n v="2"/>
    <s v="Zero grazing"/>
    <m/>
    <s v=""/>
    <n v="10"/>
    <s v="Zero grazing"/>
    <n v="1"/>
    <s v="Zero grazing"/>
    <m/>
    <s v=""/>
    <m/>
    <n v="2.2000000000000002"/>
    <s v="Low"/>
    <n v="1"/>
    <n v="1"/>
    <n v="2"/>
    <n v="4"/>
    <n v="0"/>
    <n v="0"/>
    <n v="0"/>
    <s v=""/>
    <n v="30"/>
    <s v="Medium"/>
    <n v="32.200000000000003"/>
    <s v="Yes"/>
    <s v="Karate"/>
    <s v="Yes"/>
    <s v="Casual"/>
    <n v="0.25"/>
    <n v="0"/>
    <n v="1"/>
    <s v="Yes"/>
    <n v="0.25"/>
    <n v="2"/>
    <s v="Bags"/>
    <n v="1.92"/>
    <n v="0.25"/>
    <n v="1"/>
    <s v="Bags"/>
    <n v="0.96"/>
    <n v="0"/>
    <n v="0"/>
    <s v="Bags"/>
    <m/>
    <x v="1"/>
    <s v="Yes"/>
    <s v="Yes"/>
    <s v="Yes"/>
    <s v="Yes"/>
    <n v="5"/>
    <n v="2"/>
    <s v="uuid:d440ea63-461d-4b1a-a7f6-3aff8955d2be/secG-G2"/>
    <s v="uuid:d440ea63-461d-4b1a-a7f6-3aff8955d2be/secG-G5"/>
    <n v="-4.2665257453918457"/>
    <n v="35.845909118652344"/>
    <n v="1390.699951171875"/>
    <n v="5"/>
    <n v="1706031849"/>
    <s v="uuid:d440ea63-461d-4b1a-a7f6-3aff8955d2be"/>
    <d v="2017-08-31T14:11:24"/>
    <d v="2017-06-09T10:50:36"/>
    <d v="2017-08-31T14:06:50"/>
    <d v="2017-02-14T00:00:00"/>
    <m/>
    <n v="6.9186936936936947"/>
    <n v="5.0152702702702703"/>
    <n v="4.3767041198501868"/>
    <n v="4.3828339575530588"/>
    <m/>
    <n v="1"/>
    <m/>
    <s v="Plains"/>
    <n v="3.4926533699000002"/>
    <s v="Gentle"/>
    <s v="Flat"/>
    <n v="0.27193418145199999"/>
    <n v="11.186497688299999"/>
    <n v="331.21282947155476"/>
    <n v="260.103609241181"/>
    <n v="1.452"/>
    <n v="1.5880000000000001"/>
    <n v="-0.13600000000000012"/>
    <n v="4.3797690387016228"/>
    <n v="5.9669819819819825"/>
    <n v="1.5872129432803597"/>
    <n v="675.83999999999992"/>
    <n v="0"/>
    <n v="763.19999999999993"/>
    <n v="1439.04"/>
    <n v="63.699999999999996"/>
    <n v="1375.34"/>
  </r>
  <r>
    <s v="Micheal"/>
    <n v="41"/>
    <s v="Rozi Joni Hera"/>
    <s v="Rozi Joni Hera"/>
    <s v="Sangara"/>
    <s v="Samatsi"/>
    <n v="0"/>
    <s v="Homefield"/>
    <s v="Both"/>
    <s v="Bury"/>
    <n v="0"/>
    <m/>
    <m/>
    <s v=""/>
    <m/>
    <n v="0"/>
    <s v=""/>
    <m/>
    <s v="Variable"/>
    <s v="Other fields in my home village"/>
    <m/>
    <s v="This field"/>
    <m/>
    <m/>
    <s v=""/>
    <x v="0"/>
    <s v="Own animals"/>
    <n v="0"/>
    <s v=""/>
    <m/>
    <s v=""/>
    <s v=""/>
    <s v="Yes"/>
    <s v="No"/>
    <m/>
    <n v="0"/>
    <s v=""/>
    <m/>
    <m/>
    <s v=""/>
    <s v=""/>
    <n v="0"/>
    <n v="0"/>
    <s v="00"/>
    <x v="2"/>
    <n v="1"/>
    <s v="Yes"/>
    <n v="3"/>
    <s v="No"/>
    <m/>
    <m/>
    <s v="No"/>
    <s v=""/>
    <m/>
    <n v="3"/>
    <n v="3"/>
    <s v="Yes"/>
    <s v="Yes"/>
    <s v="No"/>
    <s v="No"/>
    <s v="No"/>
    <s v="No"/>
    <n v="2"/>
    <s v="Free range"/>
    <n v="2"/>
    <s v="Free range"/>
    <m/>
    <s v=""/>
    <m/>
    <s v=""/>
    <m/>
    <s v=""/>
    <m/>
    <n v="2.2000000000000002"/>
    <s v="Low"/>
    <n v="3"/>
    <n v="1"/>
    <n v="3"/>
    <n v="7"/>
    <n v="0"/>
    <n v="0"/>
    <n v="0"/>
    <m/>
    <n v="45"/>
    <s v="Medium"/>
    <n v="47.2"/>
    <s v="Yes"/>
    <s v="Carte"/>
    <s v="Yes"/>
    <s v="Animal draught"/>
    <n v="0.25"/>
    <n v="0.75"/>
    <n v="0"/>
    <s v="Yes"/>
    <n v="1"/>
    <n v="4"/>
    <s v="Bags"/>
    <n v="0.96"/>
    <m/>
    <n v="999"/>
    <s v="Bags"/>
    <m/>
    <n v="1"/>
    <n v="1.3300000429153442"/>
    <s v="Bags"/>
    <n v="0.31920001029968259"/>
    <x v="1"/>
    <s v="Yes"/>
    <s v="Yes"/>
    <s v="Yes"/>
    <s v="Yes"/>
    <n v="5"/>
    <n v="3"/>
    <s v="uuid:1a391e4c-6a41-449a-8a40-c3d746322933/secG-G2"/>
    <s v="uuid:1a391e4c-6a41-449a-8a40-c3d746322933/secG-G5"/>
    <n v="-4.2742643356323242"/>
    <n v="35.624156951904297"/>
    <n v="1451.4000244140625"/>
    <n v="10"/>
    <n v="1705231439"/>
    <s v="uuid:1a391e4c-6a41-449a-8a40-c3d746322933"/>
    <d v="2017-06-22T07:01:28"/>
    <d v="2017-06-13T17:09:39"/>
    <d v="2017-06-22T06:57:35"/>
    <d v="2017-01-03T00:00:00"/>
    <m/>
    <m/>
    <m/>
    <m/>
    <m/>
    <m/>
    <n v="1"/>
    <m/>
    <s v="High ridges"/>
    <n v="17.2106723785"/>
    <s v="Steep"/>
    <s v="Ridge"/>
    <n v="1.1783530712100001"/>
    <n v="6.3579244613599997"/>
    <m/>
    <m/>
    <m/>
    <m/>
    <m/>
    <m/>
    <m/>
    <m/>
    <n v="337.91999999999996"/>
    <n v="217.69440702438354"/>
    <n v="0"/>
    <n v="555.61440702438347"/>
    <n v="63.699999999999996"/>
    <n v="491.91440702438348"/>
  </r>
  <r>
    <s v="Inot Songoyani"/>
    <n v="236"/>
    <s v="Stephano  Chapa Siasi"/>
    <s v="Stephano Chapa Siasi"/>
    <s v="ENDAGWE"/>
    <s v="Endagwe"/>
    <n v="0"/>
    <s v="Homefield"/>
    <s v="Feed livestock"/>
    <s v="OffField feed"/>
    <n v="0"/>
    <m/>
    <m/>
    <s v=""/>
    <m/>
    <n v="0"/>
    <s v=""/>
    <m/>
    <m/>
    <s v=""/>
    <m/>
    <s v=""/>
    <m/>
    <m/>
    <s v=""/>
    <x v="1"/>
    <s v=""/>
    <n v="0"/>
    <s v=""/>
    <m/>
    <s v=""/>
    <s v=""/>
    <s v="No"/>
    <s v="No"/>
    <s v=""/>
    <n v="0"/>
    <s v=""/>
    <m/>
    <m/>
    <s v=""/>
    <s v=""/>
    <n v="0"/>
    <n v="0"/>
    <s v="00"/>
    <x v="2"/>
    <n v="1"/>
    <s v="Yes"/>
    <n v="0.25"/>
    <s v="Yes"/>
    <n v="1"/>
    <n v="3"/>
    <s v="No"/>
    <s v=""/>
    <m/>
    <n v="3.25"/>
    <n v="3.25"/>
    <s v="Yes"/>
    <s v="Yes"/>
    <s v="No"/>
    <s v="No"/>
    <s v="No"/>
    <s v="No"/>
    <n v="2"/>
    <s v="Both"/>
    <n v="6"/>
    <s v="Both"/>
    <m/>
    <s v=""/>
    <m/>
    <s v=""/>
    <m/>
    <s v=""/>
    <m/>
    <n v="2.6"/>
    <s v="Low"/>
    <n v="1"/>
    <n v="2"/>
    <n v="2"/>
    <n v="5"/>
    <n v="0"/>
    <n v="0"/>
    <n v="0"/>
    <s v=""/>
    <n v="48.75"/>
    <s v="Medium"/>
    <n v="51.35"/>
    <s v="No"/>
    <s v=""/>
    <s v="No"/>
    <s v=""/>
    <n v="0.25"/>
    <m/>
    <m/>
    <s v="Yes"/>
    <n v="0.25"/>
    <n v="2"/>
    <s v="Bags"/>
    <n v="1.92"/>
    <m/>
    <n v="999"/>
    <s v="Bags"/>
    <m/>
    <n v="0.25"/>
    <n v="2"/>
    <s v="Gorogoro"/>
    <n v="0.32063999999999998"/>
    <x v="0"/>
    <s v="No"/>
    <s v="No"/>
    <s v="No"/>
    <s v="No"/>
    <n v="0"/>
    <n v="2"/>
    <s v="uuid:b8327415-59a2-4860-8930-7cc5a4882425/secG-G2"/>
    <s v="uuid:b8327415-59a2-4860-8930-7cc5a4882425/secG-G5"/>
    <n v="-4.37982177734375"/>
    <n v="35.647148132324219"/>
    <n v="1693.699951171875"/>
    <n v="5"/>
    <n v="1706031849"/>
    <s v="uuid:b8327415-59a2-4860-8930-7cc5a4882425"/>
    <d v="2017-08-04T03:01:20"/>
    <d v="2017-07-19T11:27:11"/>
    <d v="2017-08-04T00:37:24"/>
    <d v="2017-01-29T00:00:00"/>
    <m/>
    <n v="1.4205050505050507"/>
    <n v="1.603636363636364"/>
    <n v="1.825364583333333"/>
    <n v="1.7470486111111108"/>
    <m/>
    <s v="FALSEE"/>
    <m/>
    <s v="Upper slopes"/>
    <n v="7.8896226882900002"/>
    <s v="Moderate"/>
    <s v="Midslope"/>
    <n v="0.45321798324599999"/>
    <n v="6.9400124549899997"/>
    <n v="387.76831489195655"/>
    <n v="201.27456078648834"/>
    <n v="1.1619999999999999"/>
    <n v="0.74"/>
    <n v="0.42199999999999993"/>
    <n v="1.7862065972222219"/>
    <n v="1.5120707070707073"/>
    <n v="-0.27413589015151452"/>
    <n v="675.83999999999992"/>
    <n v="218.67648"/>
    <n v="0"/>
    <n v="894.51647999999989"/>
    <n v="0"/>
    <n v="894.51647999999989"/>
  </r>
  <r>
    <s v="Inot Songoyani"/>
    <n v="202"/>
    <s v="Julias Tabau Mollel"/>
    <s v="Julias Saitabau Mollel"/>
    <s v="TSAMASI"/>
    <s v="Samatsi"/>
    <n v="0"/>
    <s v="Homefield"/>
    <s v="Feed livestock"/>
    <s v="OffField feed"/>
    <n v="0"/>
    <m/>
    <m/>
    <s v=""/>
    <m/>
    <n v="0"/>
    <s v=""/>
    <m/>
    <m/>
    <s v=""/>
    <m/>
    <s v=""/>
    <m/>
    <m/>
    <s v=""/>
    <x v="0"/>
    <s v="Own animals"/>
    <n v="0"/>
    <s v=""/>
    <m/>
    <s v=""/>
    <s v=""/>
    <s v="Yes"/>
    <s v="No"/>
    <s v=""/>
    <n v="0"/>
    <s v=""/>
    <m/>
    <m/>
    <s v=""/>
    <s v=""/>
    <n v="0"/>
    <n v="0"/>
    <s v="00"/>
    <x v="2"/>
    <n v="1"/>
    <s v="Yes"/>
    <n v="0.25"/>
    <s v="Yes"/>
    <n v="4"/>
    <n v="6"/>
    <s v="Yes"/>
    <s v="Rent"/>
    <n v="3"/>
    <n v="6.25"/>
    <n v="9.25"/>
    <s v="Yes"/>
    <s v="Yes"/>
    <s v="Yes"/>
    <s v="No"/>
    <s v="No"/>
    <s v="No"/>
    <n v="2"/>
    <s v="Both"/>
    <n v="6"/>
    <s v="Both"/>
    <n v="15"/>
    <s v="Both"/>
    <m/>
    <s v=""/>
    <m/>
    <s v=""/>
    <m/>
    <n v="2.75"/>
    <s v="Low"/>
    <n v="1"/>
    <n v="2"/>
    <n v="6"/>
    <n v="9"/>
    <n v="0"/>
    <n v="0"/>
    <n v="0"/>
    <s v=""/>
    <n v="93.75"/>
    <s v="High"/>
    <n v="96.5"/>
    <s v="No"/>
    <s v=""/>
    <s v="No"/>
    <s v=""/>
    <n v="0.25"/>
    <n v="1"/>
    <m/>
    <s v="No"/>
    <n v="1.25"/>
    <n v="5"/>
    <s v="Gorogoro"/>
    <n v="0.16031999999999999"/>
    <m/>
    <n v="999"/>
    <s v="Gorogoro"/>
    <m/>
    <n v="1.25"/>
    <n v="1.5"/>
    <s v="Bags"/>
    <n v="0.28799999999999998"/>
    <x v="1"/>
    <s v="Yes"/>
    <s v="Yes"/>
    <s v="Yes"/>
    <s v="Yes"/>
    <n v="5"/>
    <n v="3"/>
    <s v="uuid:fd3b5f18-db49-48e7-aa0e-87da7384217f/secG-G2"/>
    <s v="uuid:fd3b5f18-db49-48e7-aa0e-87da7384217f/secG-G5"/>
    <n v="-4.2946481704711914"/>
    <n v="35.818572998046875"/>
    <n v="1338"/>
    <n v="5"/>
    <n v="1706031849"/>
    <s v="uuid:fd3b5f18-db49-48e7-aa0e-87da7384217f"/>
    <d v="2017-08-01T21:48:15"/>
    <d v="2017-07-22T12:25:34"/>
    <d v="2017-07-22T12:35:54"/>
    <d v="2017-03-06T00:00:00"/>
    <m/>
    <n v="2.5646005509641876"/>
    <n v="3.5864646464646466"/>
    <n v="3.6490697674418611"/>
    <n v="2.264418604651163"/>
    <m/>
    <n v="1"/>
    <m/>
    <s v="Plains"/>
    <n v="3.3978817462899999"/>
    <s v="Gentle"/>
    <s v="Flat"/>
    <n v="0.36257606744799997"/>
    <n v="8.9012861251800004"/>
    <n v="1023.4066217998582"/>
    <n v="510.05789830154231"/>
    <n v="1.5149999999999999"/>
    <n v="1.506"/>
    <n v="8.999999999999897E-3"/>
    <n v="2.956744186046512"/>
    <n v="3.0755325987144171"/>
    <n v="0.11878841266790507"/>
    <n v="56.432639999999999"/>
    <n v="196.416"/>
    <n v="0"/>
    <n v="252.84863999999999"/>
    <n v="63.699999999999996"/>
    <n v="189.14864"/>
  </r>
  <r>
    <s v="Inot Songoyani"/>
    <n v="191"/>
    <s v="Teopister Cosmas Temu"/>
    <s v="Teopista Cosmasi Temba"/>
    <s v="ENDANOGA"/>
    <s v="Endanoga"/>
    <n v="3"/>
    <s v="outfield"/>
    <s v="Feed livestock"/>
    <s v="OffField feed"/>
    <n v="0"/>
    <m/>
    <m/>
    <s v=""/>
    <m/>
    <n v="0"/>
    <s v=""/>
    <m/>
    <m/>
    <s v=""/>
    <m/>
    <s v=""/>
    <m/>
    <m/>
    <s v=""/>
    <x v="1"/>
    <s v=""/>
    <n v="0"/>
    <s v=""/>
    <m/>
    <s v=""/>
    <s v=""/>
    <s v="No"/>
    <s v="No"/>
    <s v=""/>
    <n v="0"/>
    <s v=""/>
    <m/>
    <m/>
    <s v=""/>
    <s v=""/>
    <n v="0"/>
    <n v="0"/>
    <s v="00"/>
    <x v="2"/>
    <n v="1"/>
    <s v="Yes"/>
    <n v="0.25"/>
    <s v="Yes"/>
    <n v="2"/>
    <n v="18"/>
    <s v="Yes"/>
    <s v="Rent"/>
    <n v="8"/>
    <n v="18.25"/>
    <n v="26.25"/>
    <s v="Yes"/>
    <s v="No"/>
    <s v="No"/>
    <s v="No"/>
    <s v="No"/>
    <s v="No"/>
    <n v="3"/>
    <s v="Both"/>
    <m/>
    <s v=""/>
    <m/>
    <s v=""/>
    <m/>
    <s v=""/>
    <m/>
    <s v=""/>
    <m/>
    <n v="3"/>
    <s v="Low"/>
    <n v="1"/>
    <n v="1"/>
    <n v="1"/>
    <n v="3"/>
    <n v="0"/>
    <n v="0"/>
    <n v="0"/>
    <s v=""/>
    <n v="273.75"/>
    <s v="High"/>
    <n v="276.75"/>
    <s v="No"/>
    <s v=""/>
    <s v="Yes"/>
    <s v="Casual"/>
    <n v="0.25"/>
    <n v="3.75"/>
    <m/>
    <s v="Yes"/>
    <n v="4"/>
    <n v="30"/>
    <s v="Bags"/>
    <n v="1.7999999999999998"/>
    <m/>
    <n v="999"/>
    <s v="Bags"/>
    <m/>
    <n v="4"/>
    <n v="10"/>
    <s v="Bags"/>
    <n v="0.6"/>
    <x v="0"/>
    <s v="Yes"/>
    <s v="No"/>
    <s v="No"/>
    <s v="No"/>
    <n v="1"/>
    <n v="4"/>
    <s v="uuid:e3ba587b-53da-42d1-b2a9-585036193f67/secG-G2"/>
    <s v="uuid:e3ba587b-53da-42d1-b2a9-585036193f67/secG-G5"/>
    <n v="-4.2758526802062988"/>
    <n v="35.874324798583984"/>
    <n v="1271.5999755859375"/>
    <n v="5"/>
    <n v="1706031849"/>
    <s v="uuid:e3ba587b-53da-42d1-b2a9-585036193f67"/>
    <d v="2017-07-24T08:38:31"/>
    <d v="2017-07-08T13:34:39"/>
    <d v="2017-07-08T14:00:38"/>
    <d v="2017-02-23T00:00:00"/>
    <m/>
    <n v="6.1562021857923499"/>
    <n v="5.3928051001821498"/>
    <n v="4.9897435897435898"/>
    <n v="4.7312820512820508"/>
    <m/>
    <n v="1"/>
    <m/>
    <s v="Plains"/>
    <n v="1.27826285362"/>
    <s v="Very gentle"/>
    <s v="Flat"/>
    <n v="-0.18127532303300001"/>
    <n v="11.157617568999999"/>
    <m/>
    <n v="153.98927254895347"/>
    <m/>
    <n v="1.085"/>
    <m/>
    <n v="4.8605128205128203"/>
    <n v="5.7745036429872503"/>
    <n v="0.91399082247442998"/>
    <n v="633.59999999999991"/>
    <n v="409.2"/>
    <n v="0"/>
    <n v="1042.8"/>
    <n v="0"/>
    <n v="1042.8"/>
  </r>
  <r>
    <s v="Michael"/>
    <n v="45"/>
    <s v="Nicodemus Qambaro"/>
    <s v="Nicodemus Qambaro"/>
    <s v="Sangara"/>
    <s v="Samatsi"/>
    <n v="0.5"/>
    <s v="outfield"/>
    <s v="Feed livestock"/>
    <s v="OffField feed"/>
    <n v="0"/>
    <m/>
    <m/>
    <s v=""/>
    <m/>
    <n v="0"/>
    <s v=""/>
    <m/>
    <s v="Variable"/>
    <s v="Other fields in my home village"/>
    <m/>
    <s v="This field"/>
    <m/>
    <m/>
    <s v=""/>
    <x v="1"/>
    <s v=""/>
    <n v="0"/>
    <s v=""/>
    <m/>
    <s v=""/>
    <s v=""/>
    <s v="Yes"/>
    <s v="No"/>
    <m/>
    <n v="0"/>
    <s v=""/>
    <m/>
    <m/>
    <s v=""/>
    <s v=""/>
    <n v="0"/>
    <n v="0"/>
    <s v="00"/>
    <x v="2"/>
    <n v="1"/>
    <s v="Yes"/>
    <n v="1"/>
    <s v="No"/>
    <m/>
    <m/>
    <s v="Yes"/>
    <s v="Rent"/>
    <n v="2.5"/>
    <n v="1"/>
    <n v="3.5"/>
    <s v="Yes"/>
    <s v="Yes"/>
    <s v="Yes"/>
    <s v="Yes"/>
    <s v="Yes"/>
    <s v="No"/>
    <n v="2"/>
    <s v="Free range"/>
    <n v="5"/>
    <s v="Free range"/>
    <n v="6"/>
    <s v="Free range"/>
    <n v="2"/>
    <s v="Free range"/>
    <n v="1"/>
    <s v="Zero grazing"/>
    <m/>
    <n v="3.06"/>
    <s v="Low"/>
    <n v="1"/>
    <n v="1"/>
    <n v="7"/>
    <n v="9"/>
    <n v="0"/>
    <n v="0"/>
    <n v="0"/>
    <m/>
    <n v="15"/>
    <s v="Low"/>
    <n v="18.059999999999999"/>
    <s v="Yes"/>
    <s v="Carte"/>
    <s v="No"/>
    <s v=""/>
    <n v="0.5"/>
    <n v="0.75"/>
    <n v="0"/>
    <s v="Yes"/>
    <n v="1"/>
    <n v="10"/>
    <s v="Bags"/>
    <n v="2.4"/>
    <m/>
    <n v="999"/>
    <s v="Bags"/>
    <m/>
    <n v="1"/>
    <n v="2"/>
    <s v="Bags"/>
    <n v="0.48"/>
    <x v="0"/>
    <s v="No"/>
    <s v="No"/>
    <s v="No"/>
    <s v="No"/>
    <n v="0"/>
    <n v="3"/>
    <s v="uuid:9c2de300-7b79-49f9-832a-fb5e79d813e3/secG-G2"/>
    <s v="uuid:9c2de300-7b79-49f9-832a-fb5e79d813e3/secG-G5"/>
    <n v="-4.2798576354980469"/>
    <n v="35.628681182861328"/>
    <n v="1415.699951171875"/>
    <n v="15"/>
    <n v="1705231439"/>
    <s v="uuid:9c2de300-7b79-49f9-832a-fb5e79d813e3"/>
    <d v="2017-06-22T07:01:29"/>
    <d v="2017-06-14T12:44:37"/>
    <d v="2017-06-22T06:59:31"/>
    <d v="2017-01-07T00:00:00"/>
    <m/>
    <n v="2.5235465768799101"/>
    <n v="3.4363187429854096"/>
    <n v="4.6935185185185189"/>
    <n v="4.5582098765432102"/>
    <m/>
    <s v="FALSEE"/>
    <s v="FP better because it’s a neigbours field that looked more fertile"/>
    <s v="Valleys"/>
    <n v="3.5732898712200001"/>
    <s v="Gentle"/>
    <s v="Toeslope"/>
    <n v="-0.54384291171999999"/>
    <n v="11.057280540500001"/>
    <n v="84.77312419920338"/>
    <n v="23.072875139936137"/>
    <n v="0.61"/>
    <n v="0.58699999999999997"/>
    <n v="2.300000000000002E-2"/>
    <n v="4.6258641975308645"/>
    <n v="2.9799326599326599"/>
    <n v="-1.6459315375982047"/>
    <n v="844.8"/>
    <n v="327.36"/>
    <n v="0"/>
    <n v="1172.1599999999999"/>
    <n v="0"/>
    <n v="1172.1599999999999"/>
  </r>
  <r>
    <s v="Ezekiel Mngumi"/>
    <n v="90"/>
    <s v="Petro Lohay"/>
    <s v="Petro Lohay"/>
    <e v="#N/A"/>
    <s v="Sabilo"/>
    <n v="0"/>
    <s v="Homefield"/>
    <s v="Feed livestock"/>
    <s v="OffField feed"/>
    <n v="0"/>
    <m/>
    <m/>
    <s v=""/>
    <m/>
    <n v="0"/>
    <s v=""/>
    <m/>
    <n v="1"/>
    <s v="Other fields in my home village"/>
    <m/>
    <s v="Other, Specify"/>
    <n v="1"/>
    <m/>
    <s v=""/>
    <x v="0"/>
    <s v="Own animals"/>
    <n v="0"/>
    <s v=""/>
    <m/>
    <s v=""/>
    <s v=""/>
    <s v="Yes"/>
    <s v="No"/>
    <m/>
    <n v="0"/>
    <s v=""/>
    <m/>
    <m/>
    <s v=""/>
    <s v=""/>
    <n v="0"/>
    <n v="0"/>
    <s v="00"/>
    <x v="2"/>
    <n v="1"/>
    <s v="Yes"/>
    <n v="7"/>
    <s v="Yes"/>
    <n v="1"/>
    <n v="1"/>
    <s v="No"/>
    <s v=""/>
    <m/>
    <n v="8"/>
    <n v="8"/>
    <s v="Yes"/>
    <s v="No"/>
    <s v="Yes"/>
    <s v="No"/>
    <s v="No"/>
    <s v="No"/>
    <n v="3"/>
    <s v="Free range"/>
    <m/>
    <s v=""/>
    <n v="6"/>
    <s v="Free range"/>
    <m/>
    <s v=""/>
    <m/>
    <s v=""/>
    <m/>
    <n v="3.06"/>
    <s v="Low"/>
    <n v="4"/>
    <n v="2"/>
    <n v="2"/>
    <n v="8"/>
    <n v="0"/>
    <n v="0"/>
    <n v="1"/>
    <m/>
    <n v="120.3"/>
    <s v="High"/>
    <n v="123.36"/>
    <s v="Yes"/>
    <s v="Ninger"/>
    <s v="Yes"/>
    <s v="Casual"/>
    <n v="1.25"/>
    <n v="3.75"/>
    <n v="0"/>
    <s v="Yes"/>
    <n v="1"/>
    <n v="8"/>
    <s v="Bags"/>
    <n v="1.92"/>
    <n v="1"/>
    <n v="1"/>
    <s v="Bags"/>
    <n v="0.24"/>
    <n v="1"/>
    <n v="1"/>
    <s v="Bags"/>
    <n v="0.24"/>
    <x v="0"/>
    <s v="Yes"/>
    <s v="No"/>
    <s v="No"/>
    <s v="Yes"/>
    <n v="2"/>
    <n v="3"/>
    <s v="uuid:662ca341-8bea-4bd7-ae16-7bcaa5dc1417/secG-G2"/>
    <s v="uuid:662ca341-8bea-4bd7-ae16-7bcaa5dc1417/secG-G5"/>
    <n v="-4.3439469337463379"/>
    <n v="35.477890014648438"/>
    <n v="1630"/>
    <n v="10"/>
    <n v="1705231439"/>
    <s v="uuid:662ca341-8bea-4bd7-ae16-7bcaa5dc1417"/>
    <d v="2017-07-11T08:17:13"/>
    <d v="2017-06-09T11:06:14"/>
    <d v="2017-07-07T11:11:23"/>
    <d v="2017-02-04T00:00:00"/>
    <s v="DELETE"/>
    <m/>
    <m/>
    <m/>
    <m/>
    <m/>
    <n v="1"/>
    <m/>
    <s v="Midslope ridges"/>
    <n v="4.3128838539099998"/>
    <s v="Gentle"/>
    <s v="Ridge"/>
    <n v="1.26899504662"/>
    <n v="7.5570774078399996"/>
    <m/>
    <m/>
    <m/>
    <m/>
    <m/>
    <m/>
    <m/>
    <m/>
    <n v="675.83999999999992"/>
    <n v="163.68"/>
    <n v="190.79999999999998"/>
    <n v="1030.32"/>
    <n v="63.699999999999996"/>
    <n v="966.61999999999989"/>
  </r>
  <r>
    <s v="Inot Songoyani"/>
    <n v="127"/>
    <s v="Kwasema Mulki Thehema"/>
    <s v="Kwaselema Mulki Thehema"/>
    <s v="SOLETO"/>
    <s v="Seloto"/>
    <n v="0"/>
    <s v="Homefield"/>
    <s v="Feed livestock"/>
    <s v="OffField feed"/>
    <n v="0"/>
    <m/>
    <m/>
    <s v=""/>
    <m/>
    <n v="0"/>
    <s v=""/>
    <m/>
    <m/>
    <s v=""/>
    <m/>
    <s v=""/>
    <m/>
    <m/>
    <s v=""/>
    <x v="0"/>
    <s v="Own animals"/>
    <n v="0"/>
    <s v=""/>
    <m/>
    <s v=""/>
    <s v=""/>
    <s v="Yes"/>
    <s v="No"/>
    <s v=""/>
    <n v="0"/>
    <s v=""/>
    <m/>
    <m/>
    <s v=""/>
    <s v=""/>
    <n v="0"/>
    <n v="0"/>
    <s v="00"/>
    <x v="2"/>
    <n v="1"/>
    <s v="Yes"/>
    <n v="0.25"/>
    <s v="Yes"/>
    <n v="3"/>
    <n v="3"/>
    <s v="No"/>
    <s v=""/>
    <m/>
    <n v="3.25"/>
    <n v="3.25"/>
    <s v="Yes"/>
    <s v="Yes"/>
    <s v="Yes"/>
    <s v="Yes"/>
    <s v="No"/>
    <s v="No"/>
    <n v="2"/>
    <s v="Zero grazing"/>
    <n v="2"/>
    <s v="Zero grazing"/>
    <n v="4"/>
    <s v="Free range"/>
    <n v="9"/>
    <s v="Both"/>
    <m/>
    <s v=""/>
    <m/>
    <n v="3.14"/>
    <s v="Low"/>
    <n v="4"/>
    <n v="2"/>
    <n v="1"/>
    <n v="7"/>
    <n v="0"/>
    <n v="0"/>
    <n v="0"/>
    <s v=""/>
    <n v="48.75"/>
    <s v="Medium"/>
    <n v="51.89"/>
    <s v="No"/>
    <s v=""/>
    <s v="No"/>
    <s v=""/>
    <n v="0.25"/>
    <n v="2.75"/>
    <n v="0"/>
    <s v="No"/>
    <n v="1.5"/>
    <n v="18"/>
    <s v="Bags"/>
    <n v="2.88"/>
    <m/>
    <n v="999"/>
    <s v="Bags"/>
    <m/>
    <n v="1.5"/>
    <n v="1"/>
    <s v="Bags"/>
    <n v="0.16"/>
    <x v="0"/>
    <s v="No"/>
    <s v="Yes"/>
    <s v="Yes"/>
    <s v="Yes"/>
    <n v="3"/>
    <n v="2"/>
    <s v="uuid:b659b7c2-a24e-4bfe-9101-507fb58cd9e5/secG-G2"/>
    <s v="uuid:b659b7c2-a24e-4bfe-9101-507fb58cd9e5/secG-G5"/>
    <n v="-4.2573566436767578"/>
    <n v="35.511543273925781"/>
    <n v="1638.300048828125"/>
    <n v="5"/>
    <n v="1706031849"/>
    <s v="uuid:b659b7c2-a24e-4bfe-9101-507fb58cd9e5"/>
    <d v="2017-06-21T14:13:52"/>
    <d v="2017-06-17T15:10:20"/>
    <d v="2017-06-20T15:02:33"/>
    <d v="2017-01-18T00:00:00"/>
    <m/>
    <n v="3.5448275862068965"/>
    <n v="2.5241379310344829"/>
    <n v="1.6928339575530587"/>
    <n v="1.7635955056179777"/>
    <m/>
    <n v="1"/>
    <m/>
    <s v="Upper slopes"/>
    <n v="1.39851653576"/>
    <s v="Very gentle"/>
    <s v="Flat"/>
    <n v="0.36257606744799997"/>
    <n v="8.5521802902200008"/>
    <n v="409.38566737821543"/>
    <n v="396.62953470395104"/>
    <n v="1.7490000000000001"/>
    <n v="1.802"/>
    <n v="-5.2999999999999936E-2"/>
    <n v="1.7282147315855183"/>
    <n v="3.0344827586206895"/>
    <n v="1.3062680270351712"/>
    <n v="1013.76"/>
    <n v="109.12"/>
    <n v="0"/>
    <n v="1122.8800000000001"/>
    <n v="63.699999999999996"/>
    <n v="1059.18"/>
  </r>
  <r>
    <s v="Inot Songoyani"/>
    <n v="217"/>
    <s v="Juma Iddi"/>
    <s v="Juma Iddi"/>
    <s v="TSAMASI"/>
    <s v="Samatsi"/>
    <n v="1"/>
    <s v="outfield"/>
    <s v="Feed livestock"/>
    <s v="OffField feed"/>
    <n v="0"/>
    <m/>
    <m/>
    <s v=""/>
    <m/>
    <n v="0"/>
    <s v=""/>
    <m/>
    <m/>
    <s v=""/>
    <m/>
    <s v=""/>
    <m/>
    <m/>
    <s v=""/>
    <x v="1"/>
    <s v=""/>
    <n v="0"/>
    <s v=""/>
    <m/>
    <s v=""/>
    <s v=""/>
    <s v="No"/>
    <s v="No"/>
    <s v=""/>
    <n v="0"/>
    <s v=""/>
    <m/>
    <m/>
    <s v=""/>
    <s v=""/>
    <n v="0"/>
    <n v="0"/>
    <s v="00"/>
    <x v="2"/>
    <n v="1"/>
    <s v="Yes"/>
    <n v="1"/>
    <s v="Yes"/>
    <n v="1"/>
    <n v="1"/>
    <s v="No"/>
    <s v=""/>
    <m/>
    <n v="2"/>
    <n v="2"/>
    <s v="Yes"/>
    <s v="Yes"/>
    <s v="No"/>
    <s v="No"/>
    <s v="No"/>
    <s v="No"/>
    <n v="3"/>
    <s v="Both"/>
    <n v="2"/>
    <s v="Both"/>
    <m/>
    <s v=""/>
    <m/>
    <s v=""/>
    <m/>
    <s v=""/>
    <m/>
    <n v="3.2"/>
    <s v="Low"/>
    <n v="2"/>
    <n v="1"/>
    <n v="2"/>
    <n v="5"/>
    <n v="0"/>
    <n v="0"/>
    <n v="0"/>
    <s v=""/>
    <n v="30"/>
    <s v="Medium"/>
    <n v="33.200000000000003"/>
    <s v="No"/>
    <s v=""/>
    <s v="No"/>
    <s v=""/>
    <n v="0.25"/>
    <n v="0.75"/>
    <m/>
    <s v="Yes"/>
    <n v="1"/>
    <n v="4"/>
    <s v="Bags"/>
    <n v="0.96"/>
    <m/>
    <n v="999"/>
    <s v="Bags"/>
    <m/>
    <n v="1"/>
    <n v="1"/>
    <s v="Bags"/>
    <n v="0.24"/>
    <x v="0"/>
    <s v="No"/>
    <s v="No"/>
    <s v="No"/>
    <s v="No"/>
    <n v="0"/>
    <n v="3"/>
    <s v="uuid:9b8a8e43-876f-4c84-a109-3b48d2077889/secG-G2"/>
    <s v="uuid:9b8a8e43-876f-4c84-a109-3b48d2077889/secG-G5"/>
    <n v="-4.2899141311645508"/>
    <n v="35.828792572021484"/>
    <n v="1307.5999755859375"/>
    <n v="5"/>
    <n v="1706031849"/>
    <s v="uuid:9b8a8e43-876f-4c84-a109-3b48d2077889"/>
    <d v="2017-08-03T23:13:09"/>
    <d v="2017-07-22T10:47:15"/>
    <d v="2017-08-03T21:36:05"/>
    <d v="2017-04-05T00:00:00"/>
    <m/>
    <n v="3.7211848778238825"/>
    <n v="3.3027893038266489"/>
    <n v="3.6958275703088987"/>
    <n v="4.7354771784232375"/>
    <m/>
    <s v="FALSEE"/>
    <m/>
    <s v="Valleys"/>
    <n v="0.63687402010000005"/>
    <s v="Very gentle"/>
    <s v="Flat"/>
    <n v="-0.45320102572400001"/>
    <n v="14.599243164100001"/>
    <n v="207.05817873887941"/>
    <n v="243.74369510078216"/>
    <n v="1.3420000000000001"/>
    <n v="1.53"/>
    <n v="-0.18799999999999994"/>
    <n v="4.2156523743660683"/>
    <n v="3.5119870908252659"/>
    <n v="-0.70366528354080238"/>
    <n v="337.91999999999996"/>
    <n v="163.68"/>
    <n v="0"/>
    <n v="501.59999999999997"/>
    <n v="0"/>
    <n v="501.59999999999997"/>
  </r>
  <r>
    <s v="Inot Songoyani"/>
    <n v="237"/>
    <s v="No name"/>
    <s v="Felice Yogeni"/>
    <s v="ENDAGWE"/>
    <s v="Endagwe"/>
    <n v="0"/>
    <s v="Homefield"/>
    <s v="Feed livestock"/>
    <s v="OffField feed"/>
    <n v="0"/>
    <m/>
    <m/>
    <s v=""/>
    <m/>
    <n v="0"/>
    <s v=""/>
    <m/>
    <m/>
    <s v=""/>
    <m/>
    <s v=""/>
    <m/>
    <m/>
    <s v=""/>
    <x v="1"/>
    <s v=""/>
    <n v="0"/>
    <s v=""/>
    <m/>
    <s v=""/>
    <s v=""/>
    <s v="No"/>
    <s v="No"/>
    <s v=""/>
    <n v="0"/>
    <s v=""/>
    <m/>
    <m/>
    <s v=""/>
    <s v=""/>
    <n v="0"/>
    <n v="0"/>
    <s v="00"/>
    <x v="2"/>
    <n v="1"/>
    <s v="Yes"/>
    <n v="0.125"/>
    <s v="Yes"/>
    <n v="1"/>
    <n v="2.75"/>
    <s v="No"/>
    <s v=""/>
    <m/>
    <n v="2.875"/>
    <n v="2.875"/>
    <s v="Yes"/>
    <s v="Yes"/>
    <s v="No"/>
    <s v="No"/>
    <s v="No"/>
    <s v="No"/>
    <n v="3"/>
    <s v="Both"/>
    <n v="2"/>
    <s v="Both"/>
    <m/>
    <s v=""/>
    <m/>
    <s v=""/>
    <m/>
    <s v=""/>
    <m/>
    <n v="3.2"/>
    <s v="Low"/>
    <n v="1"/>
    <n v="1"/>
    <n v="1"/>
    <n v="3"/>
    <n v="0"/>
    <n v="0"/>
    <n v="0"/>
    <s v=""/>
    <n v="43.125"/>
    <s v="Medium"/>
    <n v="46.325000000000003"/>
    <s v="No"/>
    <s v=""/>
    <s v="Yes"/>
    <s v="Casual"/>
    <n v="0.25"/>
    <m/>
    <m/>
    <s v="Yes"/>
    <n v="0.125"/>
    <n v="1.5"/>
    <s v="Bags"/>
    <n v="2.8800000000000003"/>
    <m/>
    <n v="999"/>
    <s v="Bags"/>
    <m/>
    <n v="0.125"/>
    <n v="1"/>
    <s v="Gorogoro"/>
    <n v="0.32063999999999998"/>
    <x v="0"/>
    <s v="No"/>
    <s v="No"/>
    <s v="No"/>
    <s v="No"/>
    <n v="0"/>
    <n v="2"/>
    <s v="uuid:c182fda4-a267-4dd8-8c3f-2247cc0017c0/secG-G2"/>
    <s v="uuid:c182fda4-a267-4dd8-8c3f-2247cc0017c0/secG-G5"/>
    <n v="-4.3494272232055664"/>
    <n v="35.646892547607422"/>
    <n v="1614.4000244140625"/>
    <n v="5"/>
    <n v="1706031849"/>
    <s v="uuid:c182fda4-a267-4dd8-8c3f-2247cc0017c0"/>
    <d v="2017-08-04T03:01:19"/>
    <d v="2017-07-18T11:26:14"/>
    <d v="2017-08-04T00:53:19"/>
    <d v="2017-02-05T00:00:00"/>
    <m/>
    <n v="5.297419354838711"/>
    <n v="6.7606451612903244"/>
    <n v="2.4669163545568038"/>
    <n v="2.8174781523096133"/>
    <m/>
    <n v="1"/>
    <m/>
    <s v="Plains"/>
    <n v="0.900638759136"/>
    <s v="Very gentle"/>
    <s v="Flat"/>
    <n v="0.18129228055499999"/>
    <n v="8.7377004623399994"/>
    <n v="230.03665430731459"/>
    <n v="279.83165599268091"/>
    <n v="1.1399999999999999"/>
    <n v="0.97799999999999998"/>
    <n v="0.16199999999999992"/>
    <n v="2.6421972534332085"/>
    <n v="6.0290322580645181"/>
    <n v="3.3868350046313096"/>
    <n v="1013.7600000000001"/>
    <n v="218.67648"/>
    <n v="0"/>
    <n v="1232.4364800000001"/>
    <n v="0"/>
    <n v="1232.4364800000001"/>
  </r>
  <r>
    <s v="Ezekiel Mngumi"/>
    <n v="89"/>
    <s v="Francis Michael"/>
    <s v="Francis Michael"/>
    <s v="SABILO"/>
    <s v="Sabilo"/>
    <n v="0"/>
    <s v="Homefield"/>
    <s v="Feed livestock"/>
    <s v="OffField feed"/>
    <n v="0"/>
    <m/>
    <m/>
    <s v=""/>
    <m/>
    <n v="0"/>
    <s v=""/>
    <m/>
    <n v="1.5"/>
    <s v="Other fields in my home village"/>
    <m/>
    <s v="This field"/>
    <m/>
    <m/>
    <s v=""/>
    <x v="0"/>
    <s v="Own animals"/>
    <n v="0"/>
    <s v=""/>
    <m/>
    <s v=""/>
    <s v=""/>
    <s v="No"/>
    <s v="No"/>
    <m/>
    <n v="0"/>
    <s v=""/>
    <m/>
    <m/>
    <s v=""/>
    <s v=""/>
    <n v="0"/>
    <n v="0"/>
    <s v="00"/>
    <x v="2"/>
    <n v="1"/>
    <s v="Yes"/>
    <n v="1"/>
    <s v="Yes"/>
    <n v="1"/>
    <n v="1.75"/>
    <s v="No"/>
    <s v=""/>
    <m/>
    <n v="2.75"/>
    <n v="2.75"/>
    <s v="Yes"/>
    <s v="Yes"/>
    <s v="Yes"/>
    <s v="No"/>
    <s v="No"/>
    <s v="No"/>
    <n v="3"/>
    <s v="Free range"/>
    <n v="2"/>
    <s v="Free range"/>
    <n v="2"/>
    <s v="Free range"/>
    <m/>
    <s v=""/>
    <m/>
    <s v=""/>
    <m/>
    <n v="3.22"/>
    <s v="Low"/>
    <n v="1"/>
    <n v="1"/>
    <n v="4"/>
    <n v="6"/>
    <n v="0"/>
    <n v="0"/>
    <n v="0"/>
    <m/>
    <n v="41.25"/>
    <s v="Medium"/>
    <n v="44.47"/>
    <s v="Yes"/>
    <s v="Carate"/>
    <s v="Yes"/>
    <s v="Casual"/>
    <n v="0.5"/>
    <n v="1.75"/>
    <n v="15"/>
    <s v="No"/>
    <n v="1"/>
    <n v="10"/>
    <s v="Bags"/>
    <n v="2.4"/>
    <n v="1"/>
    <n v="2"/>
    <s v="Bags"/>
    <n v="0.48"/>
    <n v="1"/>
    <n v="1"/>
    <s v="Bags"/>
    <n v="0.24"/>
    <x v="1"/>
    <s v="Yes"/>
    <s v="No"/>
    <s v="Yes"/>
    <s v="Yes"/>
    <n v="4"/>
    <n v="5"/>
    <s v="uuid:aa02834c-1db6-462b-976b-bc344ded7c62/secG-G2"/>
    <s v="uuid:aa02834c-1db6-462b-976b-bc344ded7c62/secG-G5"/>
    <n v="-4.3539328575134277"/>
    <n v="35.488338470458984"/>
    <n v="1676.0999755859375"/>
    <n v="15"/>
    <n v="1705231439"/>
    <s v="uuid:aa02834c-1db6-462b-976b-bc344ded7c62"/>
    <d v="2017-07-11T08:17:12"/>
    <d v="2017-06-09T09:45:10"/>
    <d v="2017-07-07T11:11:41"/>
    <d v="2017-01-15T00:00:00"/>
    <m/>
    <n v="3.9814492753623187"/>
    <n v="4.4791304347826086"/>
    <n v="2.427777777777778"/>
    <n v="2.3420915032679739"/>
    <m/>
    <n v="1"/>
    <m/>
    <s v="Plains"/>
    <n v="3.3021626472499999"/>
    <s v="Gentle"/>
    <s v="Flat"/>
    <n v="9.0650379657699995E-2"/>
    <n v="7.8596940040599996"/>
    <n v="162.36652381181702"/>
    <n v="251.20962221733689"/>
    <n v="1.976"/>
    <n v="1.97"/>
    <n v="6.0000000000000053E-3"/>
    <n v="2.384934640522876"/>
    <n v="4.2302898550724635"/>
    <n v="1.8453552145495875"/>
    <n v="844.8"/>
    <n v="163.68"/>
    <n v="381.59999999999997"/>
    <n v="1390.08"/>
    <n v="63.699999999999996"/>
    <n v="1326.3799999999999"/>
  </r>
  <r>
    <s v="Inot Songoyani"/>
    <n v="187"/>
    <s v="Petro Lohay Akweso"/>
    <s v="Petro Lohay Akweso"/>
    <s v="SABILO"/>
    <s v="Sabilo"/>
    <n v="0"/>
    <s v="Homefield"/>
    <s v="Feed livestock"/>
    <s v="InField feed"/>
    <n v="0"/>
    <m/>
    <m/>
    <s v=""/>
    <m/>
    <n v="0"/>
    <s v=""/>
    <m/>
    <m/>
    <s v=""/>
    <m/>
    <s v=""/>
    <m/>
    <m/>
    <s v=""/>
    <x v="1"/>
    <s v=""/>
    <n v="0"/>
    <s v=""/>
    <m/>
    <s v=""/>
    <s v=""/>
    <s v="No"/>
    <s v="No"/>
    <s v=""/>
    <n v="0"/>
    <s v=""/>
    <m/>
    <m/>
    <s v=""/>
    <s v=""/>
    <n v="0"/>
    <n v="0"/>
    <s v="00"/>
    <x v="2"/>
    <n v="1"/>
    <s v="Yes"/>
    <n v="9"/>
    <s v="Yes"/>
    <n v="1"/>
    <n v="1"/>
    <s v="No"/>
    <s v=""/>
    <m/>
    <n v="10"/>
    <n v="10"/>
    <s v="Yes"/>
    <s v="No"/>
    <s v="Yes"/>
    <s v="Yes"/>
    <s v="No"/>
    <s v="No"/>
    <n v="3"/>
    <s v="Both"/>
    <m/>
    <s v=""/>
    <n v="10"/>
    <s v="Both"/>
    <n v="2"/>
    <s v="Both"/>
    <m/>
    <s v=""/>
    <m/>
    <n v="3.3000000000000003"/>
    <s v="Low"/>
    <n v="4"/>
    <n v="2"/>
    <n v="2"/>
    <n v="8"/>
    <n v="0"/>
    <n v="0"/>
    <n v="1"/>
    <s v=""/>
    <n v="150.30000000000001"/>
    <s v="High"/>
    <n v="153.6"/>
    <s v="No"/>
    <s v=""/>
    <s v="Yes"/>
    <s v="Casual"/>
    <n v="1.5"/>
    <n v="6"/>
    <m/>
    <s v="Yes"/>
    <n v="0.25"/>
    <n v="9"/>
    <s v="Bags"/>
    <n v="8.64"/>
    <n v="0.125"/>
    <n v="1"/>
    <s v="Bags"/>
    <n v="1.92"/>
    <n v="0.5"/>
    <n v="2"/>
    <s v="Bags"/>
    <n v="0.96"/>
    <x v="0"/>
    <s v="No"/>
    <s v="No"/>
    <s v="No"/>
    <s v="No"/>
    <n v="0"/>
    <n v="4"/>
    <s v="uuid:863abf04-cb73-4964-b862-ab77e5de7633/secG-G2"/>
    <s v="uuid:863abf04-cb73-4964-b862-ab77e5de7633/secG-G5"/>
    <n v="-4.3435859680175781"/>
    <n v="35.478065490722656"/>
    <n v="1623.300048828125"/>
    <n v="5"/>
    <n v="1706031849"/>
    <s v="uuid:863abf04-cb73-4964-b862-ab77e5de7633"/>
    <d v="2017-07-14T09:12:55"/>
    <d v="2017-07-13T14:11:12"/>
    <d v="2017-07-13T14:38:56"/>
    <d v="2017-02-04T00:00:00"/>
    <m/>
    <n v="3.8352927616413104"/>
    <n v="4.1205624711848783"/>
    <n v="4.35511756569848"/>
    <n v="5.8955739972337504"/>
    <m/>
    <s v="FALSEE"/>
    <m/>
    <s v="Open slopes"/>
    <n v="4.8365068435699996"/>
    <s v="Gentle"/>
    <s v="Flat"/>
    <n v="0.18129228055499999"/>
    <n v="8.2040119171099999"/>
    <n v="339.84101699812226"/>
    <n v="371.7608898733568"/>
    <n v="1.4239999999999999"/>
    <n v="1.8540000000000001"/>
    <n v="-0.43000000000000016"/>
    <n v="5.1253457814661152"/>
    <n v="3.9779276164130941"/>
    <n v="-1.1474181650530211"/>
    <n v="3041.28"/>
    <n v="654.72"/>
    <n v="1526.3999999999999"/>
    <n v="5222.3999999999996"/>
    <n v="0"/>
    <n v="5222.3999999999996"/>
  </r>
  <r>
    <s v="Inot"/>
    <n v="103"/>
    <s v="Peter John lukas"/>
    <s v="Peter John Lukas"/>
    <s v="ORNGADIDA"/>
    <s v="Orngadida"/>
    <n v="0"/>
    <s v="Homefield"/>
    <s v="Feed livestock"/>
    <s v="OffField feed"/>
    <n v="0"/>
    <m/>
    <m/>
    <s v=""/>
    <m/>
    <n v="0"/>
    <s v=""/>
    <m/>
    <s v="Variable"/>
    <s v="Other fields in my home village"/>
    <m/>
    <s v="This field"/>
    <m/>
    <m/>
    <s v=""/>
    <x v="1"/>
    <s v=""/>
    <n v="0"/>
    <s v=""/>
    <m/>
    <s v=""/>
    <s v=""/>
    <s v="No"/>
    <s v="No"/>
    <s v=""/>
    <n v="0"/>
    <s v=""/>
    <m/>
    <m/>
    <s v=""/>
    <s v=""/>
    <n v="0"/>
    <n v="0"/>
    <s v="00"/>
    <x v="2"/>
    <n v="1"/>
    <s v="Yes"/>
    <n v="0.25"/>
    <s v="Yes"/>
    <n v="2"/>
    <n v="4.75"/>
    <s v="No"/>
    <s v=""/>
    <m/>
    <n v="5"/>
    <n v="5"/>
    <s v="Yes"/>
    <s v="Yes"/>
    <s v="Yes"/>
    <s v="No"/>
    <s v="No"/>
    <s v="No"/>
    <n v="3"/>
    <s v="Both"/>
    <n v="2"/>
    <s v="Both"/>
    <n v="14"/>
    <s v="Both"/>
    <m/>
    <s v=""/>
    <m/>
    <s v=""/>
    <m/>
    <n v="3.3400000000000003"/>
    <s v="Low"/>
    <n v="1"/>
    <n v="2"/>
    <n v="1"/>
    <n v="4"/>
    <n v="0"/>
    <n v="0"/>
    <n v="0"/>
    <m/>
    <n v="75"/>
    <s v="High"/>
    <n v="78.34"/>
    <s v="No"/>
    <s v=""/>
    <s v="Yes"/>
    <s v="Casual"/>
    <n v="1.25"/>
    <n v="3.5"/>
    <n v="0"/>
    <s v="Yes"/>
    <n v="1"/>
    <n v="10"/>
    <s v="Bags"/>
    <n v="2.4"/>
    <m/>
    <n v="999"/>
    <s v="Bags"/>
    <m/>
    <n v="1"/>
    <n v="7.3000001907348633"/>
    <s v="Bags"/>
    <n v="1.7520000457763671"/>
    <x v="0"/>
    <s v="No"/>
    <s v="No"/>
    <s v="No"/>
    <s v="No"/>
    <n v="0"/>
    <n v="3"/>
    <s v="uuid:983b6f48-fc48-4f8c-a50b-630ab5ad242f/secG-G2"/>
    <s v="uuid:983b6f48-fc48-4f8c-a50b-630ab5ad242f/secG-G5"/>
    <n v="-4.2892546653747559"/>
    <n v="35.852764129638672"/>
    <n v="1271.9000244140625"/>
    <n v="5"/>
    <n v="1705231439"/>
    <s v="uuid:983b6f48-fc48-4f8c-a50b-630ab5ad242f"/>
    <d v="2017-08-03T23:10:58"/>
    <d v="2017-06-06T16:48:43"/>
    <d v="2017-08-03T21:53:01"/>
    <d v="2017-03-04T00:00:00"/>
    <m/>
    <n v="3.4020091324200918"/>
    <n v="3.4509589041095894"/>
    <n v="2.8733604336043364"/>
    <n v="1.4178590785907859"/>
    <m/>
    <n v="1"/>
    <m/>
    <s v="Plains"/>
    <n v="1.22101557255"/>
    <s v="Very gentle"/>
    <s v="Flat"/>
    <n v="8.4776775111099995E-6"/>
    <n v="10.5152492523"/>
    <m/>
    <m/>
    <m/>
    <m/>
    <m/>
    <n v="2.1456097560975609"/>
    <n v="3.4264840182648406"/>
    <n v="1.2808742621672797"/>
    <n v="844.8"/>
    <n v="1194.8640312194823"/>
    <n v="0"/>
    <n v="2039.6640312194822"/>
    <n v="0"/>
    <n v="2039.6640312194822"/>
  </r>
  <r>
    <s v="Inot Songoyani"/>
    <n v="98"/>
    <s v="Salha Issa Kijuu"/>
    <s v="Salha Issa Kijuu"/>
    <s v="ORNGADIDA"/>
    <s v="Orngadida"/>
    <n v="3"/>
    <s v="outfield"/>
    <s v="Bury"/>
    <s v="Bury"/>
    <n v="0"/>
    <m/>
    <m/>
    <s v=""/>
    <m/>
    <n v="0"/>
    <s v=""/>
    <m/>
    <s v="Variable"/>
    <s v="Other fields in my home village"/>
    <m/>
    <s v="My 'home field' away from here"/>
    <m/>
    <m/>
    <s v=""/>
    <x v="1"/>
    <s v=""/>
    <n v="0"/>
    <s v=""/>
    <m/>
    <s v=""/>
    <s v=""/>
    <s v="Yes"/>
    <s v="No"/>
    <s v=""/>
    <n v="0"/>
    <s v=""/>
    <m/>
    <m/>
    <s v=""/>
    <s v=""/>
    <n v="0"/>
    <n v="0"/>
    <s v="00"/>
    <x v="2"/>
    <n v="1"/>
    <s v="Yes"/>
    <n v="0.25"/>
    <s v="Yes"/>
    <n v="2"/>
    <n v="4.75"/>
    <s v="No"/>
    <s v=""/>
    <m/>
    <n v="5"/>
    <n v="5"/>
    <s v="Yes"/>
    <s v="Yes"/>
    <s v="Yes"/>
    <s v="No"/>
    <s v="No"/>
    <s v="No"/>
    <n v="3"/>
    <s v="Both"/>
    <n v="2"/>
    <s v="Both"/>
    <n v="14"/>
    <s v="Both"/>
    <m/>
    <s v=""/>
    <m/>
    <s v=""/>
    <m/>
    <n v="3.3400000000000003"/>
    <s v="Low"/>
    <n v="1"/>
    <n v="2"/>
    <n v="1"/>
    <n v="4"/>
    <n v="0"/>
    <n v="0"/>
    <n v="0"/>
    <m/>
    <n v="75"/>
    <s v="High"/>
    <n v="78.34"/>
    <s v="Yes"/>
    <s v="Stalk borres"/>
    <s v="Yes"/>
    <s v="Casual"/>
    <n v="1.25"/>
    <n v="3.5004632500000001"/>
    <m/>
    <s v="Yes"/>
    <n v="1"/>
    <n v="10"/>
    <s v="Bags"/>
    <n v="2.4"/>
    <m/>
    <n v="999"/>
    <s v="Bags"/>
    <m/>
    <n v="1"/>
    <n v="7.3000001907348633"/>
    <s v="Bags"/>
    <n v="1.7520000457763671"/>
    <x v="0"/>
    <s v="No"/>
    <s v="No"/>
    <s v="No"/>
    <s v="No"/>
    <n v="0"/>
    <n v="3"/>
    <s v="uuid:0ba199f7-c93a-455a-8d56-34503c73ae8c/secG-G2"/>
    <s v="uuid:0ba199f7-c93a-455a-8d56-34503c73ae8c/secG-G5"/>
    <n v="-4.3180837631225586"/>
    <n v="35.872280120849609"/>
    <n v="1213.5"/>
    <n v="5"/>
    <n v="1705231439"/>
    <s v="uuid:0ba199f7-c93a-455a-8d56-34503c73ae8c"/>
    <d v="2017-08-03T23:09:37"/>
    <d v="2017-06-06T14:04:24"/>
    <d v="2017-08-03T21:53:36"/>
    <d v="2017-02-23T00:00:00"/>
    <m/>
    <m/>
    <m/>
    <m/>
    <m/>
    <m/>
    <n v="1"/>
    <m/>
    <s v="Plains"/>
    <n v="0.66437512636200002"/>
    <s v="Very gentle"/>
    <s v="Flat"/>
    <n v="-0.27191722393000001"/>
    <n v="10.6292409897"/>
    <n v="237.79483426694605"/>
    <n v="307.5097560614301"/>
    <n v="1.359"/>
    <n v="1.3480000000000001"/>
    <n v="1.0999999999999899E-2"/>
    <m/>
    <m/>
    <m/>
    <n v="844.8"/>
    <n v="1194.8640312194823"/>
    <n v="0"/>
    <n v="2039.6640312194822"/>
    <n v="0"/>
    <n v="2039.6640312194822"/>
  </r>
  <r>
    <s v="Inot Songoyani"/>
    <n v="189"/>
    <s v="Regina Willium Qamara"/>
    <s v="Regina Willium Qamara"/>
    <s v="ENDANOGA"/>
    <s v="Endanoga"/>
    <n v="0"/>
    <s v="Homefield"/>
    <s v="Feed livestock"/>
    <s v="OffField feed"/>
    <n v="0"/>
    <m/>
    <m/>
    <s v=""/>
    <m/>
    <n v="0"/>
    <s v=""/>
    <m/>
    <m/>
    <s v=""/>
    <m/>
    <s v=""/>
    <m/>
    <m/>
    <s v=""/>
    <x v="0"/>
    <s v="Own animals"/>
    <n v="0"/>
    <s v=""/>
    <m/>
    <s v=""/>
    <s v=""/>
    <s v="Yes"/>
    <s v="No"/>
    <s v=""/>
    <n v="0"/>
    <s v=""/>
    <m/>
    <m/>
    <s v=""/>
    <s v=""/>
    <n v="0"/>
    <n v="0"/>
    <s v="00"/>
    <x v="2"/>
    <n v="1"/>
    <s v="Yes"/>
    <n v="1"/>
    <s v="Yes"/>
    <n v="2"/>
    <n v="1"/>
    <s v="No"/>
    <s v=""/>
    <m/>
    <n v="2"/>
    <n v="2"/>
    <s v="Yes"/>
    <s v="Yes"/>
    <s v="Yes"/>
    <s v="Yes"/>
    <s v="No"/>
    <s v="No"/>
    <n v="3"/>
    <s v="Both"/>
    <n v="3"/>
    <s v="Both"/>
    <n v="1"/>
    <s v="Both"/>
    <n v="3"/>
    <s v="Both"/>
    <m/>
    <s v=""/>
    <m/>
    <n v="3.6099999999999994"/>
    <s v="Low"/>
    <n v="1"/>
    <n v="1"/>
    <n v="2"/>
    <n v="4"/>
    <n v="0"/>
    <n v="0"/>
    <n v="0"/>
    <s v=""/>
    <n v="30"/>
    <s v="Medium"/>
    <n v="33.61"/>
    <s v="No"/>
    <s v=""/>
    <s v="No"/>
    <s v=""/>
    <n v="0.25"/>
    <n v="0.5"/>
    <m/>
    <s v="No"/>
    <n v="0.75"/>
    <n v="5"/>
    <s v="Bags"/>
    <n v="1.5999999999999999"/>
    <m/>
    <n v="999"/>
    <s v="Bags"/>
    <m/>
    <n v="0.75"/>
    <n v="3"/>
    <s v="Bags"/>
    <n v="0.96"/>
    <x v="1"/>
    <s v="Yes"/>
    <s v="Yes"/>
    <s v="Yes"/>
    <s v="Yes"/>
    <n v="5"/>
    <n v="3"/>
    <s v="uuid:b2b18a0c-1187-45c5-aeea-20d44f669d3e/secG-G2"/>
    <s v="uuid:b2b18a0c-1187-45c5-aeea-20d44f669d3e/secG-G5"/>
    <n v="-4.2676372528076172"/>
    <n v="35.848148345947266"/>
    <n v="1371.199951171875"/>
    <n v="5"/>
    <n v="1706031849"/>
    <s v="uuid:b2b18a0c-1187-45c5-aeea-20d44f669d3e"/>
    <d v="2017-07-24T08:38:28"/>
    <d v="2017-07-08T11:40:07"/>
    <d v="2017-07-08T12:06:16"/>
    <d v="2017-02-28T00:00:00"/>
    <m/>
    <n v="5.5064243943191311"/>
    <n v="7.2612949039264825"/>
    <n v="3.8811111111111112"/>
    <n v="6.8755555555555556"/>
    <m/>
    <n v="1"/>
    <m/>
    <s v="Plains"/>
    <n v="2.8312993049599999"/>
    <s v="Gentle"/>
    <s v="Flat"/>
    <n v="0.36257606744799997"/>
    <n v="10.637519836399999"/>
    <n v="250.34352018995361"/>
    <n v="119.27946721632362"/>
    <n v="1.4810000000000001"/>
    <n v="1.456"/>
    <n v="2.5000000000000133E-2"/>
    <n v="5.3783333333333339"/>
    <n v="6.3838596491228063"/>
    <n v="1.0055263157894725"/>
    <n v="563.19999999999993"/>
    <n v="654.72"/>
    <n v="0"/>
    <n v="1217.92"/>
    <n v="63.699999999999996"/>
    <n v="1154.22"/>
  </r>
  <r>
    <s v="Inot Songoyani"/>
    <n v="10"/>
    <s v="Maiko Naasi Bim endanoga"/>
    <s v=""/>
    <e v="#N/A"/>
    <s v="Orngadida"/>
    <n v="2"/>
    <s v="outfield"/>
    <s v="Feed livestock"/>
    <s v="InField feed"/>
    <n v="0"/>
    <m/>
    <m/>
    <s v=""/>
    <m/>
    <n v="0"/>
    <s v=""/>
    <m/>
    <s v="Variable"/>
    <s v="Other fields in my home village"/>
    <m/>
    <s v="Other, Specify"/>
    <n v="999"/>
    <m/>
    <s v=""/>
    <x v="0"/>
    <s v="Own animals"/>
    <n v="0"/>
    <s v=""/>
    <m/>
    <s v=""/>
    <s v=""/>
    <s v="Yes"/>
    <s v="No"/>
    <s v=""/>
    <n v="0"/>
    <s v=""/>
    <m/>
    <m/>
    <s v=""/>
    <s v=""/>
    <n v="0"/>
    <n v="0"/>
    <s v="00"/>
    <x v="2"/>
    <n v="1"/>
    <s v="Yes"/>
    <n v="0.25"/>
    <s v="Yes"/>
    <n v="1"/>
    <n v="9"/>
    <s v="Yes"/>
    <s v="Rent"/>
    <n v="60"/>
    <n v="9.25"/>
    <n v="69.25"/>
    <s v="Yes"/>
    <s v="Yes"/>
    <s v="Yes"/>
    <s v="No"/>
    <s v="No"/>
    <s v="No"/>
    <n v="3"/>
    <s v="Zero grazing"/>
    <n v="6"/>
    <s v="Zero grazing"/>
    <n v="30"/>
    <s v="Zero grazing"/>
    <m/>
    <s v=""/>
    <m/>
    <s v=""/>
    <m/>
    <n v="3.9"/>
    <s v="Low"/>
    <n v="6"/>
    <n v="3"/>
    <n v="4"/>
    <n v="13"/>
    <n v="1"/>
    <n v="0"/>
    <n v="0"/>
    <s v=""/>
    <n v="153.75"/>
    <s v="High"/>
    <n v="157.65"/>
    <s v="Yes"/>
    <s v="Supercron"/>
    <s v="Yes"/>
    <s v="Casual"/>
    <n v="0.75"/>
    <n v="2.25"/>
    <n v="6"/>
    <s v="Yes"/>
    <n v="1"/>
    <n v="7"/>
    <s v="Bags"/>
    <n v="1.6800000000000002"/>
    <m/>
    <n v="999"/>
    <s v="Bags"/>
    <m/>
    <n v="1"/>
    <n v="2"/>
    <s v="Bags"/>
    <n v="0.48"/>
    <x v="1"/>
    <s v="Yes"/>
    <s v="Yes"/>
    <s v="Yes"/>
    <s v="Yes"/>
    <n v="5"/>
    <n v="6"/>
    <s v="uuid:2a784bdf-c2f1-432c-8e0a-6b9475884fca/secG-G2"/>
    <s v="uuid:2a784bdf-c2f1-432c-8e0a-6b9475884fca/secG-G5"/>
    <n v="-4.287409782409668"/>
    <n v="35.866935729980469"/>
    <n v="1271.699951171875"/>
    <n v="5"/>
    <n v="1705231439"/>
    <s v="uuid:2a784bdf-c2f1-432c-8e0a-6b9475884fca"/>
    <d v="2017-06-07T14:19:02"/>
    <d v="2017-06-07T12:31:31"/>
    <d v="2017-06-07T13:03:22"/>
    <d v="2017-01-02T00:00:00"/>
    <m/>
    <m/>
    <m/>
    <m/>
    <m/>
    <m/>
    <n v="1"/>
    <m/>
    <s v="Plains"/>
    <n v="1.7505050897600001"/>
    <s v="Very gentle"/>
    <s v="Flat"/>
    <n v="0.18129228055499999"/>
    <n v="11.0446929932"/>
    <m/>
    <m/>
    <m/>
    <m/>
    <m/>
    <m/>
    <m/>
    <m/>
    <n v="591.36"/>
    <n v="327.36"/>
    <n v="0"/>
    <n v="918.72"/>
    <n v="63.699999999999996"/>
    <n v="855.02"/>
  </r>
  <r>
    <s v="Inot Songoyani"/>
    <n v="182"/>
    <s v="Bakari Hamudu Omary"/>
    <s v="Bakari Hamudu Omary"/>
    <s v="DURU"/>
    <s v="Duru"/>
    <n v="0"/>
    <s v="Homefield"/>
    <s v="Feed livestock"/>
    <s v="OffField feed"/>
    <n v="0"/>
    <m/>
    <m/>
    <s v=""/>
    <m/>
    <n v="0"/>
    <s v=""/>
    <m/>
    <m/>
    <s v=""/>
    <m/>
    <s v=""/>
    <m/>
    <m/>
    <s v=""/>
    <x v="0"/>
    <s v="Own animals"/>
    <n v="0"/>
    <s v=""/>
    <m/>
    <s v=""/>
    <s v=""/>
    <s v="No"/>
    <s v="No"/>
    <s v=""/>
    <n v="0"/>
    <s v=""/>
    <m/>
    <m/>
    <s v=""/>
    <s v=""/>
    <n v="0"/>
    <n v="0"/>
    <s v="00"/>
    <x v="2"/>
    <n v="1"/>
    <s v="Yes"/>
    <n v="0.25"/>
    <s v="Yes"/>
    <n v="2"/>
    <n v="2"/>
    <s v="No"/>
    <s v=""/>
    <m/>
    <n v="2.25"/>
    <n v="2.25"/>
    <s v="Yes"/>
    <s v="No"/>
    <s v="No"/>
    <s v="No"/>
    <s v="No"/>
    <s v="No"/>
    <n v="4"/>
    <s v="Both"/>
    <m/>
    <s v=""/>
    <m/>
    <s v=""/>
    <m/>
    <s v=""/>
    <m/>
    <s v=""/>
    <m/>
    <n v="4"/>
    <s v="Low"/>
    <n v="1"/>
    <n v="1"/>
    <n v="1"/>
    <n v="3"/>
    <n v="0"/>
    <n v="0"/>
    <n v="0"/>
    <s v=""/>
    <n v="33.75"/>
    <s v="Medium"/>
    <n v="37.75"/>
    <s v="No"/>
    <s v=""/>
    <s v="No"/>
    <s v=""/>
    <n v="0.25"/>
    <m/>
    <m/>
    <s v="No"/>
    <n v="0.25"/>
    <n v="2"/>
    <s v="Bags"/>
    <n v="1.92"/>
    <m/>
    <n v="999"/>
    <s v="Bags"/>
    <m/>
    <n v="0.25"/>
    <n v="4"/>
    <s v="Gorogoro"/>
    <n v="0.64127999999999996"/>
    <x v="1"/>
    <s v="No"/>
    <s v="No"/>
    <s v="No"/>
    <s v="No"/>
    <n v="1"/>
    <n v="2"/>
    <s v="uuid:24a200e4-2cfd-494e-9dac-611e8be51f84/secG-G2"/>
    <s v="uuid:24a200e4-2cfd-494e-9dac-611e8be51f84/secG-G5"/>
    <n v="-4.3583149909973145"/>
    <n v="35.590850830078125"/>
    <n v="1538.5999755859375"/>
    <n v="5"/>
    <n v="1706031849"/>
    <s v="uuid:24a200e4-2cfd-494e-9dac-611e8be51f84"/>
    <d v="2017-07-10T13:49:20"/>
    <d v="2017-07-05T14:17:59"/>
    <d v="2017-07-05T15:04:00"/>
    <d v="2017-01-13T00:00:00"/>
    <m/>
    <n v="4.1918074074074072"/>
    <n v="5.5087407407407412"/>
    <n v="2.0924137931034488"/>
    <n v="1.9164750957854406"/>
    <m/>
    <n v="1"/>
    <m/>
    <s v="Valleys"/>
    <n v="2.7974951267199999"/>
    <s v="Gentle"/>
    <s v="Toeslope"/>
    <n v="-0.725126743317"/>
    <n v="10.1518363953"/>
    <n v="596.11717215183614"/>
    <n v="422.89560012174923"/>
    <n v="2.403"/>
    <n v="0.91300000000000003"/>
    <n v="1.49"/>
    <n v="2.0044444444444447"/>
    <n v="4.8502740740740737"/>
    <n v="2.845829629629629"/>
    <n v="675.83999999999992"/>
    <n v="437.35296"/>
    <n v="0"/>
    <n v="1113.1929599999999"/>
    <n v="63.699999999999996"/>
    <n v="1049.4929599999998"/>
  </r>
  <r>
    <s v="Michael"/>
    <n v="55"/>
    <s v="Victoria Barhe"/>
    <s v="Victoria Barhe"/>
    <s v="MANDI"/>
    <s v="Samatsi"/>
    <n v="2"/>
    <s v="outfield"/>
    <s v="Feed livestock"/>
    <s v="OffField feed"/>
    <n v="0"/>
    <m/>
    <m/>
    <s v=""/>
    <m/>
    <n v="0"/>
    <s v=""/>
    <m/>
    <s v="Variable"/>
    <s v="Other fields in my home village"/>
    <m/>
    <s v="This field"/>
    <m/>
    <m/>
    <s v=""/>
    <x v="1"/>
    <s v=""/>
    <n v="0"/>
    <s v=""/>
    <m/>
    <s v=""/>
    <s v=""/>
    <s v="Yes"/>
    <s v="No"/>
    <m/>
    <n v="0"/>
    <s v=""/>
    <m/>
    <m/>
    <s v=""/>
    <s v=""/>
    <n v="0"/>
    <n v="0"/>
    <s v="00"/>
    <x v="2"/>
    <n v="1"/>
    <s v="Yes"/>
    <n v="1.25"/>
    <s v="No"/>
    <m/>
    <m/>
    <s v="Yes"/>
    <s v="Rent"/>
    <n v="1.75"/>
    <n v="1.25"/>
    <n v="3"/>
    <s v="Yes"/>
    <s v="Yes"/>
    <s v="Yes"/>
    <s v="Yes"/>
    <s v="No"/>
    <s v="Yes"/>
    <n v="3"/>
    <s v="Free range"/>
    <n v="5"/>
    <s v="Free range"/>
    <n v="6"/>
    <s v="Free range"/>
    <n v="2"/>
    <s v="Free range"/>
    <m/>
    <s v=""/>
    <n v="1"/>
    <n v="4.16"/>
    <s v="Low"/>
    <n v="2"/>
    <n v="2"/>
    <n v="5"/>
    <n v="9"/>
    <n v="0"/>
    <n v="0"/>
    <n v="0"/>
    <m/>
    <n v="18.75"/>
    <s v="Medium"/>
    <n v="22.91"/>
    <s v="Yes"/>
    <s v="Carte"/>
    <s v="No"/>
    <s v=""/>
    <n v="0.5"/>
    <n v="1"/>
    <n v="0"/>
    <s v="Yes"/>
    <n v="1"/>
    <n v="8"/>
    <s v="Bags"/>
    <n v="1.92"/>
    <m/>
    <n v="999"/>
    <s v="Bags"/>
    <m/>
    <m/>
    <n v="999"/>
    <s v="Bags"/>
    <m/>
    <x v="0"/>
    <s v="No"/>
    <s v="No"/>
    <s v="No"/>
    <s v="No"/>
    <n v="0"/>
    <n v="3"/>
    <s v="uuid:4e3db499-d93a-4319-896a-1daf55dfbb70/secG-G2"/>
    <s v="uuid:4e3db499-d93a-4319-896a-1daf55dfbb70/secG-G5"/>
    <n v="-4.3410921096801758"/>
    <n v="35.419467926025391"/>
    <n v="1643"/>
    <n v="5"/>
    <n v="1705231439"/>
    <s v="uuid:4e3db499-d93a-4319-896a-1daf55dfbb70"/>
    <d v="2017-07-07T09:09:47"/>
    <d v="2017-06-22T13:05:01"/>
    <d v="2017-07-07T09:06:08"/>
    <d v="2017-02-15T00:00:00"/>
    <m/>
    <n v="2.08"/>
    <n v="1.4733333333333332"/>
    <n v="1.7436363636363637"/>
    <m/>
    <m/>
    <n v="1"/>
    <m/>
    <s v="Plains"/>
    <n v="2.0972545146899999"/>
    <s v="Gentle"/>
    <s v="Flat"/>
    <n v="9.0650379657699995E-2"/>
    <n v="8.3043279647800006"/>
    <m/>
    <n v="184.07203736697673"/>
    <m/>
    <n v="0.78700000000000003"/>
    <m/>
    <n v="1.7436363636363637"/>
    <n v="1.7766666666666666"/>
    <n v="3.3030303030302965E-2"/>
    <n v="675.83999999999992"/>
    <n v="0"/>
    <n v="0"/>
    <n v="675.83999999999992"/>
    <n v="0"/>
    <n v="675.83999999999992"/>
  </r>
  <r>
    <s v="Inot Singoyani"/>
    <n v="212"/>
    <s v="Melkiadi Alkadi Gwandu"/>
    <s v="Melkiadi Alkadi Gwandu"/>
    <s v="MANDI"/>
    <s v="Mandi"/>
    <n v="2"/>
    <s v="outfield"/>
    <s v="Feed livestock"/>
    <s v="OffField feed"/>
    <n v="0"/>
    <m/>
    <m/>
    <s v=""/>
    <m/>
    <n v="0"/>
    <s v=""/>
    <m/>
    <m/>
    <s v=""/>
    <m/>
    <s v=""/>
    <m/>
    <m/>
    <s v=""/>
    <x v="1"/>
    <s v=""/>
    <n v="0"/>
    <s v=""/>
    <m/>
    <s v=""/>
    <s v=""/>
    <s v="No"/>
    <s v="No"/>
    <s v=""/>
    <n v="0"/>
    <s v=""/>
    <m/>
    <m/>
    <s v=""/>
    <s v=""/>
    <n v="0"/>
    <n v="0"/>
    <s v="00"/>
    <x v="2"/>
    <n v="1"/>
    <s v="Yes"/>
    <n v="0.75"/>
    <s v="Yes"/>
    <n v="3"/>
    <n v="5"/>
    <s v="No"/>
    <s v=""/>
    <m/>
    <n v="5.75"/>
    <n v="5.75"/>
    <s v="Yes"/>
    <s v="No"/>
    <s v="Yes"/>
    <s v="No"/>
    <s v="No"/>
    <s v="No"/>
    <n v="4"/>
    <s v="Both"/>
    <m/>
    <s v=""/>
    <n v="16"/>
    <s v="Both"/>
    <m/>
    <s v=""/>
    <m/>
    <s v=""/>
    <m/>
    <n v="4.16"/>
    <s v="Low"/>
    <n v="1"/>
    <n v="3"/>
    <n v="2"/>
    <n v="6"/>
    <n v="0"/>
    <n v="0"/>
    <n v="1"/>
    <s v=""/>
    <n v="86.55"/>
    <s v="High"/>
    <n v="90.71"/>
    <s v="Yes"/>
    <s v="Karate"/>
    <s v="Yes"/>
    <s v="Casual"/>
    <n v="0.25"/>
    <n v="0.75"/>
    <m/>
    <s v="Yes"/>
    <n v="1"/>
    <n v="9"/>
    <s v="Bags"/>
    <n v="2.16"/>
    <m/>
    <n v="999"/>
    <s v="Bags"/>
    <m/>
    <n v="1"/>
    <n v="3"/>
    <s v="Bags"/>
    <n v="0.72"/>
    <x v="0"/>
    <s v="No"/>
    <s v="No"/>
    <s v="No"/>
    <s v="No"/>
    <n v="0"/>
    <n v="3"/>
    <s v="uuid:4c8180c6-39de-4853-abeb-59d7459ccfa2/secG-G2"/>
    <s v="uuid:4c8180c6-39de-4853-abeb-59d7459ccfa2/secG-G5"/>
    <n v="-4.3393521308898926"/>
    <n v="35.444431304931641"/>
    <n v="1585.300048828125"/>
    <n v="5"/>
    <n v="1706031849"/>
    <s v="uuid:4c8180c6-39de-4853-abeb-59d7459ccfa2"/>
    <d v="2017-08-03T23:12:47"/>
    <d v="2017-07-12T12:37:45"/>
    <d v="2017-08-03T21:02:04"/>
    <d v="2017-02-04T00:00:00"/>
    <m/>
    <n v="0.88611111111111118"/>
    <n v="0.88611111111111118"/>
    <n v="2.2025925925925929"/>
    <n v="1.8548148148148151"/>
    <m/>
    <s v="FALSEE"/>
    <m/>
    <s v="Plains"/>
    <n v="3.3609845638300002"/>
    <s v="Gentle"/>
    <s v="Flat"/>
    <n v="9.0650379657699995E-2"/>
    <n v="9.5012483596799999"/>
    <m/>
    <m/>
    <m/>
    <m/>
    <m/>
    <n v="2.0287037037037039"/>
    <n v="0.88611111111111118"/>
    <n v="-1.1425925925925928"/>
    <n v="760.32"/>
    <n v="491.03999999999996"/>
    <n v="0"/>
    <n v="1251.3600000000001"/>
    <n v="0"/>
    <n v="1251.3600000000001"/>
  </r>
  <r>
    <s v="Inot Songoyani"/>
    <n v="211"/>
    <s v="Fadhili Khalili"/>
    <s v="Fadhili Khalili"/>
    <s v="ENDAGWE"/>
    <s v="Endagwe"/>
    <n v="0"/>
    <s v="Homefield"/>
    <s v="Feed livestock"/>
    <s v="OffField feed"/>
    <n v="0"/>
    <m/>
    <m/>
    <s v=""/>
    <m/>
    <n v="0"/>
    <s v=""/>
    <m/>
    <m/>
    <s v=""/>
    <m/>
    <s v=""/>
    <m/>
    <m/>
    <s v=""/>
    <x v="1"/>
    <s v=""/>
    <n v="0"/>
    <s v=""/>
    <m/>
    <s v=""/>
    <s v=""/>
    <s v="Yes"/>
    <s v="No"/>
    <s v=""/>
    <n v="0"/>
    <s v=""/>
    <m/>
    <m/>
    <s v=""/>
    <s v=""/>
    <n v="0"/>
    <n v="0"/>
    <s v="00"/>
    <x v="2"/>
    <n v="1"/>
    <s v="Yes"/>
    <n v="0.5"/>
    <s v="Yes"/>
    <n v="2"/>
    <n v="3"/>
    <s v="No"/>
    <s v=""/>
    <m/>
    <n v="3.5"/>
    <n v="3.5"/>
    <s v="Yes"/>
    <s v="Yes"/>
    <s v="No"/>
    <s v="No"/>
    <s v="No"/>
    <s v="No"/>
    <n v="4"/>
    <s v="Both"/>
    <n v="2"/>
    <s v="Both"/>
    <m/>
    <s v=""/>
    <m/>
    <s v=""/>
    <m/>
    <s v=""/>
    <m/>
    <n v="4.2"/>
    <s v="Low"/>
    <n v="1"/>
    <n v="1"/>
    <n v="5"/>
    <n v="7"/>
    <n v="0"/>
    <n v="8"/>
    <n v="1"/>
    <s v=""/>
    <n v="59.2"/>
    <s v="High"/>
    <n v="63.400000000000006"/>
    <s v="No"/>
    <s v=""/>
    <s v="Yes"/>
    <s v="Casual"/>
    <n v="0.25"/>
    <n v="1.25"/>
    <m/>
    <s v="Yes"/>
    <n v="0.5"/>
    <n v="3"/>
    <s v="Bags"/>
    <n v="1.4400000000000002"/>
    <m/>
    <n v="999"/>
    <s v="Bags"/>
    <m/>
    <n v="0.5"/>
    <n v="4"/>
    <s v="Gorogoro"/>
    <n v="0.32063999999999998"/>
    <x v="0"/>
    <s v="No"/>
    <s v="No"/>
    <s v="No"/>
    <s v="No"/>
    <n v="0"/>
    <n v="2"/>
    <s v="uuid:42149cac-6ef9-4680-8b31-809c918fe339/secG-G2"/>
    <s v="uuid:42149cac-6ef9-4680-8b31-809c918fe339/secG-G5"/>
    <n v="-4.3565845489501953"/>
    <n v="35.647743225097656"/>
    <n v="1576.4000244140625"/>
    <n v="5"/>
    <n v="1706031849"/>
    <s v="uuid:42149cac-6ef9-4680-8b31-809c918fe339"/>
    <d v="2017-08-03T23:12:48"/>
    <d v="2017-07-18T09:17:09"/>
    <d v="2017-08-03T21:13:39"/>
    <d v="2017-02-03T00:00:00"/>
    <m/>
    <n v="1.0721428571428573"/>
    <n v="1.0706349206349208"/>
    <n v="2.5317829457364343"/>
    <n v="3.7727131782945746"/>
    <m/>
    <s v="FALSEE"/>
    <m/>
    <s v="Plains"/>
    <n v="3.7037451267199999"/>
    <s v="Gentle"/>
    <s v="Flat"/>
    <n v="-0.18127532303300001"/>
    <n v="9.8761577606199999"/>
    <n v="181.51844753695775"/>
    <n v="629.67346270525377"/>
    <n v="1.1180000000000001"/>
    <n v="2.1070000000000002"/>
    <n v="-0.9890000000000001"/>
    <n v="3.1522480620155044"/>
    <n v="1.0713888888888889"/>
    <n v="-2.0808591731266155"/>
    <n v="506.88000000000005"/>
    <n v="218.67648"/>
    <n v="0"/>
    <n v="725.55648000000008"/>
    <n v="0"/>
    <n v="725.55648000000008"/>
  </r>
  <r>
    <s v="Inot Songoyani"/>
    <n v="121"/>
    <s v="Jeremia Wilson Dighay"/>
    <s v="Jeremia Wilson Dighay"/>
    <e v="#N/A"/>
    <s v="Ayamango"/>
    <n v="1"/>
    <s v="outfield"/>
    <s v="Feed livestock"/>
    <s v="InField feed"/>
    <n v="0"/>
    <m/>
    <m/>
    <s v=""/>
    <m/>
    <n v="0"/>
    <s v=""/>
    <m/>
    <m/>
    <s v=""/>
    <m/>
    <s v=""/>
    <m/>
    <m/>
    <s v=""/>
    <x v="0"/>
    <s v="Own animals"/>
    <n v="0"/>
    <s v=""/>
    <m/>
    <s v=""/>
    <s v=""/>
    <s v="No"/>
    <s v="No"/>
    <s v=""/>
    <n v="0"/>
    <s v=""/>
    <m/>
    <m/>
    <s v=""/>
    <s v=""/>
    <n v="0"/>
    <n v="0"/>
    <s v="00"/>
    <x v="2"/>
    <n v="1"/>
    <s v="Yes"/>
    <n v="0.25"/>
    <s v="Yes"/>
    <n v="2"/>
    <n v="3"/>
    <s v="No"/>
    <s v=""/>
    <m/>
    <n v="3.25"/>
    <n v="3.25"/>
    <s v="Yes"/>
    <s v="Yes"/>
    <s v="Yes"/>
    <s v="No"/>
    <s v="No"/>
    <s v="No"/>
    <n v="4"/>
    <s v="Both"/>
    <n v="2"/>
    <s v="Zero grazing"/>
    <n v="3"/>
    <s v="Zero grazing"/>
    <m/>
    <s v=""/>
    <m/>
    <s v=""/>
    <m/>
    <n v="4.2300000000000004"/>
    <s v="Low"/>
    <n v="1"/>
    <n v="1"/>
    <n v="5"/>
    <n v="7"/>
    <n v="0"/>
    <n v="0"/>
    <n v="0"/>
    <m/>
    <n v="48.75"/>
    <s v="Medium"/>
    <n v="52.980000000000004"/>
    <s v="No"/>
    <s v=""/>
    <s v="Yes"/>
    <s v="Casual"/>
    <n v="0.25"/>
    <n v="0.75"/>
    <m/>
    <s v="Yes"/>
    <n v="1"/>
    <n v="9"/>
    <s v="Bags"/>
    <n v="2.16"/>
    <m/>
    <n v="999"/>
    <s v="Bags"/>
    <m/>
    <n v="1"/>
    <n v="3"/>
    <s v="Bags"/>
    <n v="0.72"/>
    <x v="0"/>
    <s v="No"/>
    <s v="No"/>
    <s v="No"/>
    <s v="No"/>
    <n v="0"/>
    <n v="3"/>
    <s v="uuid:ea7bf8b8-f35d-41e2-b443-f4404576061a/secG-G2"/>
    <s v="uuid:ea7bf8b8-f35d-41e2-b443-f4404576061a/secG-G5"/>
    <n v="-4.2431526184082031"/>
    <n v="35.890655517578125"/>
    <n v="1222"/>
    <n v="5"/>
    <n v="1706031849"/>
    <s v="uuid:ea7bf8b8-f35d-41e2-b443-f4404576061a"/>
    <d v="2017-06-20T11:58:33"/>
    <d v="2017-06-19T15:26:43"/>
    <d v="2017-06-19T16:12:54"/>
    <d v="2017-02-03T00:00:00"/>
    <m/>
    <m/>
    <m/>
    <m/>
    <m/>
    <m/>
    <n v="1"/>
    <m/>
    <s v="Plains"/>
    <n v="1.2451889514900001"/>
    <s v="Very gentle"/>
    <s v="Flat"/>
    <n v="0.18129228055499999"/>
    <n v="10.190670967100001"/>
    <m/>
    <m/>
    <m/>
    <m/>
    <m/>
    <m/>
    <m/>
    <m/>
    <n v="760.32"/>
    <n v="491.03999999999996"/>
    <n v="0"/>
    <n v="1251.3600000000001"/>
    <n v="63.699999999999996"/>
    <n v="1187.6600000000001"/>
  </r>
  <r>
    <s v="Inot Songoyani"/>
    <n v="208"/>
    <s v="saidi Swalehe Hadaa"/>
    <s v="Saidi Swalehe Hadaa"/>
    <s v="TSAMASI"/>
    <s v="Samatsi"/>
    <n v="0"/>
    <s v="Homefield"/>
    <s v="Feed livestock"/>
    <s v="OffField feed"/>
    <n v="0"/>
    <m/>
    <m/>
    <s v=""/>
    <m/>
    <n v="0"/>
    <s v=""/>
    <m/>
    <m/>
    <s v=""/>
    <m/>
    <s v=""/>
    <m/>
    <m/>
    <s v=""/>
    <x v="0"/>
    <s v="Own animals"/>
    <n v="0"/>
    <s v=""/>
    <m/>
    <s v=""/>
    <s v=""/>
    <s v="No"/>
    <s v="No"/>
    <s v=""/>
    <n v="0"/>
    <s v=""/>
    <m/>
    <m/>
    <s v=""/>
    <s v=""/>
    <n v="0"/>
    <n v="0"/>
    <s v="00"/>
    <x v="2"/>
    <n v="1"/>
    <s v="Yes"/>
    <n v="0.5"/>
    <s v="Yes"/>
    <n v="1"/>
    <n v="1.5"/>
    <s v="No"/>
    <s v=""/>
    <m/>
    <n v="2"/>
    <n v="2"/>
    <s v="Yes"/>
    <s v="Yes"/>
    <s v="Yes"/>
    <s v="No"/>
    <s v="No"/>
    <s v="No"/>
    <n v="4"/>
    <s v="Free range"/>
    <n v="3"/>
    <s v="Both"/>
    <n v="4"/>
    <s v="Both"/>
    <m/>
    <s v=""/>
    <m/>
    <s v=""/>
    <m/>
    <n v="4.34"/>
    <s v="Low"/>
    <n v="1"/>
    <n v="1"/>
    <n v="5"/>
    <n v="7"/>
    <n v="0"/>
    <n v="0"/>
    <n v="0"/>
    <s v=""/>
    <n v="30"/>
    <s v="Medium"/>
    <n v="34.340000000000003"/>
    <s v="No"/>
    <s v=""/>
    <s v="Yes"/>
    <s v="Casual"/>
    <n v="0.25"/>
    <n v="0.25"/>
    <m/>
    <s v="No"/>
    <n v="0.5"/>
    <n v="4"/>
    <s v="Bags"/>
    <n v="1.92"/>
    <m/>
    <n v="999"/>
    <s v="Bags"/>
    <m/>
    <n v="0.5"/>
    <n v="1"/>
    <s v="Bags"/>
    <n v="0.48"/>
    <x v="0"/>
    <s v="No"/>
    <s v="Yes"/>
    <s v="No"/>
    <s v="No"/>
    <n v="1"/>
    <n v="3"/>
    <s v="uuid:3648ab9d-516f-40e2-b514-effbb73ad345/secG-G2"/>
    <s v="uuid:3648ab9d-516f-40e2-b514-effbb73ad345/secG-G5"/>
    <n v="-4.2894182205200195"/>
    <n v="35.829944610595703"/>
    <n v="1322"/>
    <n v="5"/>
    <n v="1706031849"/>
    <s v="uuid:3648ab9d-516f-40e2-b514-effbb73ad345"/>
    <d v="2017-08-01T21:48:37"/>
    <d v="2017-07-22T10:19:15"/>
    <d v="2017-07-22T11:10:24"/>
    <d v="2017-03-06T00:00:00"/>
    <m/>
    <n v="4.8997714736012616"/>
    <n v="3.4404806934594174"/>
    <n v="1.8176767676767676"/>
    <n v="1.9905050505050506"/>
    <m/>
    <n v="1"/>
    <m/>
    <s v="Plains"/>
    <n v="4.0479316711399997"/>
    <s v="Gentle"/>
    <s v="Flat"/>
    <n v="0.36257606744799997"/>
    <n v="8.5629081726099994"/>
    <n v="311.69265136909911"/>
    <n v="363.32363792760424"/>
    <n v="1.71"/>
    <n v="1.194"/>
    <n v="0.51600000000000001"/>
    <n v="1.9040909090909091"/>
    <n v="4.1701260835303398"/>
    <n v="2.2660351744394305"/>
    <n v="675.83999999999992"/>
    <n v="327.36"/>
    <n v="0"/>
    <n v="1003.1999999999999"/>
    <n v="63.699999999999996"/>
    <n v="939.49999999999989"/>
  </r>
  <r>
    <s v="Inot Songoyani"/>
    <n v="201"/>
    <s v="BAKARI Juma Yusufu"/>
    <s v="Bakari Juma Yusufu"/>
    <s v="TSAMASI"/>
    <s v="Samatsi"/>
    <n v="0"/>
    <s v="Homefield"/>
    <s v="Feed livestock"/>
    <s v="OffField feed"/>
    <n v="0"/>
    <m/>
    <m/>
    <s v=""/>
    <m/>
    <n v="0"/>
    <s v=""/>
    <m/>
    <m/>
    <s v=""/>
    <m/>
    <s v=""/>
    <m/>
    <m/>
    <s v=""/>
    <x v="1"/>
    <s v=""/>
    <n v="0"/>
    <s v=""/>
    <m/>
    <s v=""/>
    <s v=""/>
    <s v="Yes"/>
    <s v="No"/>
    <s v=""/>
    <n v="0"/>
    <s v=""/>
    <m/>
    <m/>
    <s v=""/>
    <s v=""/>
    <n v="0"/>
    <n v="0"/>
    <s v="00"/>
    <x v="2"/>
    <n v="1"/>
    <s v="Yes"/>
    <n v="0.75"/>
    <s v="Yes"/>
    <n v="2"/>
    <n v="2.5"/>
    <s v="No"/>
    <s v=""/>
    <m/>
    <n v="3.25"/>
    <n v="3.25"/>
    <s v="Yes"/>
    <s v="Yes"/>
    <s v="Yes"/>
    <s v="No"/>
    <s v="No"/>
    <s v="No"/>
    <n v="4"/>
    <s v="Both"/>
    <n v="3"/>
    <s v="Both"/>
    <n v="4"/>
    <s v="Both"/>
    <m/>
    <s v=""/>
    <m/>
    <s v=""/>
    <m/>
    <n v="4.34"/>
    <s v="Low"/>
    <n v="1"/>
    <n v="2"/>
    <n v="6"/>
    <n v="9"/>
    <n v="0"/>
    <n v="0"/>
    <n v="0"/>
    <s v=""/>
    <n v="48.75"/>
    <s v="Medium"/>
    <n v="53.09"/>
    <s v="No"/>
    <s v=""/>
    <s v="Yes"/>
    <s v="Casual"/>
    <n v="0.25"/>
    <n v="1.75"/>
    <m/>
    <s v="No"/>
    <n v="2"/>
    <n v="3"/>
    <s v="Bags"/>
    <n v="0.36000000000000004"/>
    <m/>
    <n v="999"/>
    <s v="Gorogoro"/>
    <m/>
    <n v="2"/>
    <n v="1"/>
    <s v="Gorogoro"/>
    <n v="2.0039999999999999E-2"/>
    <x v="0"/>
    <s v="No"/>
    <s v="No"/>
    <s v="No"/>
    <s v="No"/>
    <n v="0"/>
    <n v="2"/>
    <s v="uuid:95c37d6d-85c3-49e8-9d6b-b30d9d79ce9b/secG-G2"/>
    <s v="uuid:95c37d6d-85c3-49e8-9d6b-b30d9d79ce9b/secG-G5"/>
    <n v="-4.2895283699035645"/>
    <n v="35.826389312744141"/>
    <n v="1317.800048828125"/>
    <n v="5"/>
    <n v="1706031849"/>
    <s v="uuid:95c37d6d-85c3-49e8-9d6b-b30d9d79ce9b"/>
    <d v="2017-08-01T21:48:14"/>
    <d v="2017-07-22T11:39:06"/>
    <d v="2017-07-22T11:51:20"/>
    <d v="2017-02-28T00:00:00"/>
    <m/>
    <n v="2.9907295173961841"/>
    <n v="2.8663748597081935"/>
    <n v="3.0733333333333337"/>
    <n v="2.3933333333333335"/>
    <m/>
    <n v="1"/>
    <m/>
    <s v="Valleys"/>
    <n v="2.4237968921699999"/>
    <s v="Gentle"/>
    <s v="Flat"/>
    <n v="9.0650379657699995E-2"/>
    <n v="11.2585916519"/>
    <n v="329.54469884000144"/>
    <n v="156.77586661706525"/>
    <n v="1.198"/>
    <n v="1.036"/>
    <n v="0.16199999999999992"/>
    <n v="2.7333333333333334"/>
    <n v="2.9285521885521888"/>
    <n v="0.1952188552188554"/>
    <n v="126.72000000000001"/>
    <n v="13.66728"/>
    <n v="0"/>
    <n v="140.38728"/>
    <n v="0"/>
    <n v="140.38728"/>
  </r>
  <r>
    <s v="Michael"/>
    <n v="62"/>
    <s v="Baraka Boay"/>
    <s v="Baraka Boay"/>
    <s v="Sangara"/>
    <s v="Samatsi"/>
    <n v="0"/>
    <s v="Homefield"/>
    <s v="Feed livestock"/>
    <s v="OffField feed"/>
    <n v="0"/>
    <m/>
    <m/>
    <s v=""/>
    <m/>
    <n v="0"/>
    <s v=""/>
    <m/>
    <s v="Variable"/>
    <s v="Other fields in my home village"/>
    <m/>
    <s v="This field"/>
    <m/>
    <m/>
    <s v=""/>
    <x v="1"/>
    <s v=""/>
    <n v="0"/>
    <s v=""/>
    <m/>
    <s v=""/>
    <s v=""/>
    <s v="Yes"/>
    <s v="No"/>
    <m/>
    <n v="0"/>
    <s v=""/>
    <m/>
    <m/>
    <s v=""/>
    <s v=""/>
    <n v="0"/>
    <n v="0"/>
    <s v="00"/>
    <x v="2"/>
    <n v="1"/>
    <s v="Yes"/>
    <n v="3"/>
    <s v="No"/>
    <m/>
    <m/>
    <s v="No"/>
    <s v=""/>
    <m/>
    <n v="3"/>
    <n v="3"/>
    <s v="Yes"/>
    <s v="Yes"/>
    <s v="Yes"/>
    <s v="No"/>
    <s v="Yes"/>
    <s v="No"/>
    <n v="4"/>
    <s v="Both"/>
    <n v="1"/>
    <s v="Free range"/>
    <n v="3"/>
    <s v="Free range"/>
    <m/>
    <s v=""/>
    <n v="1"/>
    <s v="Zero grazing"/>
    <m/>
    <n v="4.43"/>
    <s v="Low"/>
    <n v="1"/>
    <n v="2"/>
    <n v="1"/>
    <n v="4"/>
    <n v="0"/>
    <n v="0"/>
    <n v="0"/>
    <m/>
    <n v="45"/>
    <s v="Medium"/>
    <n v="49.43"/>
    <s v="No"/>
    <s v=""/>
    <s v="Yes"/>
    <s v="Animal draught"/>
    <n v="0.25"/>
    <n v="2.5"/>
    <n v="0"/>
    <s v="Yes"/>
    <n v="1"/>
    <n v="5"/>
    <s v="Bags"/>
    <n v="1.2"/>
    <n v="1"/>
    <n v="0"/>
    <s v="Bags"/>
    <n v="0"/>
    <n v="1"/>
    <n v="1.125"/>
    <s v="Bags"/>
    <n v="0.27"/>
    <x v="0"/>
    <s v="No"/>
    <s v="No"/>
    <s v="No"/>
    <s v="No"/>
    <n v="0"/>
    <n v="3"/>
    <s v="uuid:a2219805-2ce7-455d-bb7f-f498bd6984ac/secG-G2"/>
    <s v="uuid:a2219805-2ce7-455d-bb7f-f498bd6984ac/secG-G5"/>
    <n v="-4.2805089950561523"/>
    <n v="35.627761840820313"/>
    <n v="1422.0999755859375"/>
    <n v="10"/>
    <n v="1705231439"/>
    <s v="uuid:a2219805-2ce7-455d-bb7f-f498bd6984ac"/>
    <d v="2017-07-07T09:17:21"/>
    <d v="2017-06-14T12:06:05"/>
    <d v="2017-07-07T09:16:28"/>
    <d v="2017-01-10T00:00:00"/>
    <m/>
    <n v="1.9647169811320753"/>
    <n v="1.3098113207547168"/>
    <n v="2.8661971830985924"/>
    <n v="3.3464788732394375"/>
    <m/>
    <s v="FALSEE"/>
    <s v="FP better. Planted on different dates and used different seeds. Drop"/>
    <s v="Valleys"/>
    <n v="8.6720476150499994"/>
    <s v="Moderate"/>
    <s v="Toeslope"/>
    <n v="-0.54384291171999999"/>
    <n v="8.2298650741599992"/>
    <n v="46.728885009081537"/>
    <n v="313.03855933993242"/>
    <n v="0.48699999999999999"/>
    <n v="0.93899999999999995"/>
    <n v="-0.45199999999999996"/>
    <n v="3.1063380281690147"/>
    <n v="1.6372641509433961"/>
    <n v="-1.4690738772256187"/>
    <n v="422.4"/>
    <n v="184.14000000000001"/>
    <n v="0"/>
    <n v="606.54"/>
    <n v="0"/>
    <n v="606.54"/>
  </r>
  <r>
    <s v="Inot Songoyani"/>
    <n v="149"/>
    <s v="Lobulu Ndiyogi Mitamey"/>
    <s v="Lobulu Ndiyogi Mitamey"/>
    <s v="AYAMANGO"/>
    <s v="Ayamango"/>
    <n v="0"/>
    <s v="Homefield"/>
    <s v="Feed livestock"/>
    <s v="OffField feed"/>
    <n v="0"/>
    <m/>
    <m/>
    <s v=""/>
    <m/>
    <n v="0"/>
    <s v=""/>
    <m/>
    <m/>
    <s v=""/>
    <m/>
    <s v=""/>
    <m/>
    <m/>
    <s v=""/>
    <x v="0"/>
    <s v="Own animals"/>
    <n v="0"/>
    <s v=""/>
    <m/>
    <s v=""/>
    <s v=""/>
    <s v="Yes"/>
    <s v="No"/>
    <s v=""/>
    <n v="0"/>
    <s v=""/>
    <m/>
    <m/>
    <s v=""/>
    <s v=""/>
    <n v="0"/>
    <n v="0"/>
    <s v="00"/>
    <x v="2"/>
    <n v="1"/>
    <s v="Yes"/>
    <n v="6"/>
    <s v="Yes"/>
    <n v="1"/>
    <n v="5"/>
    <s v="No"/>
    <s v=""/>
    <m/>
    <n v="11"/>
    <n v="11"/>
    <s v="Yes"/>
    <s v="Yes"/>
    <s v="Yes"/>
    <s v="No"/>
    <s v="No"/>
    <s v="No"/>
    <n v="4"/>
    <s v="Free range"/>
    <n v="6"/>
    <s v="Free range"/>
    <n v="2"/>
    <s v="Free range"/>
    <m/>
    <s v=""/>
    <m/>
    <s v=""/>
    <m/>
    <n v="4.6199999999999992"/>
    <s v="Low"/>
    <n v="2"/>
    <n v="4"/>
    <n v="6"/>
    <n v="12"/>
    <n v="0"/>
    <n v="0"/>
    <n v="0"/>
    <s v=""/>
    <n v="165"/>
    <s v="High"/>
    <n v="169.62"/>
    <s v="No"/>
    <s v=""/>
    <s v="Yes"/>
    <s v="Casual"/>
    <n v="0.25"/>
    <n v="5.75"/>
    <m/>
    <s v="Yes"/>
    <n v="6"/>
    <n v="30"/>
    <s v="Bags"/>
    <n v="1.2"/>
    <m/>
    <n v="999"/>
    <s v="Bags"/>
    <m/>
    <n v="6"/>
    <n v="16"/>
    <s v="Bags"/>
    <n v="0.64"/>
    <x v="1"/>
    <s v="Yes"/>
    <s v="Yes"/>
    <s v="Yes"/>
    <s v="Yes"/>
    <n v="5"/>
    <n v="3"/>
    <s v="uuid:4684523d-a05f-4994-8625-65fa393c59d2/secG-G2"/>
    <s v="uuid:4684523d-a05f-4994-8625-65fa393c59d2/secG-G5"/>
    <n v="-4.2389602661132813"/>
    <n v="35.907527923583984"/>
    <n v="1229.199951171875"/>
    <n v="5"/>
    <n v="1706031849"/>
    <s v="uuid:4684523d-a05f-4994-8625-65fa393c59d2"/>
    <d v="2017-06-27T15:19:35"/>
    <d v="2017-06-22T15:01:17"/>
    <d v="2017-06-22T15:11:57"/>
    <d v="2017-02-13T00:00:00"/>
    <m/>
    <n v="3.2077684407096179"/>
    <n v="2.4935387488328673"/>
    <n v="3.1042000000000005"/>
    <n v="3.1665333333333336"/>
    <n v="8"/>
    <s v="FALSEE"/>
    <m/>
    <s v="Plains"/>
    <n v="2.5200860500300002"/>
    <s v="Gentle"/>
    <s v="Flat"/>
    <n v="9.0650379657699995E-2"/>
    <n v="8.7876567840599993"/>
    <n v="251.89603207009418"/>
    <n v="247.81986358543793"/>
    <n v="1.522"/>
    <n v="1.139"/>
    <n v="0.38300000000000001"/>
    <n v="3.1353666666666671"/>
    <n v="2.8506535947712424"/>
    <n v="-0.28471307189542472"/>
    <n v="422.4"/>
    <n v="436.48"/>
    <n v="0"/>
    <n v="858.88"/>
    <n v="63.699999999999996"/>
    <n v="795.18"/>
  </r>
  <r>
    <s v="Inot Songoyani"/>
    <n v="137"/>
    <s v="Mohamedi Hamisi Leso"/>
    <s v="Mohamedi Hamisi Leso"/>
    <s v="AYAMANGO"/>
    <s v="Ayamango"/>
    <n v="0"/>
    <s v="Homefield"/>
    <s v="Feed livestock"/>
    <s v="InField feed"/>
    <n v="0"/>
    <m/>
    <m/>
    <s v=""/>
    <m/>
    <n v="0"/>
    <s v=""/>
    <m/>
    <m/>
    <s v=""/>
    <m/>
    <s v=""/>
    <m/>
    <m/>
    <s v=""/>
    <x v="0"/>
    <s v="Own animals"/>
    <n v="0"/>
    <s v=""/>
    <m/>
    <s v=""/>
    <s v=""/>
    <s v="Yes"/>
    <s v="No"/>
    <s v=""/>
    <n v="0"/>
    <s v=""/>
    <m/>
    <m/>
    <s v=""/>
    <s v=""/>
    <n v="0"/>
    <n v="0"/>
    <s v="00"/>
    <x v="2"/>
    <n v="1"/>
    <s v="Yes"/>
    <n v="2"/>
    <s v="No"/>
    <m/>
    <m/>
    <s v="Yes"/>
    <s v="Rent"/>
    <n v="2.5"/>
    <n v="2"/>
    <n v="4.5"/>
    <s v="Yes"/>
    <s v="Yes"/>
    <s v="Yes"/>
    <s v="No"/>
    <s v="No"/>
    <s v="No"/>
    <n v="4"/>
    <s v="Both"/>
    <n v="5"/>
    <s v="Zero grazing"/>
    <n v="12"/>
    <s v="Both"/>
    <m/>
    <s v=""/>
    <m/>
    <s v=""/>
    <m/>
    <n v="4.62"/>
    <s v="Low"/>
    <n v="1"/>
    <n v="1"/>
    <n v="5"/>
    <n v="7"/>
    <n v="0"/>
    <n v="0"/>
    <n v="0"/>
    <s v=""/>
    <n v="30"/>
    <s v="Medium"/>
    <n v="34.619999999999997"/>
    <s v="No"/>
    <s v=""/>
    <s v="No"/>
    <s v=""/>
    <n v="0.25"/>
    <n v="1.75"/>
    <m/>
    <s v="Yes"/>
    <n v="1"/>
    <n v="7"/>
    <s v="Bags"/>
    <n v="1.6800000000000002"/>
    <m/>
    <n v="999"/>
    <s v="Bags"/>
    <m/>
    <n v="1.75"/>
    <n v="5"/>
    <s v="Bags"/>
    <n v="0.68571428571428572"/>
    <x v="0"/>
    <s v="No"/>
    <s v="No"/>
    <s v="No"/>
    <s v="Yes"/>
    <n v="1"/>
    <n v="2"/>
    <s v="uuid:b9d0cf6f-7f1c-4280-9da0-ffdaffb37770/secG-G2"/>
    <s v="uuid:b9d0cf6f-7f1c-4280-9da0-ffdaffb37770/secG-G5"/>
    <n v="-4.2445802688598633"/>
    <n v="35.888114929199219"/>
    <n v="1230"/>
    <n v="5"/>
    <n v="1706031849"/>
    <s v="uuid:b9d0cf6f-7f1c-4280-9da0-ffdaffb37770"/>
    <d v="2017-06-21T19:46:44"/>
    <d v="2017-06-21T16:46:27"/>
    <d v="2017-06-21T16:53:27"/>
    <d v="2017-02-22T00:00:00"/>
    <m/>
    <n v="4.589026629935721"/>
    <n v="5.0438475665748399"/>
    <n v="5.9994000000000005"/>
    <n v="7.3393333333333342"/>
    <n v="12"/>
    <s v="FALSEE"/>
    <m/>
    <s v="Midslope drainages"/>
    <n v="2.6646602153800001"/>
    <s v="Gentle"/>
    <s v="Valley"/>
    <n v="-1.08769440651"/>
    <n v="9.2721815109300003"/>
    <n v="376.9167979979033"/>
    <n v="184.6418072981842"/>
    <n v="1.2130000000000001"/>
    <n v="0.88300000000000001"/>
    <n v="0.33000000000000007"/>
    <n v="6.6693666666666669"/>
    <n v="4.81643709825528"/>
    <n v="-1.8529295684113869"/>
    <n v="591.36"/>
    <n v="467.65714285714284"/>
    <n v="0"/>
    <n v="1059.017142857143"/>
    <n v="63.699999999999996"/>
    <n v="995.31714285714293"/>
  </r>
  <r>
    <s v="Inot Songoyani"/>
    <n v="136"/>
    <s v="RaBia Halifa Hamadi"/>
    <s v="Rabia Halifa Hamadi"/>
    <s v="AYAMANGO"/>
    <s v="Ayamango"/>
    <n v="0"/>
    <s v="Homefield"/>
    <s v="Feed livestock"/>
    <s v="InField feed"/>
    <n v="0"/>
    <m/>
    <m/>
    <s v=""/>
    <m/>
    <n v="0"/>
    <s v=""/>
    <m/>
    <m/>
    <s v=""/>
    <m/>
    <s v=""/>
    <m/>
    <m/>
    <s v=""/>
    <x v="0"/>
    <s v="Own animals"/>
    <n v="0"/>
    <s v=""/>
    <m/>
    <s v=""/>
    <s v=""/>
    <s v="No"/>
    <s v="No"/>
    <s v=""/>
    <n v="0"/>
    <s v=""/>
    <m/>
    <m/>
    <s v=""/>
    <s v=""/>
    <n v="0"/>
    <n v="0"/>
    <s v="00"/>
    <x v="2"/>
    <n v="1"/>
    <s v="Yes"/>
    <n v="2"/>
    <s v="No"/>
    <m/>
    <m/>
    <s v="Yes"/>
    <s v="Rent"/>
    <n v="2.5"/>
    <n v="2"/>
    <n v="4.5"/>
    <s v="Yes"/>
    <s v="Yes"/>
    <s v="Yes"/>
    <s v="No"/>
    <s v="No"/>
    <s v="No"/>
    <n v="4"/>
    <s v="Free range"/>
    <n v="5"/>
    <s v="Zero grazing"/>
    <n v="12"/>
    <s v="Free range"/>
    <m/>
    <s v=""/>
    <m/>
    <s v=""/>
    <m/>
    <n v="4.62"/>
    <s v="Low"/>
    <n v="1"/>
    <n v="1"/>
    <n v="5"/>
    <n v="7"/>
    <n v="0"/>
    <n v="0"/>
    <n v="0"/>
    <s v=""/>
    <n v="30"/>
    <s v="Medium"/>
    <n v="34.619999999999997"/>
    <s v="No"/>
    <s v=""/>
    <s v="No"/>
    <s v=""/>
    <n v="0.25"/>
    <n v="1.25"/>
    <m/>
    <s v="Yes"/>
    <n v="1.75"/>
    <n v="10"/>
    <s v="Bags"/>
    <n v="1.3714285714285714"/>
    <m/>
    <n v="999"/>
    <s v="Bags"/>
    <m/>
    <n v="1.75"/>
    <n v="5"/>
    <s v="Bags"/>
    <n v="0.68571428571428572"/>
    <x v="0"/>
    <s v="No"/>
    <s v="No"/>
    <s v="No"/>
    <s v="Yes"/>
    <n v="1"/>
    <n v="2"/>
    <s v="uuid:aa108698-fb7f-4028-b6bd-0a0ceb8a29c6/secG-G2"/>
    <s v="uuid:aa108698-fb7f-4028-b6bd-0a0ceb8a29c6/secG-G5"/>
    <n v="-4.2445392608642578"/>
    <n v="35.887638092041016"/>
    <n v="1231.199951171875"/>
    <n v="5"/>
    <n v="1706031849"/>
    <s v="uuid:aa108698-fb7f-4028-b6bd-0a0ceb8a29c6"/>
    <d v="2017-06-21T19:46:43"/>
    <d v="2017-06-21T16:30:00"/>
    <d v="2017-06-21T16:46:23"/>
    <d v="2017-02-22T00:00:00"/>
    <m/>
    <n v="6.1792562724014344"/>
    <n v="5.8872759856630843"/>
    <n v="5.7438095238095235"/>
    <n v="5.4795238095238101"/>
    <m/>
    <n v="1"/>
    <m/>
    <s v="Plains"/>
    <n v="2.25062417984"/>
    <s v="Gentle"/>
    <s v="Upper slope"/>
    <n v="0.54385989904400001"/>
    <n v="7.9989366531400004"/>
    <n v="395.02965944063055"/>
    <n v="110.79706449321955"/>
    <n v="1.151"/>
    <n v="0.94499999999999995"/>
    <n v="0.20600000000000007"/>
    <n v="5.6116666666666664"/>
    <n v="6.0332661290322598"/>
    <n v="0.42159946236559342"/>
    <n v="482.74285714285713"/>
    <n v="467.65714285714284"/>
    <n v="0"/>
    <n v="950.4"/>
    <n v="63.699999999999996"/>
    <n v="886.69999999999993"/>
  </r>
  <r>
    <s v="Inot Songoyani"/>
    <n v="204"/>
    <s v="Nasoro Ramadhani Abdala"/>
    <s v="Nasoro Ramadhani Abdala"/>
    <s v="TSAMASI"/>
    <s v="Samatsi"/>
    <n v="0"/>
    <s v="Homefield"/>
    <s v="Feed livestock"/>
    <s v="OffField feed"/>
    <n v="0"/>
    <m/>
    <m/>
    <s v=""/>
    <m/>
    <n v="0"/>
    <s v=""/>
    <m/>
    <m/>
    <s v=""/>
    <m/>
    <s v=""/>
    <m/>
    <m/>
    <s v=""/>
    <x v="1"/>
    <s v=""/>
    <n v="0"/>
    <s v=""/>
    <m/>
    <s v=""/>
    <s v=""/>
    <s v="No"/>
    <s v="No"/>
    <s v=""/>
    <n v="0"/>
    <s v=""/>
    <m/>
    <m/>
    <s v=""/>
    <s v=""/>
    <n v="0"/>
    <n v="0"/>
    <s v="00"/>
    <x v="2"/>
    <n v="1"/>
    <s v="Yes"/>
    <n v="3"/>
    <s v="No"/>
    <m/>
    <m/>
    <s v="No"/>
    <s v=""/>
    <m/>
    <n v="3"/>
    <n v="3"/>
    <s v="Yes"/>
    <s v="Yes"/>
    <s v="Yes"/>
    <s v="Yes"/>
    <s v="No"/>
    <s v="No"/>
    <n v="4"/>
    <s v="Both"/>
    <n v="2"/>
    <s v="Both"/>
    <n v="3"/>
    <s v="Both"/>
    <n v="5"/>
    <s v="Both"/>
    <m/>
    <s v=""/>
    <m/>
    <n v="4.7300000000000004"/>
    <s v="Low"/>
    <n v="2"/>
    <n v="2"/>
    <n v="4"/>
    <n v="8"/>
    <n v="0"/>
    <n v="0"/>
    <n v="1"/>
    <s v=""/>
    <n v="45.3"/>
    <s v="Medium"/>
    <n v="50.03"/>
    <s v="No"/>
    <s v=""/>
    <s v="No"/>
    <s v=""/>
    <n v="0.25"/>
    <n v="3"/>
    <m/>
    <s v="No"/>
    <n v="3"/>
    <n v="7"/>
    <s v="Bags"/>
    <n v="0.56000000000000005"/>
    <m/>
    <n v="999"/>
    <s v="Bags"/>
    <m/>
    <n v="3"/>
    <n v="1.5"/>
    <s v="Bags"/>
    <n v="0.12"/>
    <x v="0"/>
    <s v="No"/>
    <s v="No"/>
    <s v="No"/>
    <s v="No"/>
    <n v="0"/>
    <n v="2"/>
    <s v="uuid:b5ea103f-89fc-4ee6-af6e-7c82a8350d25/secG-G2"/>
    <s v="uuid:b5ea103f-89fc-4ee6-af6e-7c82a8350d25/secG-G5"/>
    <n v="-4.2944440841674805"/>
    <n v="35.815750122070313"/>
    <n v="1349.9000244140625"/>
    <n v="5"/>
    <n v="1706031849"/>
    <s v="uuid:b5ea103f-89fc-4ee6-af6e-7c82a8350d25"/>
    <d v="2017-08-01T21:48:18"/>
    <d v="2017-07-22T14:11:35"/>
    <d v="2017-07-22T14:19:22"/>
    <d v="2017-03-02T00:00:00"/>
    <m/>
    <n v="3.3471645919778705"/>
    <n v="3.2076994006454593"/>
    <n v="2.332872291378516"/>
    <n v="3.245735361917935"/>
    <m/>
    <n v="1"/>
    <m/>
    <s v="Open slopes"/>
    <n v="5.9767947197"/>
    <s v="Moderate"/>
    <s v="Upper slope"/>
    <n v="0.63450175523800001"/>
    <n v="9.2250022888200007"/>
    <n v="233.61193895927704"/>
    <n v="228.79774399037726"/>
    <n v="1.155"/>
    <n v="1.119"/>
    <n v="3.6000000000000032E-2"/>
    <n v="2.7893038266482257"/>
    <n v="3.2774319963116652"/>
    <n v="0.48812816966343942"/>
    <n v="197.12"/>
    <n v="81.84"/>
    <n v="0"/>
    <n v="278.96000000000004"/>
    <n v="0"/>
    <n v="278.96000000000004"/>
  </r>
  <r>
    <s v="Michael"/>
    <n v="60"/>
    <s v="Hassangw Noya"/>
    <s v="Hassangw Noya"/>
    <s v="SABILO"/>
    <s v="Sabilo"/>
    <n v="5.000000074505806E-2"/>
    <s v="Midfield"/>
    <s v="Feed livestock"/>
    <s v="OffField feed"/>
    <n v="0"/>
    <m/>
    <m/>
    <s v=""/>
    <m/>
    <n v="0"/>
    <s v=""/>
    <m/>
    <n v="0"/>
    <s v="Fields about 1 km away from my village"/>
    <m/>
    <s v="My 'home field' away from here"/>
    <m/>
    <m/>
    <s v=""/>
    <x v="0"/>
    <s v="Own animals"/>
    <n v="0"/>
    <s v=""/>
    <m/>
    <s v=""/>
    <s v=""/>
    <s v="Yes"/>
    <s v="No"/>
    <m/>
    <n v="0"/>
    <s v=""/>
    <m/>
    <m/>
    <s v=""/>
    <s v=""/>
    <n v="0"/>
    <n v="0"/>
    <s v="00"/>
    <x v="2"/>
    <n v="1"/>
    <s v="Yes"/>
    <n v="0.5"/>
    <s v="Yes"/>
    <n v="1"/>
    <n v="5"/>
    <s v="No"/>
    <s v=""/>
    <m/>
    <n v="5.5"/>
    <n v="5.5"/>
    <s v="Yes"/>
    <s v="Yes"/>
    <s v="Yes"/>
    <s v="Yes"/>
    <s v="No"/>
    <s v="No"/>
    <n v="3"/>
    <s v="Free range"/>
    <n v="12"/>
    <s v="Free range"/>
    <n v="4"/>
    <s v="Free range"/>
    <n v="5"/>
    <s v="Free range"/>
    <m/>
    <s v=""/>
    <m/>
    <n v="4.74"/>
    <s v="Low"/>
    <n v="4"/>
    <n v="3"/>
    <n v="3"/>
    <n v="10"/>
    <n v="0"/>
    <n v="0"/>
    <n v="0"/>
    <m/>
    <n v="82.5"/>
    <s v="High"/>
    <n v="87.24"/>
    <s v="Yes"/>
    <s v="Carte"/>
    <s v="Yes"/>
    <s v="Multiple"/>
    <n v="0.5"/>
    <n v="5"/>
    <n v="0"/>
    <s v="Yes"/>
    <m/>
    <n v="999"/>
    <s v="Bags"/>
    <m/>
    <m/>
    <n v="999"/>
    <s v="Bags"/>
    <m/>
    <m/>
    <n v="999"/>
    <s v="Bags"/>
    <m/>
    <x v="0"/>
    <s v="No"/>
    <s v="No"/>
    <s v="No"/>
    <s v="No"/>
    <n v="0"/>
    <n v="3"/>
    <s v="uuid:94f95e82-b18d-4485-a30b-835bef5a13f9/secG-G2"/>
    <s v="uuid:94f95e82-b18d-4485-a30b-835bef5a13f9/secG-G5"/>
    <n v="-4.3434734344482422"/>
    <n v="35.488506317138672"/>
    <n v="1608.9000244140625"/>
    <n v="15"/>
    <n v="1705231439"/>
    <s v="uuid:94f95e82-b18d-4485-a30b-835bef5a13f9"/>
    <d v="2017-07-07T09:17:20"/>
    <d v="2017-06-07T14:00:03"/>
    <d v="2017-07-07T09:16:54"/>
    <d v="2017-02-12T00:00:00"/>
    <m/>
    <n v="2.9243727598566309"/>
    <n v="3.5163799283154122"/>
    <n v="1.5242361111111113"/>
    <n v="2.562013888888889"/>
    <m/>
    <n v="1"/>
    <m/>
    <s v="Plains"/>
    <n v="2.7825758457199998"/>
    <s v="Gentle"/>
    <s v="Flat"/>
    <n v="-0.362559139729"/>
    <n v="9.3342838287400003"/>
    <m/>
    <m/>
    <m/>
    <m/>
    <m/>
    <n v="2.0431250000000003"/>
    <n v="3.2203763440860218"/>
    <n v="1.1772513440860215"/>
    <n v="0"/>
    <n v="0"/>
    <n v="0"/>
    <n v="0"/>
    <n v="63.699999999999996"/>
    <n v="-63.699999999999996"/>
  </r>
  <r>
    <s v="Inot Songoyani"/>
    <n v="135"/>
    <s v="Wilson Dighay Sunu"/>
    <s v="Wilson Dighay Sunu"/>
    <s v="AYAMANGO"/>
    <s v="Ayamango"/>
    <n v="1"/>
    <s v="outfield"/>
    <s v="Feed livestock"/>
    <s v="OffField feed"/>
    <n v="0"/>
    <m/>
    <m/>
    <s v=""/>
    <m/>
    <n v="0"/>
    <s v=""/>
    <m/>
    <m/>
    <s v=""/>
    <m/>
    <s v=""/>
    <m/>
    <m/>
    <s v=""/>
    <x v="0"/>
    <s v="Own animals"/>
    <n v="0"/>
    <s v=""/>
    <m/>
    <s v=""/>
    <s v=""/>
    <s v="Yes"/>
    <s v="No"/>
    <s v=""/>
    <n v="0"/>
    <s v=""/>
    <m/>
    <m/>
    <s v=""/>
    <s v=""/>
    <n v="0"/>
    <n v="0"/>
    <s v="00"/>
    <x v="2"/>
    <n v="1"/>
    <s v="Yes"/>
    <n v="1"/>
    <s v="Yes"/>
    <n v="1"/>
    <n v="2"/>
    <s v="Yes"/>
    <s v="Rent"/>
    <n v="4"/>
    <n v="3"/>
    <n v="7"/>
    <s v="Yes"/>
    <s v="Yes"/>
    <s v="Yes"/>
    <s v="No"/>
    <s v="No"/>
    <s v="No"/>
    <n v="4"/>
    <s v="Both"/>
    <n v="9"/>
    <s v="Both"/>
    <n v="5"/>
    <s v="Both"/>
    <m/>
    <s v=""/>
    <m/>
    <s v=""/>
    <m/>
    <n v="4.95"/>
    <s v="Low"/>
    <n v="3"/>
    <n v="2"/>
    <n v="1"/>
    <n v="6"/>
    <n v="0"/>
    <n v="1"/>
    <n v="1"/>
    <s v=""/>
    <n v="46.1"/>
    <s v="Medium"/>
    <n v="51.05"/>
    <s v="Yes"/>
    <s v="Karate"/>
    <s v="No"/>
    <s v=""/>
    <n v="0.5"/>
    <n v="1.5"/>
    <m/>
    <s v="Yes"/>
    <n v="2"/>
    <n v="20"/>
    <s v="Bags"/>
    <n v="2.4"/>
    <m/>
    <n v="999"/>
    <s v="Bags"/>
    <m/>
    <n v="2"/>
    <n v="6"/>
    <s v="Bags"/>
    <n v="0.72"/>
    <x v="0"/>
    <s v="No"/>
    <s v="No"/>
    <s v="No"/>
    <s v="No"/>
    <n v="0"/>
    <n v="3"/>
    <s v="uuid:a4432fb4-525c-46c4-a7dd-3e088b50cc73/secG-G2"/>
    <s v="uuid:a4432fb4-525c-46c4-a7dd-3e088b50cc73/secG-G5"/>
    <n v="-4.2432055473327637"/>
    <n v="35.889610290527344"/>
    <n v="1224.300048828125"/>
    <n v="5"/>
    <n v="1706031849"/>
    <s v="uuid:a4432fb4-525c-46c4-a7dd-3e088b50cc73"/>
    <d v="2017-06-21T19:46:42"/>
    <d v="2017-06-21T15:23:15"/>
    <d v="2017-06-21T16:25:35"/>
    <d v="2017-02-03T00:00:00"/>
    <m/>
    <n v="4.0403591470258142"/>
    <n v="5.0470707070707075"/>
    <n v="2.9998268398268397"/>
    <n v="3.214978354978355"/>
    <m/>
    <n v="1"/>
    <m/>
    <s v="Plains"/>
    <n v="3.3183093070999998"/>
    <s v="Gentle"/>
    <s v="Flat"/>
    <n v="0.18129228055499999"/>
    <n v="8.6197080612200008"/>
    <m/>
    <m/>
    <m/>
    <m/>
    <m/>
    <n v="3.1074025974025972"/>
    <n v="4.5437149270482609"/>
    <n v="1.4363123296456637"/>
    <n v="844.8"/>
    <n v="491.03999999999996"/>
    <n v="0"/>
    <n v="1335.84"/>
    <n v="63.699999999999996"/>
    <n v="1272.1399999999999"/>
  </r>
  <r>
    <s v="Inot Songoyani"/>
    <n v="114"/>
    <s v="Martini Marmo Bayo"/>
    <s v="Martini Marmo Bayo"/>
    <s v="SELOTO"/>
    <s v="Seloto"/>
    <n v="3.2000000476837158"/>
    <s v="outfield"/>
    <s v="Feed livestock"/>
    <s v="OffField feed"/>
    <n v="0"/>
    <m/>
    <m/>
    <s v=""/>
    <m/>
    <n v="0"/>
    <s v=""/>
    <m/>
    <m/>
    <s v=""/>
    <m/>
    <s v=""/>
    <m/>
    <m/>
    <s v=""/>
    <x v="0"/>
    <s v="Own animals"/>
    <n v="0"/>
    <s v=""/>
    <m/>
    <s v=""/>
    <s v=""/>
    <s v="No"/>
    <s v="No"/>
    <s v=""/>
    <n v="0"/>
    <s v=""/>
    <m/>
    <m/>
    <s v=""/>
    <s v=""/>
    <n v="0"/>
    <n v="0"/>
    <s v="00"/>
    <x v="2"/>
    <n v="1"/>
    <s v="Yes"/>
    <n v="0.25"/>
    <s v="Yes"/>
    <n v="2"/>
    <n v="2.25"/>
    <s v="No"/>
    <s v=""/>
    <m/>
    <n v="2.5"/>
    <n v="2.5"/>
    <s v="Yes"/>
    <s v="No"/>
    <s v="No"/>
    <s v="No"/>
    <s v="No"/>
    <s v="No"/>
    <n v="5"/>
    <s v="Zero grazing"/>
    <m/>
    <s v=""/>
    <m/>
    <s v=""/>
    <m/>
    <s v=""/>
    <m/>
    <s v=""/>
    <m/>
    <n v="5"/>
    <s v="Low"/>
    <n v="1"/>
    <n v="1"/>
    <n v="0"/>
    <n v="2"/>
    <n v="0"/>
    <n v="1"/>
    <n v="1"/>
    <m/>
    <n v="38.6"/>
    <s v="Medium"/>
    <n v="43.6"/>
    <s v="Yes"/>
    <s v="Karate"/>
    <s v="Yes"/>
    <s v="Casual"/>
    <n v="0.25"/>
    <n v="1"/>
    <n v="0"/>
    <s v="No"/>
    <n v="1.25"/>
    <n v="12"/>
    <s v="Bags"/>
    <n v="2.3040000000000003"/>
    <m/>
    <n v="999"/>
    <s v="Bags"/>
    <m/>
    <n v="1.25"/>
    <n v="0"/>
    <s v="Bags"/>
    <n v="0"/>
    <x v="1"/>
    <s v="Yes"/>
    <s v="Yes"/>
    <s v="Yes"/>
    <s v="Yes"/>
    <n v="5"/>
    <n v="2"/>
    <s v="uuid:f4cbec6a-ca98-4987-a09a-cb5e1f1076a2/secG-G2"/>
    <s v="uuid:f4cbec6a-ca98-4987-a09a-cb5e1f1076a2/secG-G5"/>
    <n v="-4.2613673210144043"/>
    <n v="35.528682708740234"/>
    <n v="1643.199951171875"/>
    <n v="5"/>
    <n v="1706031849"/>
    <s v="uuid:f4cbec6a-ca98-4987-a09a-cb5e1f1076a2"/>
    <d v="2017-06-20T11:58:29"/>
    <d v="2017-06-17T10:56:19"/>
    <d v="2017-06-17T11:31:19"/>
    <d v="2017-02-28T00:00:00"/>
    <m/>
    <n v="3.9885416666666664"/>
    <n v="3.8593888888888888"/>
    <n v="3.5034649122807022"/>
    <n v="3.4338596491228075"/>
    <m/>
    <n v="1"/>
    <m/>
    <s v="Plains"/>
    <n v="2.6422429084800001"/>
    <s v="Gentle"/>
    <s v="Flat"/>
    <n v="0.27193418145199999"/>
    <n v="7.71094655991"/>
    <n v="272.89504776358655"/>
    <n v="348.93723906880854"/>
    <n v="1.524"/>
    <n v="1.371"/>
    <n v="0.15300000000000002"/>
    <n v="3.4686622807017549"/>
    <n v="3.9239652777777776"/>
    <n v="0.45530299707602273"/>
    <n v="811.00800000000004"/>
    <n v="0"/>
    <n v="0"/>
    <n v="811.00800000000004"/>
    <n v="63.699999999999996"/>
    <n v="747.30799999999999"/>
  </r>
  <r>
    <s v="Michael"/>
    <n v="43"/>
    <s v="Peter Moringa"/>
    <s v="Peter Moringa"/>
    <s v="Sangara"/>
    <s v="Samatsi"/>
    <n v="0"/>
    <s v="Homefield"/>
    <s v="Feed livestock"/>
    <s v="InField feed"/>
    <n v="0"/>
    <m/>
    <m/>
    <s v=""/>
    <m/>
    <n v="0"/>
    <s v=""/>
    <m/>
    <s v="Variable"/>
    <s v="Other fields in my home village"/>
    <m/>
    <s v="This field"/>
    <m/>
    <m/>
    <s v=""/>
    <x v="0"/>
    <s v="Own animals"/>
    <n v="0"/>
    <s v=""/>
    <m/>
    <s v=""/>
    <s v=""/>
    <s v="Yes"/>
    <s v="No"/>
    <m/>
    <n v="0"/>
    <s v=""/>
    <m/>
    <m/>
    <s v=""/>
    <s v=""/>
    <n v="0"/>
    <n v="0"/>
    <s v="00"/>
    <x v="2"/>
    <n v="1"/>
    <s v="Yes"/>
    <n v="1"/>
    <s v="No"/>
    <m/>
    <m/>
    <s v="Yes"/>
    <s v="Rent"/>
    <n v="3"/>
    <n v="1"/>
    <n v="4"/>
    <s v="Yes"/>
    <s v="Yes"/>
    <s v="Yes"/>
    <s v="Yes"/>
    <s v="Yes"/>
    <s v="Yes"/>
    <n v="4"/>
    <s v="Free range"/>
    <n v="1"/>
    <s v="Free range"/>
    <n v="10"/>
    <s v="Free range"/>
    <n v="2"/>
    <s v="Free range"/>
    <n v="1"/>
    <s v="Zero grazing"/>
    <n v="1"/>
    <n v="5.0999999999999996"/>
    <s v="Low"/>
    <n v="1"/>
    <n v="1"/>
    <n v="4"/>
    <n v="6"/>
    <n v="0"/>
    <n v="0"/>
    <n v="1"/>
    <m/>
    <n v="15.3"/>
    <s v="Medium"/>
    <n v="20.399999999999999"/>
    <s v="Yes"/>
    <s v="Carte"/>
    <s v="Yes"/>
    <s v="Casual"/>
    <n v="0.25"/>
    <n v="2.5"/>
    <n v="0"/>
    <s v="Yes"/>
    <n v="1"/>
    <n v="10"/>
    <s v="Bags"/>
    <n v="2.4"/>
    <m/>
    <n v="999"/>
    <s v="Bags"/>
    <m/>
    <n v="1"/>
    <n v="2"/>
    <s v="Bags"/>
    <n v="0.48"/>
    <x v="0"/>
    <s v="Yes"/>
    <s v="No"/>
    <s v="Yes"/>
    <s v="No"/>
    <n v="2"/>
    <n v="4"/>
    <s v="uuid:14f2766e-eace-46c1-b46c-5482165aa6b0/secG-G2"/>
    <s v="uuid:14f2766e-eace-46c1-b46c-5482165aa6b0/secG-G5"/>
    <n v="-4.2761783599853516"/>
    <n v="35.630985260009766"/>
    <n v="1423.5"/>
    <n v="15"/>
    <n v="1705231439"/>
    <s v="uuid:14f2766e-eace-46c1-b46c-5482165aa6b0"/>
    <d v="2017-06-22T07:01:29"/>
    <d v="2017-06-14T10:54:47"/>
    <d v="2017-06-22T06:59:06"/>
    <d v="2017-01-03T00:00:00"/>
    <m/>
    <n v="5.6747619047619047"/>
    <n v="4.2176190476190474"/>
    <n v="4.1942386831275726"/>
    <n v="3.8101508916323734"/>
    <m/>
    <n v="1"/>
    <m/>
    <s v="Streams"/>
    <n v="3.6909093856799999"/>
    <s v="Gentle"/>
    <s v="Valley"/>
    <n v="-1.4502619504900001"/>
    <n v="8.9184541702299995"/>
    <m/>
    <m/>
    <m/>
    <m/>
    <m/>
    <n v="4.002194787379973"/>
    <n v="4.946190476190476"/>
    <n v="0.943995688810503"/>
    <n v="844.8"/>
    <n v="327.36"/>
    <n v="0"/>
    <n v="1172.1599999999999"/>
    <n v="63.699999999999996"/>
    <n v="1108.4599999999998"/>
  </r>
  <r>
    <s v="Inot Songoyani"/>
    <n v="207"/>
    <s v="Darabe Wema Tsikho"/>
    <s v="Martini Wema Tsikho"/>
    <s v="TSAMASI"/>
    <s v="Samatsi"/>
    <n v="0"/>
    <s v="Homefield"/>
    <s v="Feed livestock"/>
    <s v="OffField feed"/>
    <n v="0"/>
    <m/>
    <m/>
    <s v=""/>
    <m/>
    <n v="0"/>
    <s v=""/>
    <m/>
    <m/>
    <s v=""/>
    <m/>
    <s v=""/>
    <m/>
    <m/>
    <s v=""/>
    <x v="0"/>
    <s v="Own animals"/>
    <n v="0"/>
    <s v=""/>
    <m/>
    <s v=""/>
    <s v=""/>
    <s v="Yes"/>
    <s v="No"/>
    <s v=""/>
    <n v="0"/>
    <s v=""/>
    <m/>
    <m/>
    <s v=""/>
    <s v=""/>
    <n v="0"/>
    <n v="0"/>
    <s v="00"/>
    <x v="2"/>
    <n v="1"/>
    <s v="Yes"/>
    <n v="1"/>
    <s v="Yes"/>
    <n v="2"/>
    <n v="4.5"/>
    <s v="No"/>
    <s v=""/>
    <m/>
    <n v="5.5"/>
    <n v="5.5"/>
    <s v="Yes"/>
    <s v="Yes"/>
    <s v="Yes"/>
    <s v="Yes"/>
    <s v="No"/>
    <s v="No"/>
    <n v="4"/>
    <s v="Both"/>
    <n v="4"/>
    <s v="Both"/>
    <n v="10"/>
    <s v="Both"/>
    <n v="6"/>
    <s v="Both"/>
    <m/>
    <s v=""/>
    <m/>
    <n v="5.0999999999999996"/>
    <s v="Low"/>
    <n v="2"/>
    <n v="1"/>
    <n v="1"/>
    <n v="4"/>
    <n v="0"/>
    <n v="0"/>
    <n v="1"/>
    <s v=""/>
    <n v="82.8"/>
    <s v="High"/>
    <n v="87.9"/>
    <s v="No"/>
    <s v=""/>
    <s v="Yes"/>
    <s v="Casual"/>
    <n v="0.25"/>
    <n v="0.5"/>
    <m/>
    <s v="No"/>
    <n v="999"/>
    <n v="999"/>
    <s v="Bags"/>
    <m/>
    <n v="0.5"/>
    <n v="3"/>
    <s v="Bags"/>
    <n v="1.44"/>
    <n v="999"/>
    <n v="999"/>
    <s v="Bags"/>
    <m/>
    <x v="0"/>
    <s v="No"/>
    <s v="No"/>
    <s v="Yes"/>
    <s v="No"/>
    <n v="1"/>
    <n v="3"/>
    <s v="uuid:75baff59-52c5-4e3e-b3e3-5d92152e2cf8/secG-G2"/>
    <s v="uuid:75baff59-52c5-4e3e-b3e3-5d92152e2cf8/secG-G5"/>
    <n v="-4.3011412620544434"/>
    <n v="35.795352935791016"/>
    <n v="1368.699951171875"/>
    <n v="5"/>
    <n v="1706031849"/>
    <s v="uuid:75baff59-52c5-4e3e-b3e3-5d92152e2cf8"/>
    <d v="2017-08-01T21:48:22"/>
    <d v="2017-07-24T14:09:38"/>
    <d v="2017-07-24T14:21:15"/>
    <d v="2017-03-08T00:00:00"/>
    <m/>
    <n v="10.211666666666668"/>
    <n v="6.6305555555555555"/>
    <n v="8.9415015015015022"/>
    <n v="6.9640540540540545"/>
    <m/>
    <n v="1"/>
    <m/>
    <s v="Valleys"/>
    <n v="3.7609581947300001"/>
    <s v="Gentle"/>
    <s v="Flat"/>
    <n v="-9.0633422136300004E-2"/>
    <n v="9.4905805587799996"/>
    <n v="113.30630359179413"/>
    <n v="269.55942883693626"/>
    <n v="0.88600000000000001"/>
    <n v="0.98599999999999999"/>
    <n v="-9.9999999999999978E-2"/>
    <n v="7.9527777777777784"/>
    <n v="8.4211111111111112"/>
    <n v="0.46833333333333282"/>
    <n v="0"/>
    <n v="0"/>
    <n v="1144.8"/>
    <n v="1144.8"/>
    <n v="63.699999999999996"/>
    <n v="1081.0999999999999"/>
  </r>
  <r>
    <s v="Inot Songoyani"/>
    <n v="159"/>
    <s v="Hadija Juma Muna"/>
    <s v="Hadija Juma Muna"/>
    <s v="HALLU"/>
    <s v="Hallu"/>
    <n v="0"/>
    <s v="Homefield"/>
    <s v="Feed livestock"/>
    <s v="OffField feed"/>
    <n v="0"/>
    <m/>
    <m/>
    <s v=""/>
    <m/>
    <n v="0"/>
    <s v=""/>
    <m/>
    <m/>
    <s v=""/>
    <m/>
    <s v=""/>
    <m/>
    <m/>
    <s v=""/>
    <x v="0"/>
    <s v="Own animals"/>
    <n v="0"/>
    <s v=""/>
    <m/>
    <s v=""/>
    <s v=""/>
    <s v="No"/>
    <s v="No"/>
    <s v=""/>
    <n v="0"/>
    <s v=""/>
    <m/>
    <m/>
    <s v=""/>
    <s v=""/>
    <n v="0"/>
    <n v="0"/>
    <s v="00"/>
    <x v="2"/>
    <n v="1"/>
    <s v="Yes"/>
    <n v="1.25"/>
    <s v="Yes"/>
    <n v="1"/>
    <n v="2"/>
    <s v="No"/>
    <s v=""/>
    <m/>
    <n v="3.25"/>
    <n v="3.25"/>
    <s v="Yes"/>
    <s v="Yes"/>
    <s v="Yes"/>
    <s v="Yes"/>
    <s v="No"/>
    <s v="No"/>
    <n v="4"/>
    <s v="Both"/>
    <n v="8"/>
    <s v="Both"/>
    <n v="1"/>
    <s v="Zero grazing"/>
    <n v="3"/>
    <s v="Zero grazing"/>
    <m/>
    <s v=""/>
    <m/>
    <n v="5.1099999999999994"/>
    <s v="Low"/>
    <n v="1"/>
    <n v="4"/>
    <n v="1"/>
    <n v="6"/>
    <n v="0"/>
    <n v="0"/>
    <n v="0"/>
    <s v=""/>
    <n v="48.75"/>
    <s v="Medium"/>
    <n v="53.86"/>
    <s v="No"/>
    <s v=""/>
    <s v="Yes"/>
    <s v="Casual"/>
    <n v="0.25"/>
    <n v="0.25"/>
    <m/>
    <s v="Yes"/>
    <n v="0.25"/>
    <n v="3"/>
    <s v="Bags"/>
    <n v="2.8800000000000003"/>
    <m/>
    <n v="999"/>
    <s v="Bags"/>
    <m/>
    <n v="0.25"/>
    <n v="1"/>
    <s v="Bags"/>
    <n v="0.96"/>
    <x v="1"/>
    <s v="Yes"/>
    <s v="Yes"/>
    <s v="Yes"/>
    <s v="Yes"/>
    <n v="5"/>
    <n v="3"/>
    <s v="uuid:d83de532-8b32-41c1-983d-932eeb91e46c/secG-G2"/>
    <s v="uuid:d83de532-8b32-41c1-983d-932eeb91e46c/secG-G5"/>
    <n v="-4.2848515510559082"/>
    <n v="35.895671844482422"/>
    <n v="1215.699951171875"/>
    <n v="5"/>
    <n v="1706031849"/>
    <s v="uuid:d83de532-8b32-41c1-983d-932eeb91e46c"/>
    <d v="2017-07-05T10:22:42"/>
    <d v="2017-06-27T14:05:42"/>
    <d v="2017-06-27T14:23:59"/>
    <d v="2017-02-23T00:00:00"/>
    <m/>
    <m/>
    <m/>
    <m/>
    <m/>
    <m/>
    <n v="1"/>
    <m/>
    <s v="Plains"/>
    <n v="1.5749045610400001"/>
    <s v="Very gentle"/>
    <s v="Flat"/>
    <n v="-0.362559139729"/>
    <n v="9.9196262359599991"/>
    <n v="261.80792280765667"/>
    <n v="332.60712790744435"/>
    <n v="0.98199999999999998"/>
    <n v="1.2250000000000001"/>
    <n v="-0.2430000000000001"/>
    <m/>
    <m/>
    <m/>
    <n v="1013.7600000000001"/>
    <n v="654.72"/>
    <n v="0"/>
    <n v="1668.48"/>
    <n v="63.699999999999996"/>
    <n v="1604.78"/>
  </r>
  <r>
    <s v="Evaline K Kaaya"/>
    <n v="245"/>
    <s v="Joel Joram Maswa"/>
    <s v="Joel Joram Mason"/>
    <s v="ENDANOGA"/>
    <s v="Endanoga"/>
    <n v="0"/>
    <s v="Homefield"/>
    <s v="Feed livestock"/>
    <s v="OffField feed"/>
    <n v="0"/>
    <m/>
    <m/>
    <s v=""/>
    <m/>
    <n v="0"/>
    <s v=""/>
    <m/>
    <m/>
    <s v=""/>
    <m/>
    <s v=""/>
    <m/>
    <m/>
    <s v=""/>
    <x v="0"/>
    <s v="Own animals"/>
    <n v="0"/>
    <s v=""/>
    <m/>
    <s v=""/>
    <s v=""/>
    <s v="Yes"/>
    <s v="No"/>
    <s v=""/>
    <n v="0"/>
    <s v=""/>
    <m/>
    <m/>
    <s v=""/>
    <s v=""/>
    <n v="0"/>
    <n v="0"/>
    <s v="00"/>
    <x v="2"/>
    <n v="1"/>
    <s v="Yes"/>
    <n v="1.75"/>
    <s v="No"/>
    <m/>
    <m/>
    <s v="Yes"/>
    <s v="Rent"/>
    <n v="1"/>
    <n v="1.75"/>
    <n v="2.75"/>
    <s v="Yes"/>
    <s v="Yes"/>
    <s v="Yes"/>
    <s v="No"/>
    <s v="No"/>
    <s v="No"/>
    <n v="5"/>
    <s v="Zero grazing"/>
    <n v="2"/>
    <s v="Zero grazing"/>
    <n v="10"/>
    <s v="Zero grazing"/>
    <m/>
    <s v=""/>
    <m/>
    <s v=""/>
    <m/>
    <n v="5.3"/>
    <s v="Low"/>
    <n v="4"/>
    <n v="3"/>
    <n v="5"/>
    <n v="12"/>
    <n v="0"/>
    <n v="0"/>
    <n v="0"/>
    <s v=""/>
    <n v="26.25"/>
    <s v="Medium"/>
    <n v="31.55"/>
    <s v="Yes"/>
    <s v="Super chrone"/>
    <s v="Yes"/>
    <s v="Casual"/>
    <n v="0.25"/>
    <n v="0"/>
    <n v="2.5"/>
    <s v="No"/>
    <n v="2.75"/>
    <n v="30"/>
    <s v="Bags"/>
    <n v="2.6181818181818182"/>
    <n v="0.25"/>
    <n v="1"/>
    <s v="Bags"/>
    <n v="0.96"/>
    <n v="2.75"/>
    <n v="10"/>
    <s v="Bags"/>
    <n v="0.87272727272727268"/>
    <x v="1"/>
    <s v="Yes"/>
    <s v="Yes"/>
    <s v="Yes"/>
    <s v="Yes"/>
    <n v="5"/>
    <n v="3"/>
    <s v="uuid:b1aaffb9-bbb1-4b9d-81fc-eead41a3c1d4/secG-G2"/>
    <s v="uuid:b1aaffb9-bbb1-4b9d-81fc-eead41a3c1d4/secG-G5"/>
    <n v="-4.265164852142334"/>
    <n v="35.841716766357422"/>
    <n v="1403.0999755859375"/>
    <n v="5"/>
    <n v="1706031849"/>
    <s v="uuid:b1aaffb9-bbb1-4b9d-81fc-eead41a3c1d4"/>
    <d v="2017-08-31T14:11:28"/>
    <d v="2017-06-09T13:30:50"/>
    <d v="2017-08-31T14:07:51"/>
    <d v="2017-02-13T00:00:00"/>
    <m/>
    <n v="5.3602854230377162"/>
    <n v="7.5602956167176352"/>
    <n v="3.2380952380952377"/>
    <n v="2.4126984126984126"/>
    <m/>
    <n v="1"/>
    <m/>
    <s v="Plains"/>
    <n v="3.8559429645500001"/>
    <s v="Gentle"/>
    <s v="Upper slope"/>
    <n v="0.63450175523800001"/>
    <n v="10.945163726800001"/>
    <n v="522.23171518844038"/>
    <n v="466.79589874297653"/>
    <n v="2.1869999999999998"/>
    <n v="1.5609999999999999"/>
    <n v="0.62599999999999989"/>
    <n v="2.8253968253968251"/>
    <n v="6.4602905198776757"/>
    <n v="3.6348936944808505"/>
    <n v="921.6"/>
    <n v="595.19999999999993"/>
    <n v="763.19999999999993"/>
    <n v="2280"/>
    <n v="63.699999999999996"/>
    <n v="2216.3000000000002"/>
  </r>
  <r>
    <s v="Inot Songoyani"/>
    <n v="231"/>
    <s v="Anastazia Bura Dulumbi"/>
    <s v="Anastazia Bura Dulumbi"/>
    <s v="TSAMASI"/>
    <s v="Samatsi"/>
    <n v="1"/>
    <s v="outfield"/>
    <s v="Feed livestock"/>
    <s v="InField feed"/>
    <n v="0"/>
    <m/>
    <m/>
    <s v=""/>
    <m/>
    <n v="0"/>
    <s v=""/>
    <m/>
    <m/>
    <s v=""/>
    <m/>
    <s v=""/>
    <m/>
    <m/>
    <s v=""/>
    <x v="1"/>
    <s v=""/>
    <n v="0"/>
    <s v=""/>
    <m/>
    <s v=""/>
    <s v=""/>
    <s v="No"/>
    <s v="No"/>
    <s v=""/>
    <n v="0"/>
    <s v=""/>
    <m/>
    <m/>
    <s v=""/>
    <s v=""/>
    <n v="0"/>
    <n v="0"/>
    <s v="00"/>
    <x v="2"/>
    <n v="1"/>
    <s v="Yes"/>
    <n v="3"/>
    <s v="Yes"/>
    <n v="1"/>
    <n v="2"/>
    <s v="No"/>
    <s v=""/>
    <m/>
    <n v="5"/>
    <n v="5"/>
    <s v="Yes"/>
    <s v="Yes"/>
    <s v="Yes"/>
    <s v="No"/>
    <s v="No"/>
    <s v="No"/>
    <n v="5"/>
    <s v="Both"/>
    <n v="3"/>
    <s v="Both"/>
    <n v="8"/>
    <s v="Both"/>
    <m/>
    <s v=""/>
    <m/>
    <s v=""/>
    <m/>
    <n v="5.38"/>
    <s v="Low"/>
    <n v="2"/>
    <n v="4"/>
    <n v="4"/>
    <n v="10"/>
    <n v="0"/>
    <n v="0"/>
    <n v="1"/>
    <s v=""/>
    <n v="75.3"/>
    <s v="High"/>
    <n v="80.680000000000007"/>
    <s v="No"/>
    <s v=""/>
    <s v="No"/>
    <s v=""/>
    <n v="1"/>
    <n v="3"/>
    <m/>
    <s v="Yes"/>
    <n v="4"/>
    <n v="32"/>
    <s v="Bags"/>
    <n v="1.92"/>
    <m/>
    <n v="999"/>
    <s v="Bags"/>
    <m/>
    <n v="4"/>
    <n v="7"/>
    <s v="Bags"/>
    <n v="0.42"/>
    <x v="0"/>
    <s v="No"/>
    <s v="No"/>
    <s v="No"/>
    <s v="No"/>
    <n v="0"/>
    <n v="3"/>
    <s v="uuid:96829a32-b185-4f84-8d4f-fca52d55684b/secG-G2"/>
    <s v="uuid:96829a32-b185-4f84-8d4f-fca52d55684b/secG-G5"/>
    <n v="-4.2986207008361816"/>
    <n v="35.798934936523438"/>
    <n v="1397.800048828125"/>
    <n v="5"/>
    <n v="1706031849"/>
    <s v="uuid:96829a32-b185-4f84-8d4f-fca52d55684b"/>
    <d v="2017-08-04T00:20:35"/>
    <d v="2017-07-24T13:00:40"/>
    <d v="2017-08-04T00:00:49"/>
    <d v="2017-02-22T00:00:00"/>
    <m/>
    <n v="3.5928065843621395"/>
    <n v="5.0664855967078184"/>
    <n v="6.9449999999999994"/>
    <n v="5.64"/>
    <m/>
    <s v="FALSEE"/>
    <m/>
    <s v="Valleys"/>
    <n v="1.2062788009600001"/>
    <s v="Very gentle"/>
    <s v="Toeslope"/>
    <n v="-0.725126743317"/>
    <n v="9.6621332168599992"/>
    <n v="538.96329641911655"/>
    <n v="589.15804011114483"/>
    <n v="2.1040000000000001"/>
    <n v="2.2130000000000001"/>
    <n v="-0.10899999999999999"/>
    <n v="6.2924999999999995"/>
    <n v="4.329646090534979"/>
    <n v="-1.9628539094650206"/>
    <n v="675.83999999999992"/>
    <n v="286.44"/>
    <n v="0"/>
    <n v="962.28"/>
    <n v="0"/>
    <n v="962.28"/>
  </r>
  <r>
    <s v="Michael"/>
    <n v="30"/>
    <s v="Martin Dali"/>
    <s v="Martin Dali"/>
    <s v="Sangara"/>
    <s v="Samatsi"/>
    <n v="0"/>
    <s v="Homefield"/>
    <s v="Feed livestock"/>
    <s v="OffField feed"/>
    <n v="0"/>
    <m/>
    <m/>
    <s v=""/>
    <m/>
    <n v="0"/>
    <s v=""/>
    <m/>
    <s v="Variable"/>
    <s v="Other fields in my home village"/>
    <m/>
    <s v="This field"/>
    <m/>
    <m/>
    <s v=""/>
    <x v="0"/>
    <s v="Own animals"/>
    <n v="0"/>
    <s v=""/>
    <m/>
    <s v=""/>
    <s v=""/>
    <s v="Yes"/>
    <s v="No"/>
    <m/>
    <n v="0"/>
    <s v=""/>
    <m/>
    <m/>
    <s v=""/>
    <s v=""/>
    <n v="0"/>
    <n v="0"/>
    <s v="00"/>
    <x v="2"/>
    <n v="1"/>
    <s v="Yes"/>
    <n v="2.75"/>
    <s v="No"/>
    <m/>
    <m/>
    <s v="No"/>
    <s v=""/>
    <m/>
    <n v="2.75"/>
    <n v="2.75"/>
    <s v="Yes"/>
    <s v="Yes"/>
    <s v="Yes"/>
    <s v="No"/>
    <s v="Yes"/>
    <s v="No"/>
    <n v="4"/>
    <s v="Free range"/>
    <n v="8"/>
    <s v="Free range"/>
    <n v="5"/>
    <s v="Free range"/>
    <m/>
    <s v=""/>
    <n v="2"/>
    <s v="Free range"/>
    <m/>
    <n v="5.4499999999999993"/>
    <s v="Low"/>
    <n v="3"/>
    <n v="4"/>
    <n v="1"/>
    <n v="8"/>
    <n v="0"/>
    <n v="0"/>
    <n v="1"/>
    <m/>
    <n v="41.55"/>
    <s v="Medium"/>
    <n v="47"/>
    <s v="No"/>
    <s v=""/>
    <s v="Yes"/>
    <s v="Multiple"/>
    <n v="0.25"/>
    <n v="1.5"/>
    <n v="0"/>
    <s v="Yes"/>
    <n v="1"/>
    <n v="15"/>
    <s v="Bags"/>
    <n v="3.5999999999999996"/>
    <m/>
    <n v="999"/>
    <s v="Bags"/>
    <m/>
    <n v="1"/>
    <n v="1"/>
    <s v="Bags"/>
    <n v="0.24"/>
    <x v="0"/>
    <s v="Yes"/>
    <s v="No"/>
    <s v="No"/>
    <s v="No"/>
    <n v="1"/>
    <n v="4"/>
    <s v="uuid:93835c5c-d290-40df-b503-44749c0c71db/secG-G2"/>
    <s v="uuid:93835c5c-d290-40df-b503-44749c0c71db/secG-G5"/>
    <n v="-4.2771849632263184"/>
    <n v="35.638599395751953"/>
    <n v="1412.4000244140625"/>
    <n v="15"/>
    <n v="1705231439"/>
    <s v="uuid:93835c5c-d290-40df-b503-44749c0c71db"/>
    <d v="2017-06-22T07:01:20"/>
    <d v="2017-06-12T13:46:16"/>
    <d v="2017-06-22T06:55:21"/>
    <d v="2017-01-28T00:00:00"/>
    <m/>
    <n v="6.0900119474313028"/>
    <n v="5.9020071684587814"/>
    <n v="5.2796666666666656"/>
    <n v="4.2378333333333327"/>
    <m/>
    <n v="1"/>
    <m/>
    <s v="Valleys"/>
    <n v="3.4100914001499998"/>
    <s v="Gentle"/>
    <s v="Flat"/>
    <n v="-0.45320102572400001"/>
    <n v="11.5620450974"/>
    <n v="493.95374885860213"/>
    <n v="308.96239085527617"/>
    <n v="1.387"/>
    <n v="1.216"/>
    <n v="0.17100000000000004"/>
    <n v="4.7587499999999991"/>
    <n v="5.9960095579450421"/>
    <n v="1.2372595579450429"/>
    <n v="1267.1999999999998"/>
    <n v="163.68"/>
    <n v="0"/>
    <n v="1430.8799999999999"/>
    <n v="63.699999999999996"/>
    <n v="1367.1799999999998"/>
  </r>
  <r>
    <s v="Inot Songoyani"/>
    <n v="222"/>
    <s v="IDDI SHABANI"/>
    <s v="Iddi Shabani"/>
    <s v="ORNGADIDA"/>
    <s v="Orngadida"/>
    <n v="0"/>
    <s v="Homefield"/>
    <s v="Feed livestock"/>
    <s v="OffField feed"/>
    <n v="0"/>
    <m/>
    <m/>
    <s v=""/>
    <m/>
    <n v="0"/>
    <s v=""/>
    <m/>
    <m/>
    <s v=""/>
    <m/>
    <s v=""/>
    <m/>
    <m/>
    <s v=""/>
    <x v="0"/>
    <s v="Own animals"/>
    <n v="0"/>
    <s v=""/>
    <m/>
    <s v=""/>
    <s v=""/>
    <s v="Yes"/>
    <s v="No"/>
    <s v=""/>
    <n v="0"/>
    <s v=""/>
    <m/>
    <m/>
    <s v=""/>
    <s v=""/>
    <n v="0"/>
    <n v="0"/>
    <s v="00"/>
    <x v="2"/>
    <n v="1"/>
    <s v="Yes"/>
    <n v="1.5"/>
    <s v="Yes"/>
    <n v="2"/>
    <n v="3"/>
    <s v="No"/>
    <s v=""/>
    <m/>
    <n v="4.5"/>
    <n v="4.5"/>
    <s v="Yes"/>
    <s v="Yes"/>
    <s v="Yes"/>
    <s v="No"/>
    <s v="No"/>
    <s v="No"/>
    <n v="5"/>
    <s v="Both"/>
    <n v="3"/>
    <s v="Both"/>
    <n v="18"/>
    <s v="Both"/>
    <m/>
    <s v=""/>
    <m/>
    <s v=""/>
    <m/>
    <n v="5.4799999999999995"/>
    <s v="Low"/>
    <n v="1"/>
    <n v="3"/>
    <n v="3"/>
    <n v="7"/>
    <n v="0"/>
    <n v="0"/>
    <n v="1"/>
    <s v=""/>
    <n v="67.8"/>
    <s v="High"/>
    <n v="73.28"/>
    <s v="Yes"/>
    <s v="Karate"/>
    <s v="Yes"/>
    <s v="Casual"/>
    <n v="0.25"/>
    <n v="0.25"/>
    <m/>
    <s v="Yes"/>
    <n v="0.5"/>
    <n v="9"/>
    <s v="Bags"/>
    <n v="4.32"/>
    <m/>
    <n v="999"/>
    <s v="Bags"/>
    <m/>
    <n v="0.5"/>
    <n v="1"/>
    <s v="Bags"/>
    <n v="0.48"/>
    <x v="0"/>
    <s v="Yes"/>
    <s v="No"/>
    <s v="Yes"/>
    <s v="No"/>
    <n v="2"/>
    <n v="3"/>
    <s v="uuid:9e5a35f2-08da-4fd1-a049-7566232fe1b3/secG-G2"/>
    <s v="uuid:9e5a35f2-08da-4fd1-a049-7566232fe1b3/secG-G5"/>
    <n v="-4.3123254776000977"/>
    <n v="35.874874114990234"/>
    <n v="1228.9000244140625"/>
    <n v="5"/>
    <n v="1706031849"/>
    <s v="uuid:9e5a35f2-08da-4fd1-a049-7566232fe1b3"/>
    <d v="2017-08-03T23:13:27"/>
    <d v="2017-08-02T14:09:51"/>
    <d v="2017-08-03T20:13:43"/>
    <d v="2017-02-21T00:00:00"/>
    <m/>
    <n v="3.8820430107526889"/>
    <n v="5.4381362007168468"/>
    <n v="4.7089285714285714"/>
    <n v="3.1178571428571429"/>
    <m/>
    <n v="1"/>
    <m/>
    <s v="Plains"/>
    <n v="0.10922735929500001"/>
    <s v="Depression"/>
    <s v="Flat"/>
    <n v="0.36257606744799997"/>
    <n v="11.4374370575"/>
    <n v="402.13526203854667"/>
    <n v="417.66021711276636"/>
    <n v="2.1419999999999999"/>
    <n v="1.8759999999999999"/>
    <n v="0.26600000000000001"/>
    <n v="3.9133928571428571"/>
    <n v="4.6600896057347683"/>
    <n v="0.74669674859191115"/>
    <n v="1520.64"/>
    <n v="327.36"/>
    <n v="0"/>
    <n v="1848"/>
    <n v="63.699999999999996"/>
    <n v="1784.3"/>
  </r>
  <r>
    <s v="Inot Songoyani"/>
    <n v="153"/>
    <s v="Dodo Matambo Baghayo"/>
    <s v="Dodo Matambo Baghayo"/>
    <e v="#N/A"/>
    <s v="Hallu"/>
    <n v="0"/>
    <s v="Homefield"/>
    <s v="Feed livestock"/>
    <s v="OffField feed"/>
    <n v="0"/>
    <m/>
    <m/>
    <s v=""/>
    <m/>
    <n v="0"/>
    <s v=""/>
    <m/>
    <m/>
    <s v=""/>
    <m/>
    <s v=""/>
    <m/>
    <m/>
    <s v=""/>
    <x v="0"/>
    <s v="Own animals"/>
    <n v="0"/>
    <s v=""/>
    <m/>
    <s v=""/>
    <s v=""/>
    <s v="No"/>
    <s v="No"/>
    <s v=""/>
    <n v="0"/>
    <s v=""/>
    <m/>
    <m/>
    <s v=""/>
    <s v=""/>
    <n v="0"/>
    <n v="0"/>
    <s v="00"/>
    <x v="2"/>
    <n v="1"/>
    <s v="Yes"/>
    <n v="0.25"/>
    <s v="Yes"/>
    <n v="3"/>
    <n v="19"/>
    <s v="No"/>
    <s v=""/>
    <m/>
    <n v="19.25"/>
    <n v="19.25"/>
    <s v="Yes"/>
    <s v="Yes"/>
    <s v="Yes"/>
    <s v="No"/>
    <s v="No"/>
    <s v="No"/>
    <n v="5"/>
    <s v="Both"/>
    <n v="6"/>
    <s v="Both"/>
    <n v="8"/>
    <s v="Both"/>
    <m/>
    <s v=""/>
    <m/>
    <s v=""/>
    <m/>
    <n v="5.68"/>
    <s v="Low"/>
    <n v="3"/>
    <n v="2"/>
    <n v="4"/>
    <n v="9"/>
    <n v="1"/>
    <n v="0"/>
    <n v="0"/>
    <s v=""/>
    <n v="303.75"/>
    <s v="High"/>
    <n v="309.43"/>
    <s v="No"/>
    <s v=""/>
    <s v="Yes"/>
    <s v="Casual"/>
    <n v="0.25"/>
    <n v="4.75"/>
    <m/>
    <s v="Yes"/>
    <n v="5"/>
    <n v="25"/>
    <s v="Bags"/>
    <n v="1.2"/>
    <m/>
    <n v="999"/>
    <s v="Bags"/>
    <m/>
    <n v="5"/>
    <n v="10"/>
    <s v="Bags"/>
    <n v="0.48"/>
    <x v="0"/>
    <s v="Yes"/>
    <s v="No"/>
    <s v="No"/>
    <s v="No"/>
    <n v="1"/>
    <n v="3"/>
    <s v="uuid:77a639b6-a9c8-400f-8790-a9392b97726e/secG-G2"/>
    <s v="uuid:77a639b6-a9c8-400f-8790-a9392b97726e/secG-G5"/>
    <n v="-4.2844042778015137"/>
    <n v="35.891590118408203"/>
    <n v="1222.199951171875"/>
    <n v="5"/>
    <n v="1706031849"/>
    <s v="uuid:77a639b6-a9c8-400f-8790-a9392b97726e"/>
    <d v="2017-06-27T15:19:39"/>
    <d v="2017-06-27T15:02:18"/>
    <d v="2017-06-27T15:14:04"/>
    <d v="2017-02-08T00:00:00"/>
    <m/>
    <m/>
    <m/>
    <m/>
    <m/>
    <m/>
    <n v="1"/>
    <m/>
    <s v="Plains"/>
    <n v="0.93315756320999999"/>
    <s v="Very gentle"/>
    <s v="Flat"/>
    <n v="0.27193418145199999"/>
    <n v="9.0723009109500001"/>
    <m/>
    <m/>
    <m/>
    <m/>
    <m/>
    <m/>
    <m/>
    <m/>
    <n v="422.4"/>
    <n v="327.36"/>
    <n v="0"/>
    <n v="749.76"/>
    <n v="63.699999999999996"/>
    <n v="686.06"/>
  </r>
  <r>
    <s v="Inot Songoyani"/>
    <n v="172"/>
    <s v="Marium Iddi Kijuu"/>
    <s v="Marium Iddi Kijuu"/>
    <s v="DURU"/>
    <s v="Duru"/>
    <n v="0"/>
    <s v="Homefield"/>
    <s v="Feed livestock"/>
    <s v="OffField feed"/>
    <n v="0"/>
    <m/>
    <m/>
    <s v=""/>
    <m/>
    <n v="0"/>
    <s v=""/>
    <m/>
    <m/>
    <s v=""/>
    <m/>
    <s v=""/>
    <m/>
    <m/>
    <s v=""/>
    <x v="0"/>
    <s v="Own animals"/>
    <n v="0"/>
    <s v=""/>
    <m/>
    <s v=""/>
    <s v=""/>
    <s v="No"/>
    <s v="No"/>
    <s v=""/>
    <n v="0"/>
    <s v=""/>
    <m/>
    <m/>
    <s v=""/>
    <s v=""/>
    <n v="0"/>
    <n v="0"/>
    <s v="00"/>
    <x v="2"/>
    <n v="1"/>
    <s v="Yes"/>
    <n v="3.75"/>
    <s v="Yes"/>
    <n v="2"/>
    <n v="4"/>
    <s v="No"/>
    <s v=""/>
    <m/>
    <n v="7.75"/>
    <n v="7.75"/>
    <s v="Yes"/>
    <s v="No"/>
    <s v="Yes"/>
    <s v="No"/>
    <s v="No"/>
    <s v="No"/>
    <n v="6"/>
    <s v="Both"/>
    <m/>
    <s v=""/>
    <n v="3"/>
    <s v="Both"/>
    <m/>
    <s v=""/>
    <m/>
    <s v=""/>
    <m/>
    <n v="6.03"/>
    <s v="Low"/>
    <n v="1"/>
    <n v="1"/>
    <n v="8"/>
    <n v="10"/>
    <n v="0"/>
    <n v="0"/>
    <n v="0"/>
    <s v=""/>
    <n v="116.25"/>
    <s v="High"/>
    <n v="122.28"/>
    <s v="No"/>
    <s v=""/>
    <s v="Yes"/>
    <s v="Casual"/>
    <n v="0.25"/>
    <n v="2.75"/>
    <m/>
    <s v="No"/>
    <n v="3.5"/>
    <n v="35"/>
    <s v="Bags"/>
    <n v="2.4"/>
    <m/>
    <n v="999"/>
    <s v="Bags"/>
    <m/>
    <n v="3.5"/>
    <n v="2"/>
    <s v="Bags"/>
    <n v="0.13714285714285715"/>
    <x v="0"/>
    <s v="Yes"/>
    <s v="No"/>
    <s v="Yes"/>
    <s v="No"/>
    <n v="2"/>
    <n v="4"/>
    <s v="uuid:5d29b38c-7003-4427-b8ff-f6af61336884/secG-G2"/>
    <s v="uuid:5d29b38c-7003-4427-b8ff-f6af61336884/secG-G5"/>
    <n v="-4.3725309371948242"/>
    <n v="35.595748901367188"/>
    <n v="1536.5999755859375"/>
    <n v="5"/>
    <n v="1706031849"/>
    <s v="uuid:5d29b38c-7003-4427-b8ff-f6af61336884"/>
    <d v="2017-07-05T10:23:06"/>
    <d v="2017-07-04T11:11:04"/>
    <d v="2017-07-04T13:17:58"/>
    <d v="2017-01-26T00:00:00"/>
    <m/>
    <n v="4.5354878048780485"/>
    <n v="3.4836585365853656"/>
    <n v="3.2498974358974357"/>
    <n v="1.6292136752136752"/>
    <m/>
    <n v="1"/>
    <m/>
    <s v="Plains"/>
    <n v="1.85621762276"/>
    <s v="Very gentle"/>
    <s v="Toeslope"/>
    <n v="-0.54384291171999999"/>
    <n v="12.278872489899999"/>
    <n v="157.25029749836568"/>
    <n v="54.88122197839354"/>
    <n v="0.75600000000000001"/>
    <n v="0.624"/>
    <n v="0.13200000000000001"/>
    <n v="2.4395555555555557"/>
    <n v="4.0095731707317075"/>
    <n v="1.5700176151761518"/>
    <n v="844.8"/>
    <n v="93.531428571428577"/>
    <n v="0"/>
    <n v="938.33142857142855"/>
    <n v="63.699999999999996"/>
    <n v="874.6314285714285"/>
  </r>
  <r>
    <s v="Inot Songoyani"/>
    <n v="171"/>
    <s v="Omari Dawi Muhale"/>
    <s v="Omari Dawi Muhale"/>
    <s v="DURU"/>
    <s v="Duru"/>
    <n v="0"/>
    <s v="Homefield"/>
    <s v="Feed livestock"/>
    <s v="OffField feed"/>
    <n v="0"/>
    <m/>
    <m/>
    <s v=""/>
    <m/>
    <n v="0"/>
    <s v=""/>
    <m/>
    <m/>
    <s v=""/>
    <m/>
    <s v=""/>
    <m/>
    <m/>
    <s v=""/>
    <x v="0"/>
    <s v="Own animals"/>
    <n v="0"/>
    <s v=""/>
    <m/>
    <s v=""/>
    <s v=""/>
    <s v="No"/>
    <s v="No"/>
    <s v=""/>
    <n v="0"/>
    <s v=""/>
    <m/>
    <m/>
    <s v=""/>
    <s v=""/>
    <n v="0"/>
    <n v="0"/>
    <s v="00"/>
    <x v="2"/>
    <n v="1"/>
    <s v="Yes"/>
    <n v="3.75"/>
    <s v="Yes"/>
    <n v="2"/>
    <n v="4"/>
    <s v="No"/>
    <s v=""/>
    <m/>
    <n v="7.75"/>
    <n v="7.75"/>
    <s v="Yes"/>
    <s v="No"/>
    <s v="Yes"/>
    <s v="No"/>
    <s v="No"/>
    <s v="No"/>
    <n v="6"/>
    <s v="Both"/>
    <m/>
    <s v=""/>
    <n v="3"/>
    <s v="Both"/>
    <m/>
    <s v=""/>
    <m/>
    <s v=""/>
    <m/>
    <n v="6.03"/>
    <s v="Low"/>
    <n v="1"/>
    <n v="1"/>
    <n v="8"/>
    <n v="10"/>
    <n v="0"/>
    <n v="0"/>
    <n v="1"/>
    <s v=""/>
    <n v="116.55"/>
    <s v="High"/>
    <n v="122.58"/>
    <s v="No"/>
    <s v=""/>
    <s v="Yes"/>
    <s v="Casual"/>
    <n v="0.25"/>
    <n v="3.25"/>
    <m/>
    <s v="No"/>
    <n v="3.5"/>
    <n v="30"/>
    <s v="Bags"/>
    <n v="2.0571428571428569"/>
    <m/>
    <n v="999"/>
    <s v="Bags"/>
    <m/>
    <n v="3.5"/>
    <n v="6"/>
    <s v="Bags"/>
    <n v="0.41142857142857142"/>
    <x v="0"/>
    <s v="Yes"/>
    <s v="No"/>
    <s v="Yes"/>
    <s v="No"/>
    <n v="2"/>
    <n v="4"/>
    <s v="uuid:2268da95-1019-4108-8a24-40a4b85258d8/secG-G2"/>
    <s v="uuid:2268da95-1019-4108-8a24-40a4b85258d8/secG-G5"/>
    <n v="-4.3727331161499023"/>
    <n v="35.595802307128906"/>
    <n v="1517.9000244140625"/>
    <n v="5"/>
    <n v="1706031849"/>
    <s v="uuid:2268da95-1019-4108-8a24-40a4b85258d8"/>
    <d v="2017-07-05T10:23:04"/>
    <d v="2017-07-04T10:36:13"/>
    <d v="2017-07-04T11:10:56"/>
    <d v="2017-01-26T00:00:00"/>
    <m/>
    <n v="2.3739898989898993"/>
    <n v="2.9954166666666668"/>
    <n v="1.5058479532163744"/>
    <n v="2.7558479532163749"/>
    <m/>
    <n v="1"/>
    <m/>
    <s v="Plains"/>
    <n v="1.85621762276"/>
    <s v="Very gentle"/>
    <s v="Toeslope"/>
    <n v="-0.54384291171999999"/>
    <n v="12.278872489899999"/>
    <n v="224.66245065830302"/>
    <m/>
    <n v="0.81"/>
    <m/>
    <m/>
    <n v="2.1308479532163744"/>
    <n v="2.6847032828282833"/>
    <n v="0.55385532961190886"/>
    <n v="724.11428571428564"/>
    <n v="280.59428571428572"/>
    <n v="0"/>
    <n v="1004.7085714285713"/>
    <n v="63.699999999999996"/>
    <n v="941.00857142857126"/>
  </r>
  <r>
    <s v="Michael"/>
    <n v="49"/>
    <s v="Michael Mefurda"/>
    <s v="Michael Mefurda"/>
    <s v="MANDI"/>
    <s v="Samatsi"/>
    <n v="1"/>
    <s v="outfield"/>
    <s v="Feed livestock"/>
    <s v="OffField feed"/>
    <n v="0"/>
    <m/>
    <m/>
    <s v=""/>
    <m/>
    <n v="0"/>
    <s v=""/>
    <m/>
    <s v="Variable"/>
    <s v="Other fields in my home village"/>
    <m/>
    <s v="This field"/>
    <m/>
    <m/>
    <s v=""/>
    <x v="0"/>
    <s v="Own animals"/>
    <n v="0"/>
    <s v=""/>
    <m/>
    <s v=""/>
    <s v=""/>
    <s v="Yes"/>
    <s v="No"/>
    <m/>
    <n v="0"/>
    <s v=""/>
    <m/>
    <m/>
    <s v=""/>
    <s v=""/>
    <n v="0"/>
    <n v="0"/>
    <s v="00"/>
    <x v="2"/>
    <n v="1"/>
    <s v="Yes"/>
    <n v="0.5"/>
    <s v="Yes"/>
    <n v="3"/>
    <n v="3"/>
    <s v="No"/>
    <s v=""/>
    <m/>
    <n v="3.5"/>
    <n v="3.5"/>
    <s v="Yes"/>
    <s v="Yes"/>
    <s v="Yes"/>
    <s v="Yes"/>
    <s v="Yes"/>
    <s v="No"/>
    <n v="5"/>
    <s v="Free range"/>
    <n v="5"/>
    <s v="Free range"/>
    <n v="5"/>
    <s v="Free range"/>
    <n v="2"/>
    <s v="Free range"/>
    <n v="1"/>
    <s v="Free range"/>
    <m/>
    <n v="6.05"/>
    <s v="Low"/>
    <n v="1"/>
    <n v="1"/>
    <n v="3"/>
    <n v="5"/>
    <n v="0"/>
    <n v="0"/>
    <n v="1"/>
    <m/>
    <n v="52.8"/>
    <s v="Medium"/>
    <n v="58.85"/>
    <s v="Yes"/>
    <s v="Carte,"/>
    <s v="No"/>
    <s v=""/>
    <n v="0.25"/>
    <n v="2.75"/>
    <n v="0"/>
    <s v="Yes"/>
    <n v="1"/>
    <n v="8"/>
    <s v="Bags"/>
    <n v="1.92"/>
    <n v="1"/>
    <n v="1"/>
    <s v="Bags"/>
    <n v="0.24"/>
    <m/>
    <n v="999"/>
    <s v="Bags"/>
    <m/>
    <x v="0"/>
    <s v="Yes"/>
    <s v="No"/>
    <s v="No"/>
    <s v="Yes"/>
    <n v="2"/>
    <n v="2"/>
    <s v="uuid:2825707c-b60e-49ea-a044-b520b50f67da/secG-G2"/>
    <s v="uuid:2825707c-b60e-49ea-a044-b520b50f67da/secG-G5"/>
    <n v="-4.3409576416015625"/>
    <n v="35.425041198730469"/>
    <n v="1617.699951171875"/>
    <n v="5"/>
    <n v="1705231439"/>
    <s v="uuid:2825707c-b60e-49ea-a044-b520b50f67da"/>
    <d v="2017-07-07T09:09:39"/>
    <d v="2017-06-21T15:49:06"/>
    <d v="2017-07-07T09:06:50"/>
    <d v="2017-02-03T00:00:00"/>
    <m/>
    <n v="1.5526851851851851"/>
    <n v="0.79527777777777786"/>
    <n v="0.67272727272727262"/>
    <n v="2.0555555555555554"/>
    <m/>
    <s v="FALSEE"/>
    <m/>
    <s v="Plains"/>
    <n v="4.1733207702600001"/>
    <s v="Gentle"/>
    <s v="Flat"/>
    <n v="-0.27191722393000001"/>
    <n v="9.3243646621699998"/>
    <m/>
    <n v="339.84101699812226"/>
    <m/>
    <n v="1.33"/>
    <m/>
    <n v="1.3641414141414141"/>
    <n v="1.1739814814814815"/>
    <n v="-0.19015993265993258"/>
    <n v="675.83999999999992"/>
    <n v="0"/>
    <n v="190.79999999999998"/>
    <n v="866.63999999999987"/>
    <n v="63.699999999999996"/>
    <n v="802.93999999999983"/>
  </r>
  <r>
    <s v="Inot Songoyani"/>
    <n v="206"/>
    <s v="Andrea Gwambo Merry"/>
    <s v="Andrea Gwambo Merry"/>
    <s v="TSAMASI"/>
    <s v="Samatsi"/>
    <n v="0"/>
    <s v="Homefield"/>
    <s v="Feed livestock"/>
    <s v="OffField feed"/>
    <n v="0"/>
    <m/>
    <m/>
    <s v=""/>
    <m/>
    <n v="0"/>
    <s v=""/>
    <m/>
    <m/>
    <s v=""/>
    <m/>
    <s v=""/>
    <m/>
    <m/>
    <s v=""/>
    <x v="0"/>
    <s v="Own animals"/>
    <n v="0"/>
    <s v=""/>
    <m/>
    <s v=""/>
    <s v=""/>
    <s v="Yes"/>
    <s v="No"/>
    <s v=""/>
    <n v="0"/>
    <s v=""/>
    <m/>
    <m/>
    <s v=""/>
    <s v=""/>
    <n v="0"/>
    <n v="0"/>
    <s v="00"/>
    <x v="2"/>
    <n v="1"/>
    <s v="Yes"/>
    <n v="2"/>
    <s v="Yes"/>
    <n v="2"/>
    <n v="2"/>
    <s v="No"/>
    <s v=""/>
    <m/>
    <n v="4"/>
    <n v="4"/>
    <s v="Yes"/>
    <s v="Yes"/>
    <s v="Yes"/>
    <s v="Yes"/>
    <s v="No"/>
    <s v="No"/>
    <n v="6"/>
    <s v="Both"/>
    <n v="4"/>
    <s v="Both"/>
    <n v="3"/>
    <s v="Both"/>
    <n v="1"/>
    <s v="Both"/>
    <m/>
    <s v=""/>
    <m/>
    <n v="6.53"/>
    <s v="Medium"/>
    <n v="5"/>
    <n v="4"/>
    <n v="1"/>
    <n v="10"/>
    <n v="0"/>
    <n v="0"/>
    <n v="1"/>
    <s v=""/>
    <n v="60.3"/>
    <s v="High"/>
    <n v="66.83"/>
    <s v="No"/>
    <s v=""/>
    <s v="Yes"/>
    <s v="Casual"/>
    <n v="1"/>
    <m/>
    <m/>
    <s v="No"/>
    <n v="1"/>
    <n v="5"/>
    <s v="Bags"/>
    <n v="1.2"/>
    <m/>
    <n v="999"/>
    <s v="Bags"/>
    <m/>
    <n v="1"/>
    <n v="1"/>
    <s v="Bags"/>
    <n v="0.24"/>
    <x v="0"/>
    <s v="No"/>
    <s v="No"/>
    <s v="No"/>
    <s v="No"/>
    <n v="0"/>
    <n v="3"/>
    <s v="uuid:7d568ac4-fe14-4163-8fec-f29bc35094aa/secG-G2"/>
    <s v="uuid:7d568ac4-fe14-4163-8fec-f29bc35094aa/secG-G5"/>
    <n v="-4.2992243766784668"/>
    <n v="35.799945831298828"/>
    <n v="1384.199951171875"/>
    <n v="5"/>
    <n v="1706031849"/>
    <s v="uuid:7d568ac4-fe14-4163-8fec-f29bc35094aa"/>
    <d v="2017-08-01T21:48:21"/>
    <d v="2017-07-24T13:33:00"/>
    <d v="2017-07-24T13:48:50"/>
    <d v="2017-02-25T00:00:00"/>
    <m/>
    <n v="6.8713333333333324"/>
    <n v="6.5339999999999998"/>
    <n v="4.1790579710144922"/>
    <n v="3.600869565217391"/>
    <m/>
    <n v="1"/>
    <m/>
    <s v="Valleys"/>
    <n v="6.0023140907299997"/>
    <s v="Moderate"/>
    <s v="Toeslope"/>
    <n v="-0.81576859951000003"/>
    <n v="9.39083576202"/>
    <n v="466.45977775285326"/>
    <n v="513.86592457310235"/>
    <n v="1.8160000000000001"/>
    <n v="2.2240000000000002"/>
    <n v="-0.40800000000000014"/>
    <n v="3.8899637681159414"/>
    <n v="6.7026666666666657"/>
    <n v="2.8127028985507243"/>
    <n v="422.4"/>
    <n v="163.68"/>
    <n v="0"/>
    <n v="586.07999999999993"/>
    <n v="63.699999999999996"/>
    <n v="522.37999999999988"/>
  </r>
  <r>
    <s v="Inot Songoyani"/>
    <n v="158"/>
    <s v="Magreti Sun Kaduwe"/>
    <s v="Magreti Suni Qwadue"/>
    <s v="HALLU"/>
    <s v="Hallu"/>
    <n v="0"/>
    <s v="Homefield"/>
    <s v="Feed livestock"/>
    <s v="InField feed"/>
    <n v="0"/>
    <m/>
    <m/>
    <s v=""/>
    <m/>
    <n v="0"/>
    <s v=""/>
    <m/>
    <m/>
    <s v=""/>
    <m/>
    <s v=""/>
    <m/>
    <m/>
    <s v=""/>
    <x v="0"/>
    <s v="Own animals"/>
    <n v="0"/>
    <s v=""/>
    <m/>
    <s v=""/>
    <s v=""/>
    <s v="No"/>
    <s v="No"/>
    <s v=""/>
    <n v="0"/>
    <s v=""/>
    <m/>
    <m/>
    <s v=""/>
    <s v=""/>
    <n v="0"/>
    <n v="0"/>
    <s v="00"/>
    <x v="2"/>
    <n v="1"/>
    <s v="Yes"/>
    <n v="1"/>
    <s v="Yes"/>
    <n v="1"/>
    <n v="10"/>
    <s v="No"/>
    <s v=""/>
    <m/>
    <n v="11"/>
    <n v="11"/>
    <s v="Yes"/>
    <s v="Yes"/>
    <s v="Yes"/>
    <s v="Yes"/>
    <s v="No"/>
    <s v="No"/>
    <n v="5"/>
    <s v="Both"/>
    <n v="7"/>
    <s v="Both"/>
    <n v="8"/>
    <s v="Both"/>
    <n v="8"/>
    <s v="Both"/>
    <m/>
    <s v=""/>
    <m/>
    <n v="6.58"/>
    <s v="Medium"/>
    <n v="1"/>
    <n v="1"/>
    <n v="4"/>
    <n v="6"/>
    <n v="0"/>
    <n v="1"/>
    <n v="1"/>
    <s v=""/>
    <n v="166.1"/>
    <s v="High"/>
    <n v="172.68"/>
    <s v="No"/>
    <s v=""/>
    <s v="Yes"/>
    <s v="Casual"/>
    <n v="0.25"/>
    <n v="0.5"/>
    <m/>
    <s v="Yes"/>
    <n v="0.75"/>
    <n v="5"/>
    <s v="Bags"/>
    <n v="1.5999999999999999"/>
    <m/>
    <n v="999"/>
    <s v="Bags"/>
    <m/>
    <n v="0.75"/>
    <n v="1"/>
    <s v="Bags"/>
    <n v="0.32"/>
    <x v="0"/>
    <s v="No"/>
    <s v="No"/>
    <s v="No"/>
    <s v="No"/>
    <n v="0"/>
    <n v="3"/>
    <s v="uuid:617ac930-2fe1-4264-8ad0-cd3279921e70/secG-G2"/>
    <s v="uuid:617ac930-2fe1-4264-8ad0-cd3279921e70/secG-G5"/>
    <n v="-4.2881665229797363"/>
    <n v="35.896720886230469"/>
    <n v="1215.4000244140625"/>
    <n v="5"/>
    <n v="1706031849"/>
    <s v="uuid:617ac930-2fe1-4264-8ad0-cd3279921e70"/>
    <d v="2017-07-05T10:22:40"/>
    <d v="2017-06-27T13:20:00"/>
    <d v="2017-06-27T13:38:57"/>
    <d v="2017-02-23T00:00:00"/>
    <m/>
    <n v="6.9337448559670776"/>
    <n v="10.883950617283949"/>
    <n v="4.9519354838709679"/>
    <n v="4.7983870967741939"/>
    <m/>
    <n v="1"/>
    <m/>
    <s v="Plains"/>
    <n v="1.9347803592699999"/>
    <s v="Very gentle"/>
    <s v="Flat"/>
    <n v="0.36257606744799997"/>
    <n v="8.62525939941"/>
    <n v="322.84703885621667"/>
    <n v="318.66414354854766"/>
    <n v="1.464"/>
    <n v="1.71"/>
    <n v="-0.246"/>
    <n v="4.8751612903225805"/>
    <n v="8.9088477366255141"/>
    <n v="4.0336864463029336"/>
    <n v="563.19999999999993"/>
    <n v="218.24"/>
    <n v="0"/>
    <n v="781.43999999999994"/>
    <n v="63.699999999999996"/>
    <n v="717.7399999999999"/>
  </r>
  <r>
    <s v="Michael"/>
    <n v="27"/>
    <s v="Andrea Istory"/>
    <s v="Andrea Istory"/>
    <e v="#N/A"/>
    <s v="Sabilo"/>
    <n v="0"/>
    <s v="Homefield"/>
    <s v="Feed livestock"/>
    <s v="OffField feed"/>
    <n v="0"/>
    <m/>
    <m/>
    <s v=""/>
    <m/>
    <n v="0"/>
    <s v=""/>
    <m/>
    <s v="Variable"/>
    <s v="Other fields in my home village"/>
    <m/>
    <s v="This field"/>
    <m/>
    <m/>
    <s v=""/>
    <x v="0"/>
    <s v="Own animals"/>
    <n v="0"/>
    <s v=""/>
    <m/>
    <s v=""/>
    <s v=""/>
    <s v="Yes"/>
    <s v="No"/>
    <m/>
    <n v="0"/>
    <s v=""/>
    <m/>
    <m/>
    <s v=""/>
    <s v=""/>
    <n v="0"/>
    <n v="0"/>
    <s v="00"/>
    <x v="2"/>
    <n v="1"/>
    <s v="Yes"/>
    <n v="1"/>
    <s v="Yes"/>
    <n v="1"/>
    <n v="2"/>
    <s v="No"/>
    <s v=""/>
    <m/>
    <n v="3"/>
    <n v="3"/>
    <s v="Yes"/>
    <s v="Yes"/>
    <s v="Yes"/>
    <s v="Yes"/>
    <s v="No"/>
    <s v="Yes"/>
    <n v="6"/>
    <s v="Free range"/>
    <n v="4"/>
    <s v="Free range"/>
    <n v="4"/>
    <s v="Free range"/>
    <n v="8"/>
    <s v="Free range"/>
    <m/>
    <s v=""/>
    <n v="1"/>
    <n v="7.6400000000000006"/>
    <s v="Medium"/>
    <n v="4"/>
    <n v="2"/>
    <n v="2"/>
    <n v="8"/>
    <n v="0"/>
    <n v="0"/>
    <n v="1"/>
    <m/>
    <n v="45.3"/>
    <s v="Medium"/>
    <n v="52.94"/>
    <s v="Yes"/>
    <s v="Carte"/>
    <s v="Yes"/>
    <s v="Tractor"/>
    <n v="0.25"/>
    <n v="2.75"/>
    <n v="0"/>
    <s v="No"/>
    <n v="1"/>
    <n v="0.5"/>
    <s v="Bags"/>
    <n v="0.12"/>
    <n v="1"/>
    <n v="0.10000000149011612"/>
    <s v="Bags"/>
    <n v="2.4000000357627869E-2"/>
    <n v="1"/>
    <n v="0"/>
    <s v="Bags"/>
    <n v="0"/>
    <x v="1"/>
    <s v="Yes"/>
    <s v="No"/>
    <s v="Yes"/>
    <s v="No"/>
    <n v="3"/>
    <n v="3"/>
    <s v="uuid:33432f6c-20a0-4ef7-b0bb-72b98e6a9dcf/secG-G2"/>
    <s v="uuid:33432f6c-20a0-4ef7-b0bb-72b98e6a9dcf/secG-G5"/>
    <n v="-4.3597235679626465"/>
    <n v="35.488140106201172"/>
    <n v="1706.800048828125"/>
    <n v="15"/>
    <n v="1705231439"/>
    <s v="uuid:33432f6c-20a0-4ef7-b0bb-72b98e6a9dcf"/>
    <d v="2017-06-22T07:01:18"/>
    <d v="2017-06-09T13:39:30"/>
    <d v="2017-06-22T06:55:32"/>
    <d v="2017-03-02T00:00:00"/>
    <m/>
    <m/>
    <m/>
    <m/>
    <m/>
    <m/>
    <n v="1"/>
    <m/>
    <s v="Plains"/>
    <n v="2.6377365589099999"/>
    <s v="Gentle"/>
    <s v="Flat"/>
    <n v="0.27193418145199999"/>
    <n v="8.3488903045700003"/>
    <m/>
    <m/>
    <m/>
    <m/>
    <m/>
    <m/>
    <m/>
    <m/>
    <n v="42.239999999999995"/>
    <n v="0"/>
    <n v="19.080000284314156"/>
    <n v="61.320000284314148"/>
    <n v="63.699999999999996"/>
    <n v="-2.3799997156858481"/>
  </r>
  <r>
    <s v="Inot Songoyani"/>
    <n v="183"/>
    <s v="Hamudu Omary Jungu"/>
    <s v="Hamudu Omary Jungu"/>
    <s v="DURU"/>
    <s v="Duru"/>
    <n v="0"/>
    <s v="Homefield"/>
    <s v="Feed livestock"/>
    <s v="OffField feed"/>
    <n v="0"/>
    <m/>
    <m/>
    <s v=""/>
    <m/>
    <n v="0"/>
    <s v=""/>
    <m/>
    <m/>
    <s v=""/>
    <m/>
    <s v=""/>
    <m/>
    <m/>
    <s v=""/>
    <x v="0"/>
    <s v="Own animals"/>
    <n v="0"/>
    <s v=""/>
    <m/>
    <s v=""/>
    <s v=""/>
    <s v="No"/>
    <s v="No"/>
    <s v=""/>
    <n v="0"/>
    <s v=""/>
    <m/>
    <m/>
    <s v=""/>
    <s v=""/>
    <n v="0"/>
    <n v="0"/>
    <s v="00"/>
    <x v="2"/>
    <n v="1"/>
    <s v="Yes"/>
    <n v="4"/>
    <s v="Yes"/>
    <n v="1"/>
    <n v="3"/>
    <s v="Yes"/>
    <s v="Rent"/>
    <n v="2"/>
    <n v="7"/>
    <n v="9"/>
    <s v="Yes"/>
    <s v="Yes"/>
    <s v="Yes"/>
    <s v="No"/>
    <s v="No"/>
    <s v="No"/>
    <n v="7"/>
    <s v="Both"/>
    <n v="8"/>
    <s v="Both"/>
    <n v="1"/>
    <s v="Both"/>
    <m/>
    <s v=""/>
    <m/>
    <s v=""/>
    <m/>
    <n v="7.81"/>
    <s v="Medium"/>
    <n v="2"/>
    <n v="3"/>
    <n v="0"/>
    <n v="5"/>
    <n v="0"/>
    <n v="0"/>
    <n v="1"/>
    <s v=""/>
    <n v="105.3"/>
    <s v="High"/>
    <n v="113.11"/>
    <s v="No"/>
    <s v=""/>
    <s v="Yes"/>
    <s v="Casual"/>
    <n v="0.25"/>
    <n v="0.25"/>
    <n v="0.75"/>
    <s v="Yes"/>
    <n v="1"/>
    <n v="7"/>
    <s v="Bags"/>
    <n v="1.6800000000000002"/>
    <m/>
    <n v="999"/>
    <s v="Bags"/>
    <m/>
    <n v="1"/>
    <n v="7"/>
    <s v="Bags"/>
    <n v="1.68"/>
    <x v="1"/>
    <s v="No"/>
    <s v="No"/>
    <s v="No"/>
    <s v="No"/>
    <n v="1"/>
    <n v="2"/>
    <s v="uuid:3ae12d41-a51a-427c-8909-2caef3f1657e/secG-G2"/>
    <s v="uuid:3ae12d41-a51a-427c-8909-2caef3f1657e/secG-G5"/>
    <n v="-4.3584175109863281"/>
    <n v="35.589954376220703"/>
    <n v="1514.5999755859375"/>
    <n v="5"/>
    <n v="1706031849"/>
    <s v="uuid:3ae12d41-a51a-427c-8909-2caef3f1657e"/>
    <d v="2017-07-10T13:49:22"/>
    <d v="2017-07-05T14:26:27"/>
    <d v="2017-07-05T14:55:44"/>
    <d v="2017-12-03T00:00:00"/>
    <m/>
    <n v="5.8612149532710278"/>
    <n v="4.1597611630321909"/>
    <n v="2.9100114547537226"/>
    <n v="3.2822222222222224"/>
    <m/>
    <n v="1"/>
    <m/>
    <s v="Valleys"/>
    <n v="0.10922735929500001"/>
    <s v="Depression"/>
    <s v="Flat"/>
    <n v="8.4776775111099995E-6"/>
    <n v="12.6122112274"/>
    <n v="215.03214306402631"/>
    <n v="465.42014051522273"/>
    <n v="1.2470000000000001"/>
    <n v="1.599"/>
    <n v="-0.35199999999999987"/>
    <n v="3.0961168384879727"/>
    <n v="5.0104880581516094"/>
    <n v="1.9143712196636367"/>
    <n v="591.36"/>
    <n v="1145.76"/>
    <n v="0"/>
    <n v="1737.12"/>
    <n v="63.699999999999996"/>
    <n v="1673.4199999999998"/>
  </r>
  <r>
    <s v="Inot Songoyani"/>
    <n v="141"/>
    <s v="Leonard Jab Bendera"/>
    <s v="Leonard Jabu Bendera"/>
    <s v="AYAMANGO"/>
    <s v="Ayamango"/>
    <n v="0.5"/>
    <s v="outfield"/>
    <s v="Feed livestock"/>
    <s v="OffField feed"/>
    <n v="0"/>
    <m/>
    <m/>
    <s v=""/>
    <m/>
    <n v="0"/>
    <s v=""/>
    <m/>
    <m/>
    <s v=""/>
    <m/>
    <s v=""/>
    <m/>
    <m/>
    <s v=""/>
    <x v="0"/>
    <s v="Own animals"/>
    <n v="0"/>
    <s v=""/>
    <m/>
    <s v=""/>
    <s v=""/>
    <s v="Yes"/>
    <s v="No"/>
    <s v=""/>
    <n v="0"/>
    <s v=""/>
    <m/>
    <m/>
    <s v=""/>
    <s v=""/>
    <n v="0"/>
    <n v="0"/>
    <s v="00"/>
    <x v="2"/>
    <n v="1"/>
    <s v="Yes"/>
    <n v="1"/>
    <s v="Yes"/>
    <n v="3"/>
    <n v="7"/>
    <s v="No"/>
    <s v=""/>
    <m/>
    <n v="8"/>
    <n v="8"/>
    <s v="Yes"/>
    <s v="Yes"/>
    <s v="Yes"/>
    <s v="Yes"/>
    <s v="No"/>
    <s v="No"/>
    <n v="6"/>
    <s v="Both"/>
    <n v="12"/>
    <s v="Both"/>
    <n v="10"/>
    <s v="Both"/>
    <n v="8"/>
    <s v="Both"/>
    <m/>
    <s v=""/>
    <m/>
    <n v="8.1"/>
    <s v="Medium"/>
    <n v="2"/>
    <n v="3"/>
    <n v="5"/>
    <n v="10"/>
    <n v="0"/>
    <n v="0"/>
    <n v="1"/>
    <s v=""/>
    <n v="120.3"/>
    <s v="High"/>
    <n v="128.4"/>
    <s v="Yes"/>
    <s v="Karet"/>
    <s v="Yes"/>
    <s v="Casual"/>
    <n v="1"/>
    <n v="1"/>
    <m/>
    <s v="Yes"/>
    <n v="2"/>
    <n v="40"/>
    <s v="Bags"/>
    <n v="4.8"/>
    <m/>
    <n v="999"/>
    <s v="Bags"/>
    <m/>
    <n v="2"/>
    <n v="7"/>
    <s v="Bags"/>
    <n v="0.84"/>
    <x v="0"/>
    <s v="No"/>
    <s v="No"/>
    <s v="No"/>
    <s v="Yes"/>
    <n v="1"/>
    <n v="3"/>
    <s v="uuid:b4623ca6-d93c-4deb-badc-a2a7ab02d4ef/secG-G2"/>
    <s v="uuid:b4623ca6-d93c-4deb-badc-a2a7ab02d4ef/secG-G5"/>
    <n v="-4.2444863319396973"/>
    <n v="35.892360687255859"/>
    <n v="1236.800048828125"/>
    <n v="5"/>
    <n v="1706031849"/>
    <s v="uuid:b4623ca6-d93c-4deb-badc-a2a7ab02d4ef"/>
    <d v="2017-06-23T11:53:30"/>
    <d v="2017-06-22T10:19:22"/>
    <d v="2017-06-22T10:39:18"/>
    <d v="2017-02-09T00:00:00"/>
    <m/>
    <n v="6.6190412186379932"/>
    <n v="6.3587813620071687"/>
    <n v="6.261868686868687"/>
    <n v="5.3831313131313134"/>
    <n v="7"/>
    <n v="1"/>
    <m/>
    <s v="Plains"/>
    <n v="0.92674517631499997"/>
    <s v="Very gentle"/>
    <s v="Flat"/>
    <n v="-0.45320102572400001"/>
    <n v="11.6241054535"/>
    <n v="470.2676992796512"/>
    <n v="439.61516453042049"/>
    <n v="2.2480000000000002"/>
    <n v="1.8280000000000001"/>
    <n v="0.42000000000000015"/>
    <n v="5.8224999999999998"/>
    <n v="6.488911290322581"/>
    <n v="0.66641129032258117"/>
    <n v="1689.6"/>
    <n v="572.88"/>
    <n v="0"/>
    <n v="2262.48"/>
    <n v="63.699999999999996"/>
    <n v="2198.7800000000002"/>
  </r>
  <r>
    <s v="Inot Songoyani"/>
    <n v="220"/>
    <s v="SAIDI JUMA SELEMAN"/>
    <s v="Said Juma Selemani"/>
    <s v="ORNGADIDA"/>
    <s v="Orngadida"/>
    <n v="0.5"/>
    <s v="outfield"/>
    <s v="Feed livestock"/>
    <s v="OffField feed"/>
    <n v="0"/>
    <m/>
    <m/>
    <s v=""/>
    <m/>
    <n v="0"/>
    <s v=""/>
    <m/>
    <m/>
    <s v=""/>
    <m/>
    <s v=""/>
    <m/>
    <m/>
    <s v=""/>
    <x v="0"/>
    <s v="Own animals"/>
    <n v="0"/>
    <s v=""/>
    <m/>
    <s v=""/>
    <s v=""/>
    <s v="Yes"/>
    <s v="No"/>
    <s v=""/>
    <n v="0"/>
    <s v=""/>
    <m/>
    <m/>
    <s v=""/>
    <s v=""/>
    <n v="0"/>
    <n v="0"/>
    <s v="00"/>
    <x v="2"/>
    <n v="1"/>
    <s v="Yes"/>
    <n v="2"/>
    <s v="Yes"/>
    <n v="3"/>
    <n v="6.5"/>
    <s v="No"/>
    <s v=""/>
    <m/>
    <n v="8.5"/>
    <n v="8.5"/>
    <s v="Yes"/>
    <s v="Yes"/>
    <s v="Yes"/>
    <s v="No"/>
    <s v="No"/>
    <s v="No"/>
    <n v="7"/>
    <s v="Both"/>
    <n v="9"/>
    <s v="Both"/>
    <n v="25"/>
    <s v="Both"/>
    <m/>
    <s v=""/>
    <m/>
    <s v=""/>
    <m/>
    <n v="8.15"/>
    <s v="Medium"/>
    <n v="3"/>
    <n v="2"/>
    <n v="5"/>
    <n v="10"/>
    <n v="0"/>
    <n v="0"/>
    <n v="2"/>
    <s v=""/>
    <n v="128.1"/>
    <s v="High"/>
    <n v="136.25"/>
    <s v="Yes"/>
    <s v="Supercron"/>
    <s v="Yes"/>
    <s v="Casual"/>
    <n v="0.25"/>
    <n v="2.25"/>
    <m/>
    <s v="Yes"/>
    <n v="2.25"/>
    <n v="24"/>
    <s v="Bags"/>
    <n v="2.5600000000000005"/>
    <m/>
    <n v="999"/>
    <s v="Bags"/>
    <m/>
    <n v="2.25"/>
    <n v="5"/>
    <s v="Bags"/>
    <n v="0.53333333333333333"/>
    <x v="0"/>
    <s v="No"/>
    <s v="No"/>
    <s v="No"/>
    <s v="No"/>
    <n v="0"/>
    <n v="4"/>
    <s v="uuid:0e255fd7-83ff-424f-a9ae-67ed44f1f275/secG-G2"/>
    <s v="uuid:0e255fd7-83ff-424f-a9ae-67ed44f1f275/secG-G5"/>
    <n v="-4.3019556999206543"/>
    <n v="35.868911743164063"/>
    <n v="1252.300048828125"/>
    <n v="5"/>
    <n v="1706031849"/>
    <s v="uuid:0e255fd7-83ff-424f-a9ae-67ed44f1f275"/>
    <d v="2017-08-03T23:13:26"/>
    <d v="2017-08-02T13:59:19"/>
    <d v="2017-08-03T20:22:13"/>
    <d v="2017-02-24T00:00:00"/>
    <m/>
    <n v="2.8538181818181818"/>
    <n v="2.1139393939393942"/>
    <n v="7.5257478632478634"/>
    <n v="6.8955128205128213"/>
    <m/>
    <s v="FALSEE"/>
    <m/>
    <s v="Plains"/>
    <n v="0.699362456799"/>
    <s v="Very gentle"/>
    <s v="Flat"/>
    <n v="0.36257606744799997"/>
    <n v="9.0593633651700003"/>
    <m/>
    <m/>
    <m/>
    <m/>
    <m/>
    <n v="7.2106303418803428"/>
    <n v="2.4838787878787878"/>
    <n v="-4.726751554001555"/>
    <n v="901.12000000000012"/>
    <n v="363.73333333333335"/>
    <n v="0"/>
    <n v="1264.8533333333335"/>
    <n v="63.699999999999996"/>
    <n v="1201.1533333333334"/>
  </r>
  <r>
    <s v="Michael"/>
    <n v="51"/>
    <s v="Francis Martini"/>
    <s v="Francis Martini"/>
    <s v="MANDI"/>
    <s v="Samatsi"/>
    <n v="0.30000001192092896"/>
    <s v="Midfield"/>
    <s v="Feed livestock"/>
    <s v="OffField feed"/>
    <n v="0"/>
    <m/>
    <m/>
    <s v=""/>
    <m/>
    <n v="0"/>
    <s v=""/>
    <m/>
    <s v="Variable"/>
    <s v="Other fields in my home village"/>
    <m/>
    <s v="This field"/>
    <m/>
    <m/>
    <s v=""/>
    <x v="0"/>
    <s v="Own animals"/>
    <n v="0"/>
    <s v=""/>
    <m/>
    <s v=""/>
    <s v=""/>
    <s v="Yes"/>
    <s v="No"/>
    <m/>
    <n v="0"/>
    <s v=""/>
    <m/>
    <m/>
    <s v=""/>
    <s v=""/>
    <n v="0"/>
    <n v="0"/>
    <s v="00"/>
    <x v="2"/>
    <n v="1"/>
    <s v="Yes"/>
    <n v="0.25"/>
    <s v="Yes"/>
    <n v="3"/>
    <n v="2"/>
    <s v="Yes"/>
    <s v="Rent"/>
    <n v="3.25"/>
    <n v="2.25"/>
    <n v="5.5"/>
    <s v="Yes"/>
    <s v="Yes"/>
    <s v="Yes"/>
    <s v="Yes"/>
    <s v="No"/>
    <s v="Yes"/>
    <n v="7"/>
    <s v="Free range"/>
    <n v="5"/>
    <s v="Free range"/>
    <n v="6"/>
    <s v="Free range"/>
    <n v="3"/>
    <s v="Free range"/>
    <m/>
    <s v=""/>
    <n v="1"/>
    <n v="8.26"/>
    <s v="Medium"/>
    <n v="1"/>
    <n v="1"/>
    <n v="4"/>
    <n v="6"/>
    <n v="0"/>
    <n v="0"/>
    <n v="0"/>
    <m/>
    <n v="33.75"/>
    <s v="Medium"/>
    <n v="42.01"/>
    <s v="Yes"/>
    <s v="Carte"/>
    <s v="Yes"/>
    <s v="Tractor"/>
    <n v="0.25"/>
    <n v="2.75"/>
    <n v="0"/>
    <s v="Yes"/>
    <n v="1"/>
    <n v="2.5"/>
    <s v="Bags"/>
    <n v="0.6"/>
    <n v="1"/>
    <n v="0.5"/>
    <s v="Bags"/>
    <n v="0.12"/>
    <n v="1"/>
    <n v="0.5"/>
    <s v="Bags"/>
    <n v="0.12"/>
    <x v="1"/>
    <s v="No"/>
    <s v="Yes"/>
    <s v="No"/>
    <s v="No"/>
    <n v="2"/>
    <n v="3"/>
    <s v="uuid:0d0cb84d-a6a6-4ecc-b72e-74c18eb15361/secG-G2"/>
    <s v="uuid:0d0cb84d-a6a6-4ecc-b72e-74c18eb15361/secG-G5"/>
    <n v="-4.3366756439208984"/>
    <n v="35.433216094970703"/>
    <n v="1580.5"/>
    <n v="5"/>
    <n v="1705231439"/>
    <s v="uuid:0d0cb84d-a6a6-4ecc-b72e-74c18eb15361"/>
    <d v="2017-07-07T09:09:41"/>
    <d v="2017-06-22T10:03:02"/>
    <d v="2017-06-22T10:20:40"/>
    <d v="2017-02-03T00:00:00"/>
    <m/>
    <n v="2.8890196078431374"/>
    <n v="1.4990196078431373"/>
    <n v="1.8287500000000003"/>
    <n v="2.8233333333333337"/>
    <m/>
    <s v="FALSEE"/>
    <m/>
    <s v="Plains"/>
    <n v="0.48846834898000002"/>
    <s v="Depression"/>
    <s v="Flat"/>
    <n v="-0.18127532303300001"/>
    <n v="10.178800582899999"/>
    <n v="401.12717291857291"/>
    <n v="288.96651490421789"/>
    <n v="1.5229999999999999"/>
    <n v="1.421"/>
    <n v="0.10199999999999987"/>
    <n v="2.3260416666666668"/>
    <n v="2.1940196078431375"/>
    <n v="-0.13202205882352924"/>
    <n v="211.2"/>
    <n v="81.84"/>
    <n v="95.399999999999991"/>
    <n v="388.43999999999994"/>
    <n v="63.699999999999996"/>
    <n v="324.73999999999995"/>
  </r>
  <r>
    <s v="Inot Songoyani"/>
    <n v="181"/>
    <s v="Yasini Salimu Fuchu"/>
    <s v="Yasini Salimu Fuchu"/>
    <s v="DURU"/>
    <s v="Duru"/>
    <n v="1.5"/>
    <s v="outfield"/>
    <s v="Feed livestock"/>
    <s v="OffField feed"/>
    <n v="0"/>
    <m/>
    <m/>
    <s v=""/>
    <m/>
    <n v="0"/>
    <s v=""/>
    <m/>
    <m/>
    <s v=""/>
    <m/>
    <s v=""/>
    <m/>
    <m/>
    <s v=""/>
    <x v="0"/>
    <s v="Own animals"/>
    <n v="0"/>
    <s v=""/>
    <m/>
    <s v=""/>
    <s v=""/>
    <s v="No"/>
    <s v="No"/>
    <s v=""/>
    <n v="0"/>
    <s v=""/>
    <m/>
    <m/>
    <s v=""/>
    <s v=""/>
    <n v="0"/>
    <n v="0"/>
    <s v="00"/>
    <x v="2"/>
    <n v="1"/>
    <s v="Yes"/>
    <n v="0.125"/>
    <s v="Yes"/>
    <n v="4"/>
    <n v="10"/>
    <s v="No"/>
    <s v=""/>
    <m/>
    <n v="10.125"/>
    <n v="10.125"/>
    <s v="Yes"/>
    <s v="Yes"/>
    <s v="Yes"/>
    <s v="No"/>
    <s v="No"/>
    <s v="No"/>
    <n v="8"/>
    <s v="Both"/>
    <n v="6"/>
    <s v="Both"/>
    <n v="5"/>
    <s v="Both"/>
    <m/>
    <s v=""/>
    <m/>
    <s v=""/>
    <m/>
    <n v="8.65"/>
    <s v="Medium"/>
    <n v="1"/>
    <n v="1"/>
    <n v="3"/>
    <n v="5"/>
    <n v="0"/>
    <n v="0"/>
    <n v="1"/>
    <s v=""/>
    <n v="152.17500000000001"/>
    <s v="High"/>
    <n v="160.82499999999999"/>
    <s v="No"/>
    <s v=""/>
    <s v="Yes"/>
    <s v="Casual"/>
    <n v="0.25"/>
    <n v="0.75"/>
    <m/>
    <s v="Yes"/>
    <n v="1"/>
    <n v="15"/>
    <s v="Bags"/>
    <n v="3.5999999999999996"/>
    <m/>
    <n v="999"/>
    <s v="Bags"/>
    <m/>
    <n v="1"/>
    <n v="5"/>
    <s v="Bags"/>
    <n v="1.2"/>
    <x v="1"/>
    <s v="No"/>
    <s v="Yes"/>
    <s v="No"/>
    <s v="Yes"/>
    <n v="3"/>
    <n v="3"/>
    <s v="uuid:60087293-2d8d-47ea-98a7-b77afc8fbf51/secG-G2"/>
    <s v="uuid:60087293-2d8d-47ea-98a7-b77afc8fbf51/secG-G5"/>
    <n v="-4.3116297721862793"/>
    <n v="35.589282989501953"/>
    <n v="1543.4000244140625"/>
    <n v="5"/>
    <n v="1706031849"/>
    <s v="uuid:60087293-2d8d-47ea-98a7-b77afc8fbf51"/>
    <d v="2017-07-10T13:49:19"/>
    <d v="2017-07-05T12:53:03"/>
    <d v="2017-07-05T13:05:10"/>
    <d v="2017-02-03T00:00:00"/>
    <m/>
    <n v="5.5057478632478638"/>
    <n v="5.6888034188034187"/>
    <n v="6.1862222222222218"/>
    <n v="4.8256161616161615"/>
    <m/>
    <n v="1"/>
    <m/>
    <s v="Plains"/>
    <n v="4.2950010299699999"/>
    <s v="Gentle"/>
    <s v="Upper slope"/>
    <n v="0.63450175523800001"/>
    <n v="8.7873973846400002"/>
    <n v="317.00502553349799"/>
    <n v="204.14796577496708"/>
    <n v="1.1399999999999999"/>
    <n v="1.29"/>
    <n v="-0.15000000000000013"/>
    <n v="5.5059191919191921"/>
    <n v="5.5972756410256412"/>
    <n v="9.1356449106449134E-2"/>
    <n v="1267.1999999999998"/>
    <n v="818.4"/>
    <n v="0"/>
    <n v="2085.6"/>
    <n v="63.699999999999996"/>
    <n v="2021.8999999999999"/>
  </r>
  <r>
    <s v="Michael"/>
    <n v="31"/>
    <s v="Leonard Edward"/>
    <s v="Leonard Edward"/>
    <s v="Sangara"/>
    <s v="Samatsi"/>
    <n v="0"/>
    <s v="Homefield"/>
    <s v="Feed livestock"/>
    <s v="OffField feed"/>
    <n v="0"/>
    <m/>
    <m/>
    <s v=""/>
    <m/>
    <n v="0"/>
    <s v=""/>
    <m/>
    <s v="Variable"/>
    <s v="Other fields in my home village"/>
    <m/>
    <s v="This field"/>
    <m/>
    <m/>
    <s v=""/>
    <x v="0"/>
    <s v="Own animals"/>
    <n v="0"/>
    <s v=""/>
    <m/>
    <s v=""/>
    <s v=""/>
    <s v="Yes"/>
    <s v="No"/>
    <m/>
    <n v="0"/>
    <s v=""/>
    <m/>
    <m/>
    <s v=""/>
    <s v=""/>
    <n v="0"/>
    <n v="0"/>
    <s v="00"/>
    <x v="2"/>
    <n v="1"/>
    <s v="Yes"/>
    <n v="3.25"/>
    <s v="No"/>
    <m/>
    <m/>
    <s v="No"/>
    <s v=""/>
    <m/>
    <n v="3.25"/>
    <n v="3.25"/>
    <s v="Yes"/>
    <s v="Yes"/>
    <s v="Yes"/>
    <s v="No"/>
    <s v="No"/>
    <s v="No"/>
    <n v="8"/>
    <s v="Both"/>
    <n v="5"/>
    <s v="Free range"/>
    <n v="20"/>
    <s v="Free range"/>
    <m/>
    <s v=""/>
    <m/>
    <s v=""/>
    <m/>
    <n v="8.6999999999999993"/>
    <s v="Medium"/>
    <n v="3"/>
    <n v="1"/>
    <n v="4"/>
    <n v="8"/>
    <n v="0"/>
    <n v="0"/>
    <n v="1"/>
    <m/>
    <n v="49.05"/>
    <s v="Medium"/>
    <n v="57.75"/>
    <s v="Yes"/>
    <s v="Spacron,Carte, Serecro, Farmerzep"/>
    <s v="Yes"/>
    <s v="Multiple"/>
    <n v="1"/>
    <n v="2"/>
    <n v="0"/>
    <s v="Yes"/>
    <n v="1"/>
    <n v="12"/>
    <s v="Bags"/>
    <n v="2.8800000000000003"/>
    <n v="1"/>
    <n v="2"/>
    <s v="Bags"/>
    <n v="0.48"/>
    <n v="1"/>
    <n v="3"/>
    <s v="Bags"/>
    <n v="0.72"/>
    <x v="0"/>
    <s v="No"/>
    <s v="Yes"/>
    <s v="No"/>
    <s v="Yes"/>
    <n v="2"/>
    <n v="2"/>
    <s v="uuid:af8bb017-38ba-4267-bd41-a838c2f76108/secG-G2"/>
    <s v="uuid:af8bb017-38ba-4267-bd41-a838c2f76108/secG-G5"/>
    <n v="-4.2769598960876465"/>
    <n v="35.628490447998047"/>
    <n v="1403.300048828125"/>
    <n v="15"/>
    <n v="1705231439"/>
    <s v="uuid:af8bb017-38ba-4267-bd41-a838c2f76108"/>
    <d v="2017-06-22T07:01:21"/>
    <d v="2017-06-12T14:49:26"/>
    <d v="2017-06-22T06:55:44"/>
    <d v="2017-01-06T00:00:00"/>
    <m/>
    <m/>
    <m/>
    <m/>
    <m/>
    <m/>
    <n v="1"/>
    <m/>
    <s v="Valleys"/>
    <n v="7.2281165122999997"/>
    <s v="Moderate"/>
    <s v="Midslope"/>
    <n v="0.27193418145199999"/>
    <n v="7.7144684791599998"/>
    <n v="205.72017308152266"/>
    <n v="294.82612027374853"/>
    <m/>
    <m/>
    <m/>
    <m/>
    <m/>
    <m/>
    <n v="1013.7600000000001"/>
    <n v="491.03999999999996"/>
    <n v="381.59999999999997"/>
    <n v="1886.4"/>
    <n v="63.699999999999996"/>
    <n v="1822.7"/>
  </r>
  <r>
    <s v="Michael"/>
    <n v="72"/>
    <s v="Joshua Bobo"/>
    <s v="Joshua Bombo"/>
    <s v="Endanachan"/>
    <s v="Orngadida"/>
    <n v="0"/>
    <s v="Homefield"/>
    <s v="Feed livestock"/>
    <s v="OffField feed"/>
    <n v="0"/>
    <m/>
    <m/>
    <s v=""/>
    <m/>
    <n v="0"/>
    <s v=""/>
    <m/>
    <s v="Variable"/>
    <s v="Other fields in my home village"/>
    <m/>
    <s v="This field"/>
    <m/>
    <m/>
    <s v=""/>
    <x v="0"/>
    <s v="Own animals"/>
    <n v="0"/>
    <s v=""/>
    <m/>
    <s v=""/>
    <s v=""/>
    <s v="Yes"/>
    <s v="No"/>
    <m/>
    <n v="0"/>
    <s v=""/>
    <m/>
    <m/>
    <s v=""/>
    <s v=""/>
    <n v="0"/>
    <n v="0"/>
    <s v="00"/>
    <x v="2"/>
    <n v="1"/>
    <s v="Yes"/>
    <n v="1"/>
    <s v="Yes"/>
    <n v="1"/>
    <n v="1"/>
    <s v="No"/>
    <s v=""/>
    <m/>
    <n v="2"/>
    <n v="2"/>
    <s v="Yes"/>
    <s v="Yes"/>
    <s v="Yes"/>
    <s v="Yes"/>
    <s v="No"/>
    <s v="No"/>
    <n v="7"/>
    <s v="Free range"/>
    <n v="6"/>
    <s v="Free range"/>
    <n v="20"/>
    <s v="Free range"/>
    <n v="12"/>
    <s v="Free range"/>
    <m/>
    <s v=""/>
    <m/>
    <n v="9"/>
    <s v="Medium"/>
    <n v="0"/>
    <n v="2"/>
    <n v="3"/>
    <n v="5"/>
    <n v="0"/>
    <n v="0"/>
    <n v="1"/>
    <m/>
    <n v="30.3"/>
    <s v="Medium"/>
    <n v="39.299999999999997"/>
    <s v="No"/>
    <s v=""/>
    <s v="No"/>
    <s v=""/>
    <n v="0.25"/>
    <n v="1.5"/>
    <n v="0"/>
    <s v="Yes"/>
    <n v="1"/>
    <n v="8"/>
    <s v="Bags"/>
    <n v="1.92"/>
    <m/>
    <n v="999"/>
    <s v="Bags"/>
    <m/>
    <n v="1"/>
    <n v="1.25"/>
    <s v="Bags"/>
    <n v="0.3"/>
    <x v="1"/>
    <s v="No"/>
    <s v="Yes"/>
    <s v="No"/>
    <s v="Yes"/>
    <n v="3"/>
    <n v="3"/>
    <s v="uuid:e0672251-fb56-4d93-82ae-7168a5c30955/secG-G2"/>
    <s v="uuid:e0672251-fb56-4d93-82ae-7168a5c30955/secG-G5"/>
    <n v="-4.3854942321777344"/>
    <n v="35.689628601074219"/>
    <n v="1353.4000244140625"/>
    <n v="15"/>
    <n v="1705231439"/>
    <s v="uuid:e0672251-fb56-4d93-82ae-7168a5c30955"/>
    <d v="2017-07-07T09:17:26"/>
    <d v="2017-06-17T12:53:56"/>
    <d v="2017-07-07T09:13:41"/>
    <d v="2017-01-02T00:00:00"/>
    <m/>
    <n v="6.8505555555555544"/>
    <n v="6.5883333333333338"/>
    <n v="6.2360493827160495"/>
    <n v="5.9880246913580235"/>
    <m/>
    <n v="1"/>
    <m/>
    <s v="Plains"/>
    <n v="3.6667199134800001"/>
    <s v="Gentle"/>
    <s v="Upper slope"/>
    <n v="0.815785527229"/>
    <n v="7.6353573799100003"/>
    <m/>
    <n v="424.10948138874181"/>
    <m/>
    <n v="1.371"/>
    <m/>
    <n v="6.1120370370370365"/>
    <n v="6.7194444444444441"/>
    <n v="0.60740740740740762"/>
    <n v="675.83999999999992"/>
    <n v="204.6"/>
    <n v="0"/>
    <n v="880.43999999999994"/>
    <n v="63.699999999999996"/>
    <n v="816.7399999999999"/>
  </r>
  <r>
    <s v="Inot Songoyani"/>
    <n v="148"/>
    <s v="Lotti Kayani Chako"/>
    <s v="Lotti Kayani Chako"/>
    <s v="AYAMANGO"/>
    <s v="Ayamango"/>
    <n v="0"/>
    <s v="Homefield"/>
    <s v="Feed livestock"/>
    <s v="OffField feed"/>
    <n v="0"/>
    <m/>
    <m/>
    <s v=""/>
    <m/>
    <n v="0"/>
    <s v=""/>
    <m/>
    <m/>
    <s v=""/>
    <m/>
    <s v=""/>
    <m/>
    <m/>
    <s v=""/>
    <x v="0"/>
    <s v="Own animals"/>
    <n v="0"/>
    <s v=""/>
    <m/>
    <s v=""/>
    <s v=""/>
    <s v="Yes"/>
    <s v="No"/>
    <s v=""/>
    <n v="0"/>
    <s v=""/>
    <m/>
    <m/>
    <s v=""/>
    <s v=""/>
    <n v="0"/>
    <n v="0"/>
    <s v="00"/>
    <x v="2"/>
    <n v="1"/>
    <s v="Yes"/>
    <n v="1"/>
    <s v="Yes"/>
    <n v="2"/>
    <n v="11"/>
    <s v="No"/>
    <s v=""/>
    <m/>
    <n v="12"/>
    <n v="12"/>
    <s v="Yes"/>
    <s v="Yes"/>
    <s v="Yes"/>
    <s v="No"/>
    <s v="Yes"/>
    <s v="No"/>
    <n v="5"/>
    <s v="Free range"/>
    <n v="30"/>
    <s v="Free range"/>
    <n v="4"/>
    <s v="Free range"/>
    <m/>
    <s v=""/>
    <n v="4"/>
    <s v="Free range"/>
    <m/>
    <n v="9.2399999999999984"/>
    <s v="Medium"/>
    <n v="2"/>
    <n v="3"/>
    <n v="2"/>
    <n v="7"/>
    <n v="0"/>
    <n v="0"/>
    <n v="0"/>
    <s v=""/>
    <n v="180"/>
    <s v="High"/>
    <n v="189.24"/>
    <s v="No"/>
    <s v=""/>
    <s v="Yes"/>
    <s v="Casual"/>
    <n v="0.25"/>
    <n v="0.5"/>
    <m/>
    <s v="Yes"/>
    <n v="0.75"/>
    <n v="8"/>
    <s v="Bags"/>
    <n v="2.56"/>
    <m/>
    <n v="999"/>
    <s v="Bags"/>
    <m/>
    <n v="0.75"/>
    <n v="1"/>
    <s v="Bags"/>
    <n v="0.32"/>
    <x v="1"/>
    <s v="Yes"/>
    <s v="Yes"/>
    <s v="Yes"/>
    <s v="Yes"/>
    <n v="5"/>
    <n v="3"/>
    <s v="uuid:c11dd2e6-fdd1-4690-95a5-c17bd2445236/secG-G2"/>
    <s v="uuid:c11dd2e6-fdd1-4690-95a5-c17bd2445236/secG-G5"/>
    <n v="-4.2413992881774902"/>
    <n v="35.917690277099609"/>
    <n v="1233.800048828125"/>
    <n v="5"/>
    <n v="1706031849"/>
    <s v="uuid:c11dd2e6-fdd1-4690-95a5-c17bd2445236"/>
    <d v="2017-06-27T15:19:34"/>
    <d v="2017-06-22T14:30:52"/>
    <d v="2017-06-22T14:46:38"/>
    <d v="2017-02-04T00:00:00"/>
    <m/>
    <n v="3.1256521739130441"/>
    <n v="2.9673913043478262"/>
    <n v="3.2388888888888889"/>
    <n v="3.0364583333333335"/>
    <n v="9"/>
    <s v="FALSEE"/>
    <m/>
    <s v="Plains"/>
    <n v="0.54612094163900005"/>
    <s v="Very gentle"/>
    <s v="Flat"/>
    <n v="0.18129228055499999"/>
    <n v="11.5399780273"/>
    <m/>
    <n v="135.04586884329248"/>
    <m/>
    <n v="0.70899999999999996"/>
    <m/>
    <n v="3.1376736111111114"/>
    <n v="3.0465217391304353"/>
    <n v="-9.1151871980676091E-2"/>
    <n v="901.12"/>
    <n v="218.24"/>
    <n v="0"/>
    <n v="1119.3600000000001"/>
    <n v="63.699999999999996"/>
    <n v="1055.6600000000001"/>
  </r>
  <r>
    <s v="Inot Songoyani"/>
    <n v="124"/>
    <s v="Ayli Bilori Mukusi"/>
    <s v="Ayli Bilori Mukusi"/>
    <s v="HALLU"/>
    <s v="Hallu"/>
    <n v="0"/>
    <s v="Homefield"/>
    <s v="Feed livestock"/>
    <s v="OffField feed"/>
    <n v="0"/>
    <m/>
    <m/>
    <s v=""/>
    <m/>
    <n v="0"/>
    <s v=""/>
    <m/>
    <m/>
    <s v=""/>
    <m/>
    <s v=""/>
    <m/>
    <m/>
    <s v=""/>
    <x v="0"/>
    <s v="Own animals"/>
    <n v="0"/>
    <s v=""/>
    <m/>
    <s v=""/>
    <s v=""/>
    <s v="No"/>
    <s v="No"/>
    <s v=""/>
    <n v="0"/>
    <s v=""/>
    <m/>
    <m/>
    <s v=""/>
    <s v=""/>
    <n v="0"/>
    <n v="0"/>
    <s v="00"/>
    <x v="2"/>
    <n v="1"/>
    <s v="Yes"/>
    <n v="1.5"/>
    <s v="Yes"/>
    <n v="5"/>
    <n v="37"/>
    <s v="No"/>
    <s v=""/>
    <m/>
    <n v="38.5"/>
    <n v="38.5"/>
    <s v="Yes"/>
    <s v="Yes"/>
    <s v="Yes"/>
    <s v="Yes"/>
    <s v="No"/>
    <s v="No"/>
    <n v="9"/>
    <s v="Both"/>
    <n v="4"/>
    <s v="Both"/>
    <n v="4"/>
    <s v="Both"/>
    <n v="4"/>
    <s v="Both"/>
    <m/>
    <s v=""/>
    <m/>
    <n v="9.84"/>
    <s v="Medium"/>
    <n v="4"/>
    <n v="4"/>
    <n v="0"/>
    <n v="8"/>
    <n v="0"/>
    <n v="0"/>
    <n v="0"/>
    <s v=""/>
    <n v="577.5"/>
    <s v="High"/>
    <n v="587.34"/>
    <s v="Yes"/>
    <s v="Karate"/>
    <s v="Yes"/>
    <s v="Casual"/>
    <n v="0.25"/>
    <n v="0.125"/>
    <m/>
    <s v="Yes"/>
    <n v="0.5"/>
    <n v="5"/>
    <s v="Bags"/>
    <n v="2.4"/>
    <m/>
    <n v="999"/>
    <s v="Bags"/>
    <m/>
    <n v="0.5"/>
    <n v="2"/>
    <s v="Bags"/>
    <n v="0.96"/>
    <x v="1"/>
    <s v="No"/>
    <s v="No"/>
    <s v="No"/>
    <s v="No"/>
    <n v="1"/>
    <n v="4"/>
    <s v="uuid:67597af8-4364-4fd4-bebc-8b885eaff529/secG-G2"/>
    <s v="uuid:67597af8-4364-4fd4-bebc-8b885eaff529/secG-G5"/>
    <n v="-4.2821521759033203"/>
    <n v="35.894252777099609"/>
    <n v="1223.5999755859375"/>
    <n v="5"/>
    <n v="1706031849"/>
    <s v="uuid:67597af8-4364-4fd4-bebc-8b885eaff529"/>
    <d v="2017-06-21T10:37:40"/>
    <d v="2017-06-20T11:35:54"/>
    <d v="2017-06-20T11:54:34"/>
    <d v="2017-02-07T00:00:00"/>
    <m/>
    <n v="6.5038497652582166"/>
    <n v="4.6590610328638498"/>
    <n v="3.9021111111111106"/>
    <n v="3.2918055555555554"/>
    <m/>
    <n v="1"/>
    <m/>
    <s v="Plains"/>
    <n v="1.0303390026100001"/>
    <s v="Very gentle"/>
    <s v="Flat"/>
    <n v="0.36257606744799997"/>
    <n v="8.6220817565899992"/>
    <n v="193.17728431847667"/>
    <n v="611.46681508537961"/>
    <n v="0.70799999999999996"/>
    <n v="1.506"/>
    <n v="-0.79800000000000004"/>
    <n v="3.5969583333333333"/>
    <n v="5.5814553990610332"/>
    <n v="1.9844970657276999"/>
    <n v="844.8"/>
    <n v="654.72"/>
    <n v="0"/>
    <n v="1499.52"/>
    <n v="63.699999999999996"/>
    <n v="1435.82"/>
  </r>
  <r>
    <s v="Inot"/>
    <n v="225"/>
    <s v="NEEMIA YONA MUGHUSHI"/>
    <s v="Neemia Yona Mugusi"/>
    <s v="ENDAGWE"/>
    <s v="Endagwe"/>
    <n v="0"/>
    <s v="Homefield"/>
    <s v="Feed livestock"/>
    <s v="OffField feed"/>
    <n v="0"/>
    <m/>
    <m/>
    <s v=""/>
    <m/>
    <n v="0"/>
    <s v=""/>
    <m/>
    <m/>
    <s v=""/>
    <m/>
    <s v=""/>
    <m/>
    <m/>
    <s v=""/>
    <x v="1"/>
    <s v=""/>
    <n v="0"/>
    <s v=""/>
    <m/>
    <s v=""/>
    <s v=""/>
    <s v="Yes"/>
    <s v="No"/>
    <s v=""/>
    <n v="0"/>
    <s v=""/>
    <m/>
    <m/>
    <s v=""/>
    <s v=""/>
    <n v="0"/>
    <n v="0"/>
    <s v="00"/>
    <x v="2"/>
    <n v="1"/>
    <s v="Yes"/>
    <n v="9"/>
    <s v="Yes"/>
    <n v="2"/>
    <n v="2"/>
    <s v="Yes"/>
    <s v="Rent"/>
    <n v="5"/>
    <n v="11"/>
    <n v="16"/>
    <s v="Yes"/>
    <s v="Yes"/>
    <s v="Yes"/>
    <s v="No"/>
    <s v="No"/>
    <s v="No"/>
    <n v="9"/>
    <s v="Both"/>
    <n v="6"/>
    <s v="Both"/>
    <n v="50"/>
    <s v="Both"/>
    <m/>
    <s v=""/>
    <m/>
    <s v=""/>
    <m/>
    <n v="10.1"/>
    <s v="Medium"/>
    <n v="3"/>
    <n v="2"/>
    <n v="3"/>
    <n v="8"/>
    <n v="0"/>
    <n v="0"/>
    <n v="1"/>
    <s v=""/>
    <n v="165.3"/>
    <s v="High"/>
    <n v="175.4"/>
    <s v="No"/>
    <s v=""/>
    <s v="Yes"/>
    <s v="Casual"/>
    <n v="1"/>
    <n v="8"/>
    <m/>
    <s v="Yes"/>
    <n v="9"/>
    <n v="60"/>
    <s v="Bags"/>
    <n v="1.6"/>
    <m/>
    <n v="999"/>
    <s v="Bags"/>
    <m/>
    <n v="9"/>
    <n v="15"/>
    <s v="Bags"/>
    <n v="0.39999999999999997"/>
    <x v="1"/>
    <s v="Yes"/>
    <s v="Yes"/>
    <s v="Yes"/>
    <s v="Yes"/>
    <n v="5"/>
    <n v="2"/>
    <s v="uuid:0b0f3327-566d-4905-98ca-ef13bfdd9916/secG-G2"/>
    <s v="uuid:0b0f3327-566d-4905-98ca-ef13bfdd9916/secG-G5"/>
    <n v="-4.3530073165893555"/>
    <n v="35.664936065673828"/>
    <n v="1588.9000244140625"/>
    <n v="5"/>
    <n v="1706031849"/>
    <s v="uuid:0b0f3327-566d-4905-98ca-ef13bfdd9916"/>
    <d v="2017-08-03T23:13:37"/>
    <d v="2017-08-03T16:07:49"/>
    <d v="2017-08-03T20:01:01"/>
    <d v="2017-02-28T00:00:00"/>
    <m/>
    <n v="0.91619047619047633"/>
    <n v="4.2285714285714288E-2"/>
    <n v="2.4196825396825394"/>
    <m/>
    <m/>
    <s v="FALSEE"/>
    <m/>
    <s v="Open slopes"/>
    <n v="7.41308259964"/>
    <s v="Moderate"/>
    <s v="Midslope"/>
    <n v="0.45321798324599999"/>
    <n v="7.4754891395599996"/>
    <n v="214.7151153272018"/>
    <n v="122.78588144652581"/>
    <n v="1.29"/>
    <n v="1.0920000000000001"/>
    <n v="0.19799999999999995"/>
    <n v="2.4196825396825394"/>
    <n v="0.4792380952380953"/>
    <n v="-1.9404444444444442"/>
    <n v="563.20000000000005"/>
    <n v="272.79999999999995"/>
    <n v="0"/>
    <n v="836"/>
    <n v="0"/>
    <n v="836"/>
  </r>
  <r>
    <s v="Inot Songoyani"/>
    <n v="122"/>
    <s v="Bilasi John Homa"/>
    <s v="Bilasi John Homa"/>
    <s v="SELOTO"/>
    <s v="Seloto"/>
    <n v="3"/>
    <s v="outfield"/>
    <s v="Feed livestock"/>
    <s v="OffField feed"/>
    <n v="0"/>
    <m/>
    <m/>
    <s v=""/>
    <m/>
    <n v="0"/>
    <s v=""/>
    <m/>
    <m/>
    <s v=""/>
    <m/>
    <s v=""/>
    <m/>
    <m/>
    <s v=""/>
    <x v="1"/>
    <s v=""/>
    <n v="0"/>
    <s v=""/>
    <m/>
    <s v=""/>
    <s v=""/>
    <s v="Yes"/>
    <s v="No"/>
    <s v=""/>
    <n v="0"/>
    <s v=""/>
    <m/>
    <m/>
    <s v=""/>
    <s v=""/>
    <n v="0"/>
    <n v="0"/>
    <s v="00"/>
    <x v="2"/>
    <n v="1"/>
    <s v="Yes"/>
    <n v="1.25"/>
    <s v="Yes"/>
    <n v="2"/>
    <n v="6"/>
    <s v="Yes"/>
    <s v="Rent"/>
    <n v="2"/>
    <n v="7.25"/>
    <n v="9.25"/>
    <s v="Yes"/>
    <s v="Yes"/>
    <s v="Yes"/>
    <s v="Yes"/>
    <s v="Yes"/>
    <s v="No"/>
    <n v="9"/>
    <s v="Zero grazing"/>
    <n v="6"/>
    <s v="Zero grazing"/>
    <n v="10"/>
    <s v="Both"/>
    <n v="6"/>
    <s v="Zero grazing"/>
    <n v="2"/>
    <s v="Zero grazing"/>
    <m/>
    <n v="10.899999999999999"/>
    <s v="Medium"/>
    <n v="3"/>
    <n v="2"/>
    <n v="4"/>
    <n v="9"/>
    <n v="0"/>
    <n v="1"/>
    <n v="2"/>
    <m/>
    <n v="110.15"/>
    <s v="High"/>
    <n v="121.05"/>
    <s v="No"/>
    <s v=""/>
    <s v="Yes"/>
    <s v="Casual"/>
    <n v="0.25"/>
    <n v="3"/>
    <n v="0"/>
    <s v="Yes"/>
    <n v="0.5"/>
    <n v="3"/>
    <s v="Bags"/>
    <n v="1.4400000000000002"/>
    <n v="0.25"/>
    <n v="1"/>
    <s v="Gorogoro"/>
    <n v="0.16031999999999999"/>
    <n v="0.5"/>
    <n v="1.5"/>
    <s v="Gorogoro"/>
    <n v="0.12023999999999997"/>
    <x v="0"/>
    <s v="No"/>
    <s v="Yes"/>
    <s v="No"/>
    <s v="No"/>
    <n v="1"/>
    <n v="3"/>
    <s v="uuid:70e1e0c8-ea65-44c1-a28f-da5018cfb2cf/secG-G2"/>
    <s v="uuid:70e1e0c8-ea65-44c1-a28f-da5018cfb2cf/secG-G5"/>
    <n v="-4.2629632949829102"/>
    <n v="35.527507781982422"/>
    <n v="1638.9000244140625"/>
    <n v="5"/>
    <n v="1706031849"/>
    <s v="uuid:70e1e0c8-ea65-44c1-a28f-da5018cfb2cf"/>
    <d v="2017-06-21T10:37:35"/>
    <d v="2017-06-17T11:33:49"/>
    <d v="2017-06-20T12:00:09"/>
    <d v="2017-02-09T00:00:00"/>
    <m/>
    <n v="2.1400732600732604"/>
    <n v="3.5389743589743587"/>
    <n v="5.6502525252525242"/>
    <n v="4.4570707070707067"/>
    <m/>
    <s v="FALSEE"/>
    <m/>
    <s v="Plains"/>
    <n v="1.64159989357"/>
    <s v="Very gentle"/>
    <s v="Upper slope"/>
    <n v="0.54385989904400001"/>
    <n v="8.4438333511400003"/>
    <n v="383.87340202968664"/>
    <n v="615.6155656730524"/>
    <n v="1.593"/>
    <n v="2.39"/>
    <n v="-0.79700000000000015"/>
    <n v="5.0536616161616159"/>
    <n v="2.8395238095238096"/>
    <n v="-2.2141378066378063"/>
    <n v="506.88000000000005"/>
    <n v="82.003679999999974"/>
    <n v="127.45439999999999"/>
    <n v="716.33807999999999"/>
    <n v="0"/>
    <n v="716.33807999999999"/>
  </r>
  <r>
    <s v="Inot Songoyani"/>
    <n v="125"/>
    <s v="Mafita Maging'i Issa"/>
    <s v="Mafita Magingi Issa"/>
    <s v="HALLU"/>
    <s v="Hallu"/>
    <n v="0"/>
    <s v="Homefield"/>
    <s v="Feed livestock"/>
    <s v="InField feed"/>
    <n v="0"/>
    <m/>
    <m/>
    <s v=""/>
    <m/>
    <n v="0"/>
    <s v=""/>
    <m/>
    <m/>
    <s v=""/>
    <m/>
    <s v=""/>
    <m/>
    <m/>
    <s v=""/>
    <x v="0"/>
    <s v="Own animals"/>
    <n v="0"/>
    <s v=""/>
    <m/>
    <s v=""/>
    <s v=""/>
    <s v="Yes"/>
    <s v="No"/>
    <s v=""/>
    <n v="0"/>
    <s v=""/>
    <m/>
    <m/>
    <s v=""/>
    <s v=""/>
    <n v="0"/>
    <n v="0"/>
    <s v="00"/>
    <x v="2"/>
    <n v="1"/>
    <s v="Yes"/>
    <n v="1"/>
    <s v="Yes"/>
    <n v="1"/>
    <n v="3"/>
    <s v="Yes"/>
    <s v="Rent"/>
    <n v="2"/>
    <n v="4"/>
    <n v="6"/>
    <s v="Yes"/>
    <s v="Yes"/>
    <s v="Yes"/>
    <s v="No"/>
    <s v="No"/>
    <s v="No"/>
    <n v="10"/>
    <s v="Both"/>
    <n v="10"/>
    <s v="Both"/>
    <n v="9"/>
    <s v="Both"/>
    <m/>
    <s v=""/>
    <m/>
    <s v=""/>
    <m/>
    <n v="11.09"/>
    <s v="Medium"/>
    <n v="2"/>
    <n v="2"/>
    <n v="2"/>
    <n v="6"/>
    <n v="0"/>
    <n v="0"/>
    <n v="1"/>
    <s v=""/>
    <n v="60.3"/>
    <s v="High"/>
    <n v="71.39"/>
    <s v="Yes"/>
    <s v="Dusban"/>
    <s v="Yes"/>
    <s v="Casual"/>
    <n v="0.25"/>
    <n v="0.25"/>
    <n v="0"/>
    <s v="Yes"/>
    <n v="0.5"/>
    <n v="4.5"/>
    <s v="Bags"/>
    <n v="2.16"/>
    <m/>
    <n v="999"/>
    <s v="Gorogoro"/>
    <m/>
    <n v="0.5"/>
    <n v="4"/>
    <s v="Gorogoro"/>
    <n v="0.32063999999999998"/>
    <x v="0"/>
    <s v="No"/>
    <s v="Yes"/>
    <s v="No"/>
    <s v="No"/>
    <n v="1"/>
    <n v="2"/>
    <s v="uuid:3f2dd737-22a1-4904-8747-1643d70397f5/secG-G2"/>
    <s v="uuid:3f2dd737-22a1-4904-8747-1643d70397f5/secG-G5"/>
    <n v="-4.2831096649169922"/>
    <n v="35.898578643798828"/>
    <n v="1205"/>
    <n v="5"/>
    <n v="1706031849"/>
    <s v="uuid:3f2dd737-22a1-4904-8747-1643d70397f5"/>
    <d v="2017-06-21T10:37:42"/>
    <d v="2017-06-20T12:25:56"/>
    <d v="2017-06-20T12:44:52"/>
    <d v="2017-02-22T00:00:00"/>
    <m/>
    <n v="3.5565679012345686"/>
    <n v="5.9031111111111114"/>
    <n v="3.9482361111111106"/>
    <n v="4.2701388888888889"/>
    <m/>
    <n v="1"/>
    <m/>
    <s v="Plains"/>
    <n v="2.4237968921699999"/>
    <s v="Gentle"/>
    <s v="Upper slope"/>
    <n v="0.63450175523800001"/>
    <n v="8.6444921493500004"/>
    <m/>
    <n v="389.45647130440676"/>
    <m/>
    <n v="1.4550000000000001"/>
    <m/>
    <n v="4.1091875"/>
    <n v="4.7298395061728398"/>
    <n v="0.62065200617283978"/>
    <n v="760.32"/>
    <n v="218.67648"/>
    <n v="0"/>
    <n v="978.99648000000002"/>
    <n v="63.699999999999996"/>
    <n v="915.29647999999997"/>
  </r>
  <r>
    <s v="Inot Songoyani"/>
    <n v="184"/>
    <s v="Manase Bakari Kwangai"/>
    <s v="Manase Baghari Qwangway"/>
    <s v="DURU"/>
    <s v="Duru"/>
    <n v="0"/>
    <s v="Homefield"/>
    <s v="Feed livestock"/>
    <s v="OffField feed"/>
    <n v="0"/>
    <m/>
    <m/>
    <s v=""/>
    <m/>
    <n v="0"/>
    <s v=""/>
    <m/>
    <m/>
    <s v=""/>
    <m/>
    <s v=""/>
    <m/>
    <m/>
    <s v=""/>
    <x v="0"/>
    <s v="Own animals"/>
    <n v="0"/>
    <s v=""/>
    <m/>
    <s v=""/>
    <s v=""/>
    <s v="No"/>
    <s v="No"/>
    <s v=""/>
    <n v="0"/>
    <s v=""/>
    <m/>
    <m/>
    <s v=""/>
    <s v=""/>
    <n v="0"/>
    <n v="0"/>
    <s v="00"/>
    <x v="2"/>
    <n v="1"/>
    <s v="Yes"/>
    <n v="1"/>
    <s v="Yes"/>
    <n v="3"/>
    <n v="10"/>
    <s v="No"/>
    <s v=""/>
    <m/>
    <n v="11"/>
    <n v="11"/>
    <s v="Yes"/>
    <s v="Yes"/>
    <s v="No"/>
    <s v="No"/>
    <s v="No"/>
    <s v="No"/>
    <n v="11"/>
    <s v="Both"/>
    <n v="4"/>
    <s v="Both"/>
    <m/>
    <s v=""/>
    <m/>
    <s v=""/>
    <m/>
    <s v=""/>
    <m/>
    <n v="11.4"/>
    <s v="Medium"/>
    <n v="2"/>
    <n v="1"/>
    <n v="3"/>
    <n v="6"/>
    <n v="0"/>
    <n v="1"/>
    <n v="1"/>
    <s v=""/>
    <n v="166.1"/>
    <s v="High"/>
    <n v="177.5"/>
    <s v="No"/>
    <s v=""/>
    <s v="Yes"/>
    <s v="Casual"/>
    <n v="1"/>
    <n v="4"/>
    <m/>
    <s v="Yes"/>
    <n v="5"/>
    <n v="40"/>
    <s v="Bags"/>
    <n v="1.92"/>
    <m/>
    <n v="999"/>
    <s v="Bags"/>
    <m/>
    <n v="5"/>
    <n v="22"/>
    <s v="Bags"/>
    <n v="1.056"/>
    <x v="0"/>
    <s v="No"/>
    <s v="Yes"/>
    <s v="No"/>
    <s v="No"/>
    <n v="1"/>
    <n v="3"/>
    <s v="uuid:475d65ba-3580-4366-a086-3c79ec47c23d/secG-G2"/>
    <s v="uuid:475d65ba-3580-4366-a086-3c79ec47c23d/secG-G5"/>
    <n v="-4.3478708267211914"/>
    <n v="35.596324920654297"/>
    <n v="1521.0999755859375"/>
    <n v="5"/>
    <n v="1706031849"/>
    <s v="uuid:475d65ba-3580-4366-a086-3c79ec47c23d"/>
    <d v="2017-07-10T13:49:23"/>
    <d v="2017-07-05T15:17:01"/>
    <d v="2017-07-05T15:33:07"/>
    <d v="2017-02-04T00:00:00"/>
    <m/>
    <n v="3.1623832528180364"/>
    <n v="3.985829307568439"/>
    <n v="5.6858605664488024"/>
    <n v="6.0296078431372555"/>
    <m/>
    <s v="FALSEE"/>
    <m/>
    <s v="Valleys"/>
    <n v="3.5332040786699999"/>
    <s v="Gentle"/>
    <s v="Flat"/>
    <n v="0.27193418145199999"/>
    <n v="9.6542224884000003"/>
    <n v="260.04836903940566"/>
    <m/>
    <n v="0.80900000000000005"/>
    <m/>
    <m/>
    <n v="5.8577342047930294"/>
    <n v="3.574106280193238"/>
    <n v="-2.2836279245997915"/>
    <n v="675.83999999999992"/>
    <n v="720.19200000000001"/>
    <n v="0"/>
    <n v="1396.0319999999999"/>
    <n v="63.699999999999996"/>
    <n v="1332.3319999999999"/>
  </r>
  <r>
    <s v="Inot Songoyani"/>
    <n v="186"/>
    <s v="Gichara Bombo Warae"/>
    <s v="Gichara Bombo Warae"/>
    <s v="MANDI"/>
    <s v="Mandi"/>
    <n v="0.5"/>
    <s v="outfield"/>
    <s v="Feed livestock"/>
    <s v="OffField feed"/>
    <n v="0"/>
    <m/>
    <m/>
    <s v=""/>
    <m/>
    <n v="0"/>
    <s v=""/>
    <m/>
    <m/>
    <s v=""/>
    <m/>
    <s v=""/>
    <m/>
    <m/>
    <s v=""/>
    <x v="0"/>
    <s v="Own animals"/>
    <n v="0"/>
    <s v=""/>
    <m/>
    <s v=""/>
    <s v=""/>
    <s v="Yes"/>
    <s v="No"/>
    <s v=""/>
    <n v="0"/>
    <s v=""/>
    <m/>
    <m/>
    <s v=""/>
    <s v=""/>
    <n v="0"/>
    <n v="0"/>
    <s v="00"/>
    <x v="2"/>
    <n v="1"/>
    <s v="No"/>
    <m/>
    <s v="Yes"/>
    <n v="1"/>
    <n v="1"/>
    <s v="No"/>
    <s v=""/>
    <m/>
    <n v="1"/>
    <n v="1"/>
    <s v="Yes"/>
    <s v="Yes"/>
    <s v="Yes"/>
    <s v="Yes"/>
    <s v="No"/>
    <s v="No"/>
    <n v="10"/>
    <s v="Both"/>
    <n v="3"/>
    <s v="Both"/>
    <n v="20"/>
    <s v="Both"/>
    <n v="11"/>
    <s v="Both"/>
    <m/>
    <s v=""/>
    <m/>
    <n v="11.6"/>
    <s v="Medium"/>
    <n v="2"/>
    <n v="4"/>
    <n v="8"/>
    <n v="14"/>
    <n v="0"/>
    <n v="1"/>
    <n v="1"/>
    <s v=""/>
    <n v="16.100000000000001"/>
    <s v="Medium"/>
    <n v="27.700000000000003"/>
    <s v="No"/>
    <s v=""/>
    <s v="No"/>
    <s v=""/>
    <n v="0.5"/>
    <n v="4.75"/>
    <m/>
    <s v="No"/>
    <n v="5"/>
    <n v="10"/>
    <s v="Bags"/>
    <n v="0.48"/>
    <n v="5"/>
    <n v="2"/>
    <s v="Bags"/>
    <n v="9.6000000000000002E-2"/>
    <n v="5"/>
    <n v="4"/>
    <s v="Bags"/>
    <n v="0.192"/>
    <x v="1"/>
    <s v="No"/>
    <s v="No"/>
    <s v="No"/>
    <s v="No"/>
    <n v="1"/>
    <n v="3"/>
    <s v="uuid:22cf2713-e13f-4b75-ba2a-b664b0e82f46/secG-G2"/>
    <s v="uuid:22cf2713-e13f-4b75-ba2a-b664b0e82f46/secG-G5"/>
    <n v="-4.329749584197998"/>
    <n v="35.460727691650391"/>
    <n v="1553"/>
    <n v="5"/>
    <n v="1706031849"/>
    <s v="uuid:22cf2713-e13f-4b75-ba2a-b664b0e82f46"/>
    <d v="2017-07-14T09:12:54"/>
    <d v="2017-07-12T10:57:45"/>
    <d v="2017-07-12T11:32:09"/>
    <d v="2017-02-07T00:00:00"/>
    <m/>
    <n v="2.2687499999999998"/>
    <n v="3.2999999999999994"/>
    <n v="2.6812499999999995"/>
    <n v="3.0593749999999997"/>
    <m/>
    <s v="FALSEE"/>
    <m/>
    <s v="Plains"/>
    <n v="0"/>
    <s v="Depression"/>
    <s v="Flat"/>
    <n v="8.4776775111099995E-6"/>
    <n v="11.4374370575"/>
    <n v="530.17947174405651"/>
    <n v="574.76497683384628"/>
    <n v="2.2250000000000001"/>
    <n v="2.3530000000000002"/>
    <n v="-0.12800000000000011"/>
    <n v="2.8703124999999998"/>
    <n v="2.7843749999999998"/>
    <n v="-8.59375E-2"/>
    <n v="168.95999999999998"/>
    <n v="130.94400000000002"/>
    <n v="76.320000000000007"/>
    <n v="376.22399999999999"/>
    <n v="63.699999999999996"/>
    <n v="312.524"/>
  </r>
  <r>
    <s v="Inot Songoyani"/>
    <n v="104"/>
    <s v="Halifa Juma Kapera Endanoga"/>
    <s v=""/>
    <e v="#N/A"/>
    <s v="Orngadida"/>
    <n v="1.5"/>
    <s v="outfield"/>
    <s v="Bury"/>
    <s v="Bury"/>
    <n v="0"/>
    <m/>
    <m/>
    <s v=""/>
    <m/>
    <n v="0"/>
    <s v=""/>
    <m/>
    <s v="Variable"/>
    <s v="Other fields in my home village"/>
    <m/>
    <s v="This field"/>
    <m/>
    <m/>
    <s v=""/>
    <x v="0"/>
    <s v="Own animals"/>
    <n v="0"/>
    <s v=""/>
    <m/>
    <s v=""/>
    <s v=""/>
    <s v="No"/>
    <s v="No"/>
    <s v=""/>
    <n v="0"/>
    <s v=""/>
    <m/>
    <m/>
    <s v=""/>
    <s v=""/>
    <n v="0"/>
    <n v="0"/>
    <s v="00"/>
    <x v="2"/>
    <n v="1"/>
    <s v="Yes"/>
    <n v="1"/>
    <s v="Yes"/>
    <n v="2"/>
    <n v="3"/>
    <s v="Yes"/>
    <s v="Family"/>
    <n v="1"/>
    <n v="4"/>
    <n v="5"/>
    <s v="Yes"/>
    <s v="Yes"/>
    <s v="Yes"/>
    <s v="No"/>
    <s v="No"/>
    <s v="No"/>
    <n v="11"/>
    <s v="Both"/>
    <n v="7"/>
    <s v="Free range"/>
    <n v="6"/>
    <s v="Free range"/>
    <m/>
    <s v=""/>
    <m/>
    <s v=""/>
    <m/>
    <n v="11.76"/>
    <s v="Medium"/>
    <n v="3"/>
    <n v="1"/>
    <n v="4"/>
    <n v="8"/>
    <n v="0"/>
    <n v="1"/>
    <n v="1"/>
    <m/>
    <n v="61.1"/>
    <s v="High"/>
    <n v="72.86"/>
    <s v="Yes"/>
    <s v="Karate"/>
    <s v="No"/>
    <s v=""/>
    <n v="1"/>
    <m/>
    <m/>
    <s v="Yes"/>
    <n v="1"/>
    <n v="12"/>
    <s v="Bags"/>
    <n v="2.8800000000000003"/>
    <m/>
    <n v="999"/>
    <s v="Bags"/>
    <m/>
    <n v="1"/>
    <n v="2"/>
    <s v="Bags"/>
    <n v="0.48"/>
    <x v="1"/>
    <s v="Yes"/>
    <s v="Yes"/>
    <s v="No"/>
    <s v="No"/>
    <n v="3"/>
    <n v="3"/>
    <s v="uuid:5fac5e16-f5b4-4877-ab24-71e3a3776528/secG-G2"/>
    <s v="uuid:5fac5e16-f5b4-4877-ab24-71e3a3776528/secG-G5"/>
    <n v="-4.2103300094604492"/>
    <n v="35.743022918701172"/>
    <n v="1305.699951171875"/>
    <n v="15"/>
    <n v="1705231439"/>
    <s v="uuid:5fac5e16-f5b4-4877-ab24-71e3a3776528"/>
    <d v="2017-08-03T23:11:57"/>
    <d v="2017-06-07T13:50:46"/>
    <d v="2017-08-03T22:34:55"/>
    <d v="2017-02-07T00:00:00"/>
    <m/>
    <m/>
    <m/>
    <m/>
    <m/>
    <m/>
    <n v="1"/>
    <m/>
    <s v="Plains"/>
    <n v="3.8559429645500001"/>
    <s v="Gentle"/>
    <s v="Flat"/>
    <n v="0.27193418145199999"/>
    <n v="8.6119012832599999"/>
    <m/>
    <m/>
    <m/>
    <m/>
    <m/>
    <m/>
    <m/>
    <m/>
    <n v="1013.7600000000001"/>
    <n v="327.36"/>
    <n v="0"/>
    <n v="1341.1200000000001"/>
    <n v="63.699999999999996"/>
    <n v="1277.42"/>
  </r>
  <r>
    <s v="Inot Songoyani"/>
    <n v="140"/>
    <s v="Abas Mohamdi Bura"/>
    <s v="Abas Mohamedi/Tahani Safari"/>
    <e v="#N/A"/>
    <s v="Ayamango"/>
    <n v="2"/>
    <s v="outfield"/>
    <s v="Feed livestock"/>
    <s v="OffField feed"/>
    <n v="0"/>
    <m/>
    <m/>
    <s v=""/>
    <m/>
    <n v="0"/>
    <s v=""/>
    <m/>
    <m/>
    <s v=""/>
    <m/>
    <s v=""/>
    <m/>
    <m/>
    <s v=""/>
    <x v="1"/>
    <s v=""/>
    <n v="0"/>
    <s v=""/>
    <m/>
    <s v=""/>
    <s v=""/>
    <s v="Yes"/>
    <s v="No"/>
    <s v=""/>
    <n v="0"/>
    <s v=""/>
    <m/>
    <m/>
    <s v=""/>
    <s v=""/>
    <n v="0"/>
    <n v="0"/>
    <s v="00"/>
    <x v="2"/>
    <n v="1"/>
    <s v="Yes"/>
    <n v="0.25"/>
    <s v="Yes"/>
    <n v="3"/>
    <n v="10.75"/>
    <s v="No"/>
    <s v=""/>
    <m/>
    <n v="11"/>
    <n v="11"/>
    <s v="Yes"/>
    <s v="Yes"/>
    <s v="Yes"/>
    <s v="No"/>
    <s v="No"/>
    <s v="No"/>
    <n v="12"/>
    <s v="Both"/>
    <n v="8"/>
    <s v="Both"/>
    <n v="6"/>
    <s v="Both"/>
    <m/>
    <s v=""/>
    <m/>
    <s v=""/>
    <m/>
    <n v="12.860000000000001"/>
    <s v="Medium"/>
    <n v="2"/>
    <n v="2"/>
    <n v="4"/>
    <n v="8"/>
    <n v="0"/>
    <n v="1"/>
    <n v="1"/>
    <s v=""/>
    <n v="166.1"/>
    <s v="High"/>
    <n v="178.96"/>
    <s v="No"/>
    <s v=""/>
    <s v="Yes"/>
    <s v="Casual"/>
    <n v="0.25"/>
    <n v="4.5"/>
    <m/>
    <s v="Yes"/>
    <n v="4.75"/>
    <n v="3.5"/>
    <s v="Bags"/>
    <n v="0.17684210526315791"/>
    <m/>
    <n v="999"/>
    <s v="Bags"/>
    <m/>
    <n v="4.75"/>
    <n v="5"/>
    <s v="Bags"/>
    <n v="0.25263157894736843"/>
    <x v="0"/>
    <s v="No"/>
    <s v="No"/>
    <s v="No"/>
    <s v="No"/>
    <n v="0"/>
    <n v="3"/>
    <s v="uuid:2943d35a-d670-4658-83ae-a80640461249/secG-G2"/>
    <s v="uuid:2943d35a-d670-4658-83ae-a80640461249/secG-G5"/>
    <n v="-4.2220315933227539"/>
    <n v="35.8814697265625"/>
    <n v="1262.800048828125"/>
    <n v="5"/>
    <n v="1706031849"/>
    <s v="uuid:2943d35a-d670-4658-83ae-a80640461249"/>
    <d v="2017-06-22T12:46:40"/>
    <d v="2017-06-21T11:59:12"/>
    <d v="2017-06-22T12:44:26"/>
    <d v="2017-02-04T00:00:00"/>
    <m/>
    <m/>
    <m/>
    <m/>
    <m/>
    <m/>
    <n v="1"/>
    <m/>
    <s v="Plains"/>
    <n v="2.45308256149"/>
    <s v="Gentle"/>
    <s v="Flat"/>
    <n v="-9.0633422136300004E-2"/>
    <n v="8.5408096313499993"/>
    <m/>
    <m/>
    <m/>
    <m/>
    <m/>
    <m/>
    <m/>
    <m/>
    <n v="62.248421052631585"/>
    <n v="172.29473684210527"/>
    <n v="0"/>
    <n v="234.54315789473685"/>
    <n v="0"/>
    <n v="234.54315789473685"/>
  </r>
  <r>
    <s v="Inot Songoyani"/>
    <n v="147"/>
    <s v="John Bay Tenga"/>
    <s v="John Bahi Tenga"/>
    <s v="HALLU"/>
    <s v="Hallu"/>
    <n v="0"/>
    <s v="Homefield"/>
    <s v="Feed livestock"/>
    <s v="OffField feed"/>
    <n v="0"/>
    <m/>
    <m/>
    <s v=""/>
    <m/>
    <n v="0"/>
    <s v=""/>
    <m/>
    <m/>
    <s v=""/>
    <m/>
    <s v=""/>
    <m/>
    <m/>
    <s v=""/>
    <x v="1"/>
    <s v=""/>
    <n v="0"/>
    <s v=""/>
    <m/>
    <s v=""/>
    <s v=""/>
    <s v="No"/>
    <s v="No"/>
    <s v=""/>
    <n v="0"/>
    <s v=""/>
    <m/>
    <m/>
    <s v=""/>
    <s v=""/>
    <n v="0"/>
    <n v="0"/>
    <s v="00"/>
    <x v="2"/>
    <n v="1"/>
    <s v="Yes"/>
    <n v="3"/>
    <s v="Yes"/>
    <n v="5"/>
    <n v="70"/>
    <s v="No"/>
    <s v=""/>
    <m/>
    <n v="73"/>
    <n v="73"/>
    <s v="Yes"/>
    <s v="Yes"/>
    <s v="No"/>
    <s v="Yes"/>
    <s v="No"/>
    <s v="No"/>
    <n v="11"/>
    <s v="Both"/>
    <n v="12"/>
    <s v="Both"/>
    <m/>
    <s v=""/>
    <n v="8"/>
    <s v="Free range"/>
    <m/>
    <s v=""/>
    <m/>
    <n v="13"/>
    <s v="Medium"/>
    <n v="12"/>
    <n v="15"/>
    <n v="9"/>
    <n v="36"/>
    <n v="2"/>
    <n v="0"/>
    <n v="0"/>
    <s v="Winnowing machine"/>
    <n v="1125"/>
    <s v="High"/>
    <n v="1138"/>
    <s v="Yes"/>
    <s v="Karate ninja"/>
    <s v="Yes"/>
    <s v="Casual"/>
    <n v="0.25"/>
    <n v="0.75"/>
    <m/>
    <s v="Yes"/>
    <n v="1"/>
    <n v="9"/>
    <s v="Bags"/>
    <n v="2.16"/>
    <m/>
    <n v="999"/>
    <s v="Bags"/>
    <m/>
    <n v="1"/>
    <n v="2"/>
    <s v="Bags"/>
    <n v="0.48"/>
    <x v="0"/>
    <s v="No"/>
    <s v="No"/>
    <s v="No"/>
    <s v="No"/>
    <n v="0"/>
    <n v="2"/>
    <s v="uuid:b9d3c93e-f137-4c19-be60-81aa2674406f/secG-G2"/>
    <s v="uuid:b9d3c93e-f137-4c19-be60-81aa2674406f/secG-G5"/>
    <n v="-4.2914495468139648"/>
    <n v="35.891063690185547"/>
    <n v="1221.0999755859375"/>
    <n v="5"/>
    <n v="1706031849"/>
    <s v="uuid:b9d3c93e-f137-4c19-be60-81aa2674406f"/>
    <d v="2017-06-27T10:12:16"/>
    <d v="2017-06-23T11:39:35"/>
    <d v="2017-06-23T12:09:40"/>
    <d v="2017-02-27T00:00:00"/>
    <m/>
    <n v="5.2082295482295482"/>
    <n v="3.9243711843711844"/>
    <n v="2.8974545454545453"/>
    <n v="3.203878787878788"/>
    <m/>
    <n v="1"/>
    <m/>
    <s v="Plains"/>
    <n v="1.3508191108700001"/>
    <s v="Very gentle"/>
    <s v="Flat"/>
    <n v="0.36257606744799997"/>
    <n v="10.9778470993"/>
    <m/>
    <n v="375.52350096384743"/>
    <m/>
    <n v="1.752"/>
    <m/>
    <n v="3.0506666666666664"/>
    <n v="4.5663003663003661"/>
    <n v="1.5156336996336996"/>
    <n v="760.32"/>
    <n v="327.36"/>
    <n v="0"/>
    <n v="1087.68"/>
    <n v="0"/>
    <n v="1087.68"/>
  </r>
  <r>
    <s v="Inot Songoyani"/>
    <n v="101"/>
    <s v="Juma Mola"/>
    <s v="Juma Mola"/>
    <s v="ORNGADIDA"/>
    <s v="Orngadida"/>
    <n v="0"/>
    <s v="Homefield"/>
    <s v="Feed livestock"/>
    <s v="InField feed"/>
    <n v="0"/>
    <m/>
    <m/>
    <s v=""/>
    <m/>
    <n v="0"/>
    <s v=""/>
    <m/>
    <s v="Variable"/>
    <s v="Other fields in my home village"/>
    <m/>
    <s v="This field"/>
    <m/>
    <m/>
    <s v=""/>
    <x v="0"/>
    <s v="Own animals"/>
    <n v="0"/>
    <s v=""/>
    <m/>
    <s v=""/>
    <s v=""/>
    <s v="No"/>
    <s v="No"/>
    <s v=""/>
    <n v="0"/>
    <s v=""/>
    <m/>
    <m/>
    <s v=""/>
    <s v=""/>
    <n v="0"/>
    <n v="0"/>
    <s v="00"/>
    <x v="2"/>
    <n v="1"/>
    <s v="Yes"/>
    <n v="0.75"/>
    <s v="Yes"/>
    <n v="2"/>
    <n v="11.25"/>
    <s v="No"/>
    <s v=""/>
    <m/>
    <n v="12"/>
    <n v="12"/>
    <s v="Yes"/>
    <s v="Yes"/>
    <s v="Yes"/>
    <s v="No"/>
    <s v="No"/>
    <s v="No"/>
    <n v="12"/>
    <s v="Both"/>
    <n v="9"/>
    <s v="Both"/>
    <n v="35"/>
    <s v="Both"/>
    <m/>
    <s v=""/>
    <m/>
    <s v=""/>
    <m/>
    <n v="13.25"/>
    <s v="Medium"/>
    <n v="2"/>
    <n v="1"/>
    <n v="5"/>
    <n v="8"/>
    <n v="0"/>
    <n v="0"/>
    <n v="0"/>
    <m/>
    <n v="180"/>
    <s v="High"/>
    <n v="193.25"/>
    <s v="Yes"/>
    <s v="Duduba"/>
    <s v="Yes"/>
    <s v="Casual"/>
    <n v="0.25"/>
    <n v="0.25"/>
    <m/>
    <s v="Yes"/>
    <n v="1"/>
    <n v="6"/>
    <s v="Bags"/>
    <n v="1.4400000000000002"/>
    <m/>
    <n v="999"/>
    <s v="Bags"/>
    <m/>
    <n v="1"/>
    <n v="4"/>
    <s v="Bags"/>
    <n v="0.96"/>
    <x v="1"/>
    <s v="Yes"/>
    <s v="Yes"/>
    <s v="Yes"/>
    <s v="Yes"/>
    <n v="5"/>
    <n v="2"/>
    <s v="uuid:8ec8eda9-f023-418d-ac8b-8f76348d49ed/secG-G2"/>
    <s v="uuid:8ec8eda9-f023-418d-ac8b-8f76348d49ed/secG-G5"/>
    <n v="-4.2923345565795898"/>
    <n v="35.850872039794922"/>
    <n v="1304.699951171875"/>
    <n v="5"/>
    <n v="1705231439"/>
    <s v="uuid:8ec8eda9-f023-418d-ac8b-8f76348d49ed"/>
    <d v="2017-08-03T23:09:58"/>
    <d v="2017-06-06T16:22:55"/>
    <d v="2017-08-03T22:13:34"/>
    <d v="2017-02-24T00:00:00"/>
    <m/>
    <n v="5.8710613598673298"/>
    <n v="5.1389054726368153"/>
    <n v="9.947008547008549"/>
    <n v="3.3300854700854705"/>
    <m/>
    <s v="FALSEE"/>
    <m/>
    <s v="Plains"/>
    <n v="0.46340289711999999"/>
    <s v="Depression"/>
    <s v="Flat"/>
    <n v="-0.362559139729"/>
    <n v="10.770300865199999"/>
    <n v="133.68714601507389"/>
    <n v="265.93519749091797"/>
    <n v="1.4339999999999999"/>
    <n v="1.3009999999999999"/>
    <n v="0.13300000000000001"/>
    <n v="6.6385470085470093"/>
    <n v="5.5049834162520721"/>
    <n v="-1.1335635922949372"/>
    <n v="506.88000000000005"/>
    <n v="654.72"/>
    <n v="0"/>
    <n v="1161.6000000000001"/>
    <n v="63.699999999999996"/>
    <n v="1097.9000000000001"/>
  </r>
  <r>
    <s v="Inot Sonyoyani"/>
    <n v="3"/>
    <s v="John Andrea Philipo"/>
    <s v="John Andrea Philipo"/>
    <s v="ORNGADIDA"/>
    <s v="Orngadida"/>
    <n v="1"/>
    <s v="outfield"/>
    <s v="Feed livestock"/>
    <s v="OffField feed"/>
    <n v="0"/>
    <m/>
    <m/>
    <s v=""/>
    <m/>
    <n v="0"/>
    <s v=""/>
    <m/>
    <s v="Variable"/>
    <s v="Other fields in my home village"/>
    <m/>
    <s v="This field"/>
    <m/>
    <m/>
    <s v=""/>
    <x v="0"/>
    <s v="Own animals"/>
    <n v="0"/>
    <s v=""/>
    <m/>
    <s v=""/>
    <s v=""/>
    <s v="Yes"/>
    <s v="No"/>
    <s v=""/>
    <n v="0"/>
    <s v=""/>
    <m/>
    <m/>
    <s v=""/>
    <s v=""/>
    <n v="0"/>
    <n v="0"/>
    <s v="00"/>
    <x v="2"/>
    <n v="1"/>
    <s v="Yes"/>
    <n v="0.5"/>
    <s v="Yes"/>
    <n v="2"/>
    <n v="5"/>
    <s v="Yes"/>
    <s v="Rent"/>
    <n v="1"/>
    <n v="5.5"/>
    <n v="6.5"/>
    <s v="Yes"/>
    <s v="Yes"/>
    <s v="Yes"/>
    <s v="No"/>
    <s v="No"/>
    <s v="No"/>
    <n v="13"/>
    <s v="Both"/>
    <n v="6"/>
    <s v="Both"/>
    <n v="5"/>
    <s v="Both"/>
    <m/>
    <s v=""/>
    <m/>
    <s v=""/>
    <m/>
    <n v="13.65"/>
    <s v="Medium"/>
    <n v="2"/>
    <n v="4"/>
    <n v="4"/>
    <n v="10"/>
    <n v="0"/>
    <n v="1"/>
    <n v="2"/>
    <s v=""/>
    <n v="83.9"/>
    <s v="High"/>
    <n v="97.55"/>
    <s v="Yes"/>
    <s v="Karate"/>
    <s v="Yes"/>
    <s v="Casual"/>
    <n v="0.5"/>
    <m/>
    <n v="0.5"/>
    <s v="Yes"/>
    <n v="1"/>
    <n v="10"/>
    <s v="Bags"/>
    <n v="2.4"/>
    <m/>
    <n v="999"/>
    <s v="Bags"/>
    <m/>
    <n v="1"/>
    <n v="3"/>
    <s v="Bags"/>
    <n v="0.72"/>
    <x v="1"/>
    <s v="No"/>
    <s v="No"/>
    <s v="No"/>
    <s v="No"/>
    <n v="1"/>
    <n v="3"/>
    <s v="uuid:8b901d22-53e8-4308-9f5f-931d3abefa99/secG-G2"/>
    <s v="uuid:8b901d22-53e8-4308-9f5f-931d3abefa99/secG-G5"/>
    <n v="-4.2999958992004395"/>
    <n v="35.850307464599609"/>
    <n v="1270.4000244140625"/>
    <n v="5"/>
    <n v="1705231439"/>
    <s v="uuid:8b901d22-53e8-4308-9f5f-931d3abefa99"/>
    <d v="2017-06-07T14:17:04"/>
    <d v="2017-06-06T10:40:14"/>
    <d v="2017-06-06T11:28:44"/>
    <d v="2017-02-24T00:00:00"/>
    <m/>
    <n v="4.1796842105263163"/>
    <n v="6.0845497076023403"/>
    <n v="2.8951375137513748"/>
    <n v="4.224422442244224"/>
    <m/>
    <n v="1"/>
    <m/>
    <s v="Plains"/>
    <n v="1.36835634708"/>
    <s v="Very gentle"/>
    <s v="Flat"/>
    <n v="-9.0633422136300004E-2"/>
    <n v="8.9760036468499997"/>
    <n v="342.94387954233508"/>
    <n v="265.48326035228052"/>
    <n v="1.7629999999999999"/>
    <n v="1.8480000000000001"/>
    <n v="-8.5000000000000187E-2"/>
    <n v="3.5597799779977994"/>
    <n v="5.1321169590643283"/>
    <n v="1.5723369810665289"/>
    <n v="844.8"/>
    <n v="491.03999999999996"/>
    <n v="0"/>
    <n v="1335.84"/>
    <n v="63.699999999999996"/>
    <n v="1272.1399999999999"/>
  </r>
  <r>
    <s v="Inot"/>
    <n v="133"/>
    <s v="Abas mohamedi"/>
    <s v="Abas mohamedi"/>
    <s v="AYAMANGO"/>
    <s v="Ayamango"/>
    <n v="2.5"/>
    <s v="outfield"/>
    <s v="Bury"/>
    <s v="Bury"/>
    <n v="0"/>
    <m/>
    <m/>
    <s v=""/>
    <m/>
    <n v="0"/>
    <s v=""/>
    <m/>
    <m/>
    <s v=""/>
    <m/>
    <s v=""/>
    <m/>
    <m/>
    <s v=""/>
    <x v="1"/>
    <s v=""/>
    <n v="0"/>
    <s v=""/>
    <m/>
    <s v=""/>
    <s v=""/>
    <s v="Yes"/>
    <s v="No"/>
    <s v=""/>
    <n v="0"/>
    <s v=""/>
    <m/>
    <m/>
    <s v=""/>
    <s v=""/>
    <n v="0"/>
    <n v="0"/>
    <s v="00"/>
    <x v="2"/>
    <n v="1"/>
    <s v="Yes"/>
    <n v="0.5"/>
    <s v="Yes"/>
    <n v="4"/>
    <n v="10.5"/>
    <s v="No"/>
    <s v=""/>
    <m/>
    <n v="11"/>
    <n v="11"/>
    <s v="Yes"/>
    <s v="Yes"/>
    <s v="Yes"/>
    <s v="No"/>
    <s v="No"/>
    <s v="No"/>
    <n v="12"/>
    <s v="Both"/>
    <n v="20"/>
    <s v="Both"/>
    <n v="20"/>
    <s v="Both"/>
    <m/>
    <s v=""/>
    <m/>
    <s v=""/>
    <m/>
    <n v="14.2"/>
    <s v="High"/>
    <n v="3"/>
    <n v="1"/>
    <n v="5"/>
    <n v="9"/>
    <n v="0"/>
    <n v="0"/>
    <n v="1"/>
    <s v=""/>
    <n v="165.3"/>
    <s v="High"/>
    <n v="179.5"/>
    <s v="No"/>
    <s v=""/>
    <s v="Yes"/>
    <s v="Casual"/>
    <n v="0.25"/>
    <n v="4.5"/>
    <m/>
    <s v="No"/>
    <n v="1"/>
    <n v="7"/>
    <s v="Bags"/>
    <n v="1.6800000000000002"/>
    <m/>
    <n v="999"/>
    <s v="Bags"/>
    <m/>
    <n v="1"/>
    <n v="4"/>
    <s v="Gorogoro"/>
    <n v="0.16031999999999999"/>
    <x v="0"/>
    <s v="No"/>
    <s v="No"/>
    <s v="No"/>
    <s v="No"/>
    <n v="0"/>
    <n v="2"/>
    <s v="uuid:9622fa27-a5ff-425a-b3d6-714002739d01/secG-G2"/>
    <s v="uuid:9622fa27-a5ff-425a-b3d6-714002739d01/secG-G5"/>
    <n v="-4.2431855201721191"/>
    <n v="35.889804840087891"/>
    <n v="1231.699951171875"/>
    <n v="5"/>
    <n v="1706031849"/>
    <s v="uuid:9622fa27-a5ff-425a-b3d6-714002739d01"/>
    <d v="2017-06-21T19:46:34"/>
    <d v="2017-06-21T14:14:57"/>
    <d v="2017-06-21T16:26:53"/>
    <d v="2017-02-04T00:00:00"/>
    <m/>
    <n v="3.1255026455026456"/>
    <n v="2.4321693121693126"/>
    <n v="4.1709968847352021"/>
    <n v="3.8127102803738318"/>
    <n v="0"/>
    <s v="FALSEE"/>
    <m/>
    <s v="Plains"/>
    <n v="2.15328860283"/>
    <s v="Gentle"/>
    <s v="Toeslope"/>
    <n v="-0.725126743317"/>
    <n v="9.7927923202499993"/>
    <n v="80.69695571454713"/>
    <n v="202.98201025422367"/>
    <n v="0.74199999999999999"/>
    <n v="0.72499999999999998"/>
    <n v="1.7000000000000015E-2"/>
    <n v="3.9918535825545169"/>
    <n v="2.7788359788359793"/>
    <n v="-1.2130176037185376"/>
    <n v="591.36"/>
    <n v="109.33824"/>
    <n v="0"/>
    <n v="700.69824000000006"/>
    <n v="0"/>
    <n v="700.69824000000006"/>
  </r>
  <r>
    <s v="Inot Songoyani"/>
    <n v="8"/>
    <s v="Rehemac Iddy Hotti"/>
    <s v="Rehema Iddy Hotti"/>
    <s v="ORNGADIDA"/>
    <s v="Orngadida"/>
    <n v="0"/>
    <s v="Homefield"/>
    <s v="Feed livestock"/>
    <s v="OffField feed"/>
    <n v="0"/>
    <m/>
    <m/>
    <s v=""/>
    <m/>
    <n v="0"/>
    <s v=""/>
    <m/>
    <s v="Variable"/>
    <s v="Other fields in my home village"/>
    <m/>
    <s v="Other, Specify"/>
    <n v="999"/>
    <m/>
    <s v=""/>
    <x v="0"/>
    <s v="Own animals"/>
    <n v="0"/>
    <s v=""/>
    <m/>
    <s v=""/>
    <s v=""/>
    <s v="Yes"/>
    <s v="No"/>
    <s v=""/>
    <n v="0"/>
    <s v=""/>
    <m/>
    <m/>
    <s v=""/>
    <s v=""/>
    <n v="0"/>
    <n v="0"/>
    <s v="00"/>
    <x v="2"/>
    <n v="1"/>
    <s v="Yes"/>
    <n v="1"/>
    <s v="Yes"/>
    <n v="3"/>
    <n v="9.5"/>
    <s v="No"/>
    <s v=""/>
    <m/>
    <n v="10.5"/>
    <n v="10.5"/>
    <s v="Yes"/>
    <s v="Yes"/>
    <s v="Yes"/>
    <s v="No"/>
    <s v="No"/>
    <s v="No"/>
    <n v="15"/>
    <s v="Both"/>
    <n v="9"/>
    <s v="Both"/>
    <n v="12"/>
    <s v="Both"/>
    <m/>
    <s v=""/>
    <m/>
    <s v=""/>
    <m/>
    <n v="16.02"/>
    <s v="High"/>
    <n v="2"/>
    <n v="1"/>
    <n v="1"/>
    <n v="4"/>
    <n v="0"/>
    <n v="1"/>
    <n v="1"/>
    <s v=""/>
    <n v="158.6"/>
    <s v="High"/>
    <n v="174.62"/>
    <s v="Yes"/>
    <s v="Karate"/>
    <s v="Yes"/>
    <s v="Casual"/>
    <n v="0.25"/>
    <m/>
    <n v="1.75"/>
    <s v="Yes"/>
    <n v="1"/>
    <n v="15"/>
    <s v="Bags"/>
    <n v="3.5999999999999996"/>
    <m/>
    <n v="999"/>
    <s v="Bags"/>
    <m/>
    <n v="1"/>
    <n v="3"/>
    <s v="Bags"/>
    <n v="0.72"/>
    <x v="0"/>
    <s v="No"/>
    <s v="No"/>
    <s v="No"/>
    <s v="No"/>
    <n v="0"/>
    <n v="3"/>
    <s v="uuid:d08f0057-af22-45bd-952a-860f20be069a/secG-G2"/>
    <s v="uuid:d08f0057-af22-45bd-952a-860f20be069a/secG-G5"/>
    <n v="-4.3064398765563965"/>
    <n v="35.873340606689453"/>
    <n v="1240.800048828125"/>
    <n v="5"/>
    <n v="1705231439"/>
    <s v="uuid:d08f0057-af22-45bd-952a-860f20be069a"/>
    <d v="2017-06-07T14:17:40"/>
    <d v="2017-06-06T13:36:25"/>
    <d v="2017-06-06T13:56:43"/>
    <d v="2017-02-09T00:00:00"/>
    <m/>
    <n v="2.7571144278606963"/>
    <n v="2.1418905472636816"/>
    <n v="3.1985663082437279"/>
    <n v="2.7674551971326169"/>
    <m/>
    <s v="FALSEE"/>
    <m/>
    <s v="Plains"/>
    <n v="2.5459241867100002"/>
    <s v="Gentle"/>
    <s v="Flat"/>
    <n v="8.4776775111099995E-6"/>
    <n v="8.8782196044900008"/>
    <n v="264.55943926316434"/>
    <n v="194.57158275436652"/>
    <n v="1.2290000000000001"/>
    <n v="1.1599999999999999"/>
    <n v="6.9000000000000172E-2"/>
    <n v="2.9830107526881724"/>
    <n v="2.4495024875621887"/>
    <n v="-0.5335082651259837"/>
    <n v="1267.1999999999998"/>
    <n v="491.03999999999996"/>
    <n v="0"/>
    <n v="1758.2399999999998"/>
    <n v="63.699999999999996"/>
    <n v="1694.5399999999997"/>
  </r>
  <r>
    <s v="Inot Songoyani"/>
    <n v="130"/>
    <s v="Fatuma Iddi Lawala"/>
    <s v="Fatuma Iddi Lawala"/>
    <s v="HALLU"/>
    <s v="Hallu"/>
    <n v="0"/>
    <s v="Homefield"/>
    <s v="Feed livestock"/>
    <s v="OffField feed"/>
    <n v="0"/>
    <m/>
    <m/>
    <s v=""/>
    <m/>
    <n v="0"/>
    <s v=""/>
    <m/>
    <m/>
    <s v=""/>
    <m/>
    <s v=""/>
    <m/>
    <m/>
    <s v=""/>
    <x v="0"/>
    <s v="Own animals"/>
    <n v="0"/>
    <s v=""/>
    <m/>
    <s v=""/>
    <s v=""/>
    <s v="Yes"/>
    <s v="No"/>
    <s v=""/>
    <n v="0"/>
    <s v=""/>
    <m/>
    <m/>
    <s v=""/>
    <s v=""/>
    <n v="0"/>
    <n v="0"/>
    <s v="00"/>
    <x v="2"/>
    <n v="1"/>
    <s v="Yes"/>
    <n v="6"/>
    <s v="Yes"/>
    <n v="2"/>
    <n v="14"/>
    <s v="No"/>
    <s v=""/>
    <m/>
    <n v="20"/>
    <n v="20"/>
    <s v="Yes"/>
    <s v="Yes"/>
    <s v="Yes"/>
    <s v="No"/>
    <s v="No"/>
    <s v="No"/>
    <n v="20"/>
    <s v="Both"/>
    <n v="15"/>
    <s v="Both"/>
    <n v="10"/>
    <s v="Both"/>
    <m/>
    <s v=""/>
    <m/>
    <s v=""/>
    <m/>
    <n v="21.6"/>
    <s v="High"/>
    <n v="4"/>
    <n v="2"/>
    <n v="6"/>
    <n v="12"/>
    <n v="1"/>
    <n v="0"/>
    <n v="0"/>
    <s v=""/>
    <n v="315"/>
    <s v="High"/>
    <n v="336.6"/>
    <s v="Yes"/>
    <s v="Stalk borer"/>
    <s v="Yes"/>
    <s v="Casual"/>
    <n v="0.25"/>
    <n v="0.75"/>
    <m/>
    <s v="Yes"/>
    <n v="1"/>
    <n v="20"/>
    <s v="Bags"/>
    <n v="4.8"/>
    <m/>
    <n v="999"/>
    <s v="Bags"/>
    <m/>
    <n v="1"/>
    <n v="4"/>
    <s v="Bags"/>
    <n v="0.96"/>
    <x v="0"/>
    <s v="Yes"/>
    <s v="No"/>
    <s v="No"/>
    <s v="No"/>
    <n v="1"/>
    <n v="4"/>
    <s v="uuid:3a8d5762-e60c-4dbd-8ddd-a953ea10f5a6/secG-G2"/>
    <s v="uuid:3a8d5762-e60c-4dbd-8ddd-a953ea10f5a6/secG-G5"/>
    <n v="-4.2846708297729492"/>
    <n v="35.892807006835938"/>
    <n v="1226.4000244140625"/>
    <n v="5"/>
    <n v="1706031849"/>
    <s v="uuid:3a8d5762-e60c-4dbd-8ddd-a953ea10f5a6"/>
    <d v="2017-06-21T14:13:59"/>
    <d v="2017-06-20T15:34:12"/>
    <d v="2017-06-20T15:49:58"/>
    <d v="2017-02-26T00:00:00"/>
    <m/>
    <n v="2.6685446009389673"/>
    <n v="4.5746478873239447"/>
    <n v="5.4636689814814829"/>
    <n v="5.0394907407407414"/>
    <m/>
    <s v="FALSEE"/>
    <m/>
    <s v="Plains"/>
    <n v="0.87375217676200001"/>
    <s v="Very gentle"/>
    <s v="Flat"/>
    <n v="-9.0633422136300004E-2"/>
    <n v="10.7202291489"/>
    <m/>
    <m/>
    <m/>
    <m/>
    <m/>
    <n v="5.2515798611111126"/>
    <n v="3.6215962441314558"/>
    <n v="-1.6299836169796569"/>
    <n v="1689.6"/>
    <n v="654.72"/>
    <n v="0"/>
    <n v="2344.3199999999997"/>
    <n v="63.699999999999996"/>
    <n v="2280.62"/>
  </r>
  <r>
    <s v="Michael"/>
    <n v="57"/>
    <s v="Safari Bombo"/>
    <s v="Safari Bombo"/>
    <s v="MANDI"/>
    <s v="Samatsi"/>
    <n v="0"/>
    <s v="Homefield"/>
    <s v="Feed livestock"/>
    <s v="OffField feed"/>
    <n v="0"/>
    <m/>
    <m/>
    <s v=""/>
    <m/>
    <n v="0"/>
    <s v=""/>
    <m/>
    <s v="Variable"/>
    <s v="Other fields in my home village"/>
    <m/>
    <s v="This field"/>
    <m/>
    <m/>
    <s v=""/>
    <x v="0"/>
    <s v="Own animals"/>
    <n v="0"/>
    <s v=""/>
    <m/>
    <s v=""/>
    <s v=""/>
    <s v="Yes"/>
    <s v="No"/>
    <m/>
    <n v="0"/>
    <s v=""/>
    <m/>
    <m/>
    <s v=""/>
    <s v=""/>
    <n v="0"/>
    <n v="0"/>
    <s v="00"/>
    <x v="2"/>
    <n v="1"/>
    <s v="Yes"/>
    <n v="0.5"/>
    <s v="Yes"/>
    <n v="2"/>
    <n v="4"/>
    <s v="Yes"/>
    <s v="Rent"/>
    <n v="6.75"/>
    <n v="4.5"/>
    <n v="11.25"/>
    <s v="Yes"/>
    <s v="Yes"/>
    <s v="Yes"/>
    <s v="Yes"/>
    <s v="Yes"/>
    <s v="No"/>
    <n v="20"/>
    <s v="Free range"/>
    <n v="10"/>
    <s v="Free range"/>
    <n v="5"/>
    <s v="Free range"/>
    <n v="5"/>
    <s v="Free range"/>
    <n v="4"/>
    <s v="Zero grazing"/>
    <m/>
    <n v="22.75"/>
    <s v="High"/>
    <n v="3"/>
    <n v="3"/>
    <n v="3"/>
    <n v="9"/>
    <n v="0"/>
    <n v="1"/>
    <n v="1"/>
    <m/>
    <n v="68.599999999999994"/>
    <s v="High"/>
    <n v="91.35"/>
    <s v="Yes"/>
    <s v="Carte"/>
    <s v="Yes"/>
    <s v="Multiple"/>
    <n v="0.25"/>
    <n v="5.75"/>
    <n v="0"/>
    <s v="Yes"/>
    <n v="1"/>
    <n v="24"/>
    <s v="Bags"/>
    <n v="5.7600000000000007"/>
    <n v="1"/>
    <n v="2"/>
    <s v="Bags"/>
    <n v="0.48"/>
    <m/>
    <n v="999"/>
    <s v="Bags"/>
    <m/>
    <x v="0"/>
    <s v="Yes"/>
    <s v="No"/>
    <s v="Yes"/>
    <s v="No"/>
    <n v="2"/>
    <n v="3"/>
    <s v="uuid:e617349e-3278-4c32-9a14-0cae0e845f39/secG-G2"/>
    <s v="uuid:e617349e-3278-4c32-9a14-0cae0e845f39/secG-G5"/>
    <n v="-4.3272275924682617"/>
    <n v="35.441505432128906"/>
    <n v="1555.800048828125"/>
    <n v="5"/>
    <n v="1705231439"/>
    <s v="uuid:e617349e-3278-4c32-9a14-0cae0e845f39"/>
    <d v="2017-07-07T09:09:48"/>
    <d v="2017-06-22T14:16:50"/>
    <d v="2017-06-22T14:34:19"/>
    <d v="2017-02-02T00:00:00"/>
    <m/>
    <n v="7.4814814814814827"/>
    <n v="5.7607407407407418"/>
    <n v="3.2966666666666664"/>
    <n v="5.6733333333333338"/>
    <m/>
    <n v="1"/>
    <m/>
    <s v="Plains"/>
    <n v="0"/>
    <s v="Depression"/>
    <s v="Flat"/>
    <n v="8.4776775111099995E-6"/>
    <n v="11.4374370575"/>
    <n v="256.84934752251172"/>
    <n v="595.20000000000016"/>
    <n v="1.532"/>
    <n v="1.1279999999999999"/>
    <n v="0.40400000000000014"/>
    <n v="4.4850000000000003"/>
    <n v="6.6211111111111123"/>
    <n v="2.136111111111112"/>
    <n v="2027.5200000000002"/>
    <n v="0"/>
    <n v="381.59999999999997"/>
    <n v="2409.1200000000003"/>
    <n v="63.699999999999996"/>
    <n v="2345.4200000000005"/>
  </r>
  <r>
    <s v="Inot Songoyani"/>
    <n v="185"/>
    <s v="Paulo Manase Panga"/>
    <s v="Paulo Manase Panga"/>
    <s v="DURU"/>
    <s v="Duru"/>
    <n v="0"/>
    <s v="Homefield"/>
    <s v="Feed livestock"/>
    <s v="OffField feed"/>
    <n v="0"/>
    <m/>
    <m/>
    <s v=""/>
    <m/>
    <n v="0"/>
    <s v=""/>
    <m/>
    <m/>
    <s v=""/>
    <m/>
    <s v=""/>
    <m/>
    <m/>
    <s v=""/>
    <x v="1"/>
    <s v=""/>
    <n v="0"/>
    <s v=""/>
    <m/>
    <s v=""/>
    <s v=""/>
    <s v="No"/>
    <s v="No"/>
    <s v=""/>
    <n v="0"/>
    <s v=""/>
    <m/>
    <m/>
    <s v=""/>
    <s v=""/>
    <n v="0"/>
    <n v="0"/>
    <s v="00"/>
    <x v="2"/>
    <n v="1"/>
    <s v="Yes"/>
    <n v="4"/>
    <s v="Yes"/>
    <n v="2"/>
    <n v="12"/>
    <s v="Yes"/>
    <s v="Rent"/>
    <n v="1.75"/>
    <n v="16"/>
    <n v="17.75"/>
    <s v="Yes"/>
    <s v="Yes"/>
    <s v="Yes"/>
    <s v="Yes"/>
    <s v="No"/>
    <s v="No"/>
    <n v="30"/>
    <s v="Both"/>
    <n v="6"/>
    <s v="Both"/>
    <n v="5"/>
    <s v="Both"/>
    <n v="15"/>
    <s v="Both"/>
    <m/>
    <s v=""/>
    <m/>
    <n v="32.150000000000006"/>
    <s v="High"/>
    <n v="1"/>
    <n v="2"/>
    <n v="2"/>
    <n v="5"/>
    <n v="0"/>
    <n v="1"/>
    <n v="2"/>
    <s v=""/>
    <n v="241.4"/>
    <s v="High"/>
    <n v="273.55"/>
    <s v="No"/>
    <s v=""/>
    <s v="Yes"/>
    <s v="Casual"/>
    <n v="1"/>
    <n v="1.75"/>
    <m/>
    <s v="Yes"/>
    <n v="1"/>
    <n v="15"/>
    <s v="Bags"/>
    <n v="3.5999999999999996"/>
    <m/>
    <n v="999"/>
    <s v="Bags"/>
    <m/>
    <n v="1"/>
    <n v="5"/>
    <s v="Bags"/>
    <n v="1.2"/>
    <x v="0"/>
    <s v="No"/>
    <s v="No"/>
    <s v="No"/>
    <s v="No"/>
    <n v="0"/>
    <n v="4"/>
    <s v="uuid:4efb32bb-2393-4957-9b81-4cce46586580/secG-G2"/>
    <s v="uuid:4efb32bb-2393-4957-9b81-4cce46586580/secG-G5"/>
    <n v="-4.3386101722717285"/>
    <n v="35.597995758056641"/>
    <n v="1525.4000244140625"/>
    <n v="5"/>
    <n v="1706031849"/>
    <s v="uuid:4efb32bb-2393-4957-9b81-4cce46586580"/>
    <d v="2017-07-10T13:49:25"/>
    <d v="2017-07-05T16:01:08"/>
    <d v="2017-07-05T16:33:38"/>
    <d v="2017-02-11T00:00:00"/>
    <m/>
    <n v="15.238347107438019"/>
    <n v="8.674931129476585"/>
    <n v="7.1371874999999996"/>
    <n v="6.8568749999999996"/>
    <m/>
    <n v="1"/>
    <m/>
    <s v="Plains"/>
    <n v="4.2950010299699999"/>
    <s v="Gentle"/>
    <s v="Flat"/>
    <n v="-0.362559139729"/>
    <n v="9.4648399353000006"/>
    <n v="289.32308736273313"/>
    <n v="231.51518964681441"/>
    <n v="1.0009999999999999"/>
    <n v="0.91"/>
    <n v="9.0999999999999859E-2"/>
    <n v="6.9970312499999991"/>
    <n v="11.956639118457302"/>
    <n v="4.9596078684573026"/>
    <n v="1267.1999999999998"/>
    <n v="818.4"/>
    <n v="0"/>
    <n v="2085.6"/>
    <n v="0"/>
    <n v="2085.6"/>
  </r>
  <r>
    <s v="Inot Songoyani"/>
    <n v="190"/>
    <s v="Hiiti Baghayo Mjungu"/>
    <s v="Hiiti Baghayo Mjungu"/>
    <s v="ENDANOGA"/>
    <s v="Endanoga"/>
    <n v="0"/>
    <s v="Homefield"/>
    <s v="Feed livestock"/>
    <s v="InField feed"/>
    <n v="0"/>
    <m/>
    <m/>
    <s v=""/>
    <m/>
    <n v="0"/>
    <s v=""/>
    <m/>
    <m/>
    <s v=""/>
    <m/>
    <s v=""/>
    <m/>
    <m/>
    <s v=""/>
    <x v="0"/>
    <s v="Own animals"/>
    <n v="0"/>
    <s v=""/>
    <m/>
    <s v=""/>
    <s v=""/>
    <s v="Yes"/>
    <s v="No"/>
    <s v=""/>
    <n v="0"/>
    <s v=""/>
    <m/>
    <m/>
    <s v=""/>
    <s v=""/>
    <n v="0"/>
    <n v="0"/>
    <s v="00"/>
    <x v="2"/>
    <n v="1"/>
    <s v="Yes"/>
    <n v="0.25"/>
    <s v="Yes"/>
    <n v="5"/>
    <n v="9.75"/>
    <s v="No"/>
    <s v=""/>
    <m/>
    <n v="10"/>
    <n v="10"/>
    <s v="Yes"/>
    <s v="Yes"/>
    <s v="Yes"/>
    <s v="Yes"/>
    <s v="No"/>
    <s v="No"/>
    <n v="30"/>
    <s v="Free range"/>
    <n v="18"/>
    <s v="Free range"/>
    <n v="10"/>
    <s v="Free range"/>
    <n v="15"/>
    <s v="Free range"/>
    <m/>
    <s v=""/>
    <m/>
    <n v="33.400000000000006"/>
    <s v="High"/>
    <n v="3"/>
    <n v="2"/>
    <n v="5"/>
    <n v="10"/>
    <n v="0"/>
    <n v="0"/>
    <n v="0"/>
    <s v=""/>
    <n v="150"/>
    <s v="High"/>
    <n v="183.4"/>
    <s v="No"/>
    <s v=""/>
    <s v="No"/>
    <s v=""/>
    <n v="0.25"/>
    <n v="0.75"/>
    <m/>
    <s v="Yes"/>
    <n v="1"/>
    <n v="5"/>
    <s v="Bags"/>
    <n v="1.2"/>
    <m/>
    <n v="999"/>
    <s v="Bags"/>
    <m/>
    <n v="1"/>
    <n v="1"/>
    <s v="Gorogoro"/>
    <n v="4.0079999999999998E-2"/>
    <x v="0"/>
    <s v="Yes"/>
    <s v="No"/>
    <s v="No"/>
    <s v="No"/>
    <n v="1"/>
    <n v="2"/>
    <s v="uuid:f6d3fe30-4686-4dc6-8697-fc161f1293f6/secG-G2"/>
    <s v="uuid:f6d3fe30-4686-4dc6-8697-fc161f1293f6/secG-G5"/>
    <n v="-4.2762656211853027"/>
    <n v="35.860355377197266"/>
    <n v="1305.5999755859375"/>
    <n v="5"/>
    <n v="1706031849"/>
    <s v="uuid:f6d3fe30-4686-4dc6-8697-fc161f1293f6"/>
    <d v="2017-07-24T08:38:29"/>
    <d v="2017-07-08T12:19:48"/>
    <d v="2017-07-08T12:35:15"/>
    <d v="2017-02-07T00:00:00"/>
    <m/>
    <n v="4.1295771878072776"/>
    <n v="6.4353195673549655"/>
    <n v="2.0612544802867387"/>
    <n v="1.6285483870967743"/>
    <m/>
    <n v="1"/>
    <m/>
    <s v="Plains"/>
    <n v="2.34390521049"/>
    <s v="Gentle"/>
    <s v="Flat"/>
    <n v="-0.18127532303300001"/>
    <n v="10.0238084793"/>
    <n v="95.470797118604068"/>
    <n v="16.867745378028236"/>
    <n v="0.56200000000000006"/>
    <n v="0.57399999999999995"/>
    <n v="-1.19999999999999E-2"/>
    <n v="1.8449014336917564"/>
    <n v="5.2824483775811215"/>
    <n v="3.4375469438893651"/>
    <n v="422.4"/>
    <n v="27.33456"/>
    <n v="0"/>
    <n v="449.73455999999999"/>
    <n v="63.699999999999996"/>
    <n v="386.03456"/>
  </r>
  <r>
    <s v="G"/>
    <n v="241"/>
    <s v="E"/>
    <s v=""/>
    <e v="#N/A"/>
    <s v="Endanoga"/>
    <n v="2"/>
    <s v="outfield"/>
    <s v="Fu"/>
    <s v="Bury"/>
    <n v="1"/>
    <n v="4"/>
    <m/>
    <s v="Free"/>
    <n v="1"/>
    <n v="1"/>
    <s v="Every year"/>
    <n v="4"/>
    <s v="Variable"/>
    <s v="Fields about 1 km away from my village"/>
    <m/>
    <s v="My 'home field' away from here"/>
    <m/>
    <m/>
    <s v=""/>
    <x v="0"/>
    <s v="Free"/>
    <n v="1"/>
    <s v="This season"/>
    <n v="4"/>
    <n v="1000"/>
    <s v=""/>
    <s v="Yes"/>
    <s v="Yes"/>
    <s v="Shed"/>
    <n v="1"/>
    <n v="1"/>
    <n v="1"/>
    <n v="4"/>
    <n v="2000"/>
    <s v=""/>
    <n v="2"/>
    <n v="2"/>
    <s v="22"/>
    <x v="2"/>
    <n v="1"/>
    <s v="Yes"/>
    <n v="2"/>
    <s v="Yes"/>
    <n v="4"/>
    <n v="4"/>
    <s v="Yes"/>
    <s v="Rent"/>
    <n v="4"/>
    <n v="6"/>
    <n v="10"/>
    <s v="Yes"/>
    <s v="Yes"/>
    <s v="No"/>
    <s v="No"/>
    <s v="No"/>
    <s v="No"/>
    <n v="4"/>
    <s v="Both"/>
    <n v="2"/>
    <s v="Both"/>
    <m/>
    <s v=""/>
    <m/>
    <s v=""/>
    <m/>
    <s v=""/>
    <m/>
    <n v="4.2"/>
    <s v="Low"/>
    <n v="2"/>
    <n v="1"/>
    <n v="2"/>
    <n v="5"/>
    <n v="1"/>
    <n v="1"/>
    <n v="0"/>
    <s v=""/>
    <n v="105.8"/>
    <s v="High"/>
    <n v="110"/>
    <s v="Yes"/>
    <s v="Ka"/>
    <s v="Yes"/>
    <s v="Casual"/>
    <n v="0.25"/>
    <n v="0.5"/>
    <n v="0"/>
    <s v="Yes"/>
    <n v="1"/>
    <n v="2"/>
    <s v="Bags"/>
    <n v="0.48"/>
    <m/>
    <n v="999"/>
    <s v="Bags"/>
    <m/>
    <n v="1"/>
    <n v="2"/>
    <s v="Bags"/>
    <n v="0.48"/>
    <x v="1"/>
    <s v="Yes"/>
    <s v="Yes"/>
    <s v="Yes"/>
    <s v="Yes"/>
    <n v="5"/>
    <n v="2"/>
    <s v="uuid:c9dda6e6-2c48-428f-85d2-d03d9f574226/secG-G2"/>
    <s v="uuid:c9dda6e6-2c48-428f-85d2-d03d9f574226/secG-G5"/>
    <n v="-4.280189037322998"/>
    <n v="35.850742340087891"/>
    <n v="1321.9000244140625"/>
    <n v="5"/>
    <n v="1706031849"/>
    <s v="uuid:c9dda6e6-2c48-428f-85d2-d03d9f574226"/>
    <d v="2017-08-31T14:11:23"/>
    <d v="2017-06-09T10:00:15"/>
    <d v="2017-08-31T14:06:13"/>
    <d v="2017-01-09T00:00:00"/>
    <m/>
    <m/>
    <m/>
    <m/>
    <m/>
    <m/>
    <n v="1"/>
    <m/>
    <s v="Plains"/>
    <n v="2.4939789771999998"/>
    <s v="Gentle"/>
    <s v="Flat"/>
    <n v="0.18129228055499999"/>
    <n v="8.9852018356300007"/>
    <m/>
    <m/>
    <m/>
    <m/>
    <m/>
    <m/>
    <m/>
    <m/>
    <n v="168.95999999999998"/>
    <n v="327.36"/>
    <n v="0"/>
    <n v="496.32"/>
    <n v="63.699999999999996"/>
    <n v="432.62"/>
  </r>
  <r>
    <s v="Inot Songoyani"/>
    <n v="120"/>
    <s v="Tanu Humay Qwendo"/>
    <s v="Tanu Humay Qwendo"/>
    <s v="AYAMANGO"/>
    <s v="Ayamango"/>
    <n v="0"/>
    <s v="Homefield"/>
    <s v="Feed livestock"/>
    <s v="OffField feed"/>
    <n v="0"/>
    <m/>
    <m/>
    <s v=""/>
    <m/>
    <n v="1"/>
    <s v="Every year"/>
    <n v="20"/>
    <s v="Variable"/>
    <s v="Other fields in my home village"/>
    <m/>
    <s v="This field"/>
    <m/>
    <n v="2500"/>
    <s v=""/>
    <x v="0"/>
    <s v="Own animals"/>
    <n v="0"/>
    <s v=""/>
    <m/>
    <s v=""/>
    <s v=""/>
    <s v="No"/>
    <s v="No"/>
    <s v=""/>
    <n v="0"/>
    <s v=""/>
    <m/>
    <m/>
    <s v=""/>
    <s v=""/>
    <n v="1"/>
    <n v="0"/>
    <s v="10"/>
    <x v="3"/>
    <n v="2"/>
    <s v="No"/>
    <m/>
    <s v="No"/>
    <m/>
    <m/>
    <s v="Yes"/>
    <s v="Family and rent"/>
    <n v="2"/>
    <n v="0"/>
    <n v="2"/>
    <s v="No"/>
    <s v="No"/>
    <s v="Yes"/>
    <s v="No"/>
    <s v="No"/>
    <s v="No"/>
    <m/>
    <s v=""/>
    <m/>
    <s v=""/>
    <n v="5"/>
    <s v="Both"/>
    <m/>
    <s v=""/>
    <m/>
    <s v=""/>
    <m/>
    <n v="0.05"/>
    <s v="very low"/>
    <n v="3"/>
    <n v="2"/>
    <n v="0"/>
    <n v="5"/>
    <n v="0"/>
    <n v="0"/>
    <n v="1"/>
    <m/>
    <n v="0.3"/>
    <s v="Low"/>
    <n v="0.35"/>
    <s v="Yes"/>
    <s v="Snacron"/>
    <s v="Yes"/>
    <s v="Casual"/>
    <n v="0.25"/>
    <n v="1.25"/>
    <m/>
    <s v="Yes"/>
    <n v="1.5"/>
    <n v="10"/>
    <s v="Bags"/>
    <n v="1.5999999999999999"/>
    <m/>
    <n v="999"/>
    <s v="Bags"/>
    <m/>
    <n v="1.5"/>
    <n v="3"/>
    <s v="Bags"/>
    <n v="0.48"/>
    <x v="0"/>
    <s v="No"/>
    <s v="No"/>
    <s v="No"/>
    <s v="No"/>
    <n v="0"/>
    <n v="3"/>
    <s v="uuid:c43190db-11e4-4ef9-a4e1-878e1b3bdbe1/secG-G2"/>
    <s v="uuid:c43190db-11e4-4ef9-a4e1-878e1b3bdbe1/secG-G5"/>
    <n v="-4.2508773803710938"/>
    <n v="35.8819580078125"/>
    <n v="1289.4000244140625"/>
    <n v="5"/>
    <n v="1706031849"/>
    <s v="uuid:c43190db-11e4-4ef9-a4e1-878e1b3bdbe1"/>
    <d v="2017-06-20T11:58:33"/>
    <d v="2017-06-19T13:54:18"/>
    <d v="2017-06-19T14:22:38"/>
    <d v="2017-02-26T00:00:00"/>
    <m/>
    <n v="6.9127969348659013"/>
    <n v="6.4818390804597712"/>
    <n v="4.4287179487179484"/>
    <n v="4.4775641025641022"/>
    <m/>
    <n v="1"/>
    <m/>
    <s v="Plains"/>
    <n v="1.31504225731"/>
    <s v="Very gentle"/>
    <s v="Flat"/>
    <n v="9.0650379657699995E-2"/>
    <n v="9.6666603088399992"/>
    <n v="312.82513443133035"/>
    <n v="145.62949034461792"/>
    <n v="0.95599999999999996"/>
    <n v="0.85099999999999998"/>
    <n v="0.10499999999999998"/>
    <n v="4.4531410256410258"/>
    <n v="6.6973180076628367"/>
    <n v="2.2441769820218109"/>
    <n v="563.19999999999993"/>
    <n v="327.36"/>
    <n v="0"/>
    <n v="890.56"/>
    <n v="63.699999999999996"/>
    <n v="826.8599999999999"/>
  </r>
  <r>
    <s v="Inot Songoyani"/>
    <n v="123"/>
    <s v="John Gwandu Tsere"/>
    <s v="John Gwandu Tsere"/>
    <s v="HALLU"/>
    <s v="Hallu"/>
    <n v="0"/>
    <s v="Homefield"/>
    <s v="Feed livestock"/>
    <s v="OffField feed"/>
    <n v="0"/>
    <m/>
    <m/>
    <s v=""/>
    <m/>
    <n v="1"/>
    <s v="Every year"/>
    <n v="2"/>
    <s v="Variable"/>
    <s v="Other fields in my home village"/>
    <m/>
    <s v="My 'home field' away from here"/>
    <m/>
    <m/>
    <s v="Free"/>
    <x v="1"/>
    <s v=""/>
    <n v="0"/>
    <s v=""/>
    <m/>
    <s v=""/>
    <s v=""/>
    <s v="No"/>
    <s v="No"/>
    <s v=""/>
    <n v="0"/>
    <s v=""/>
    <m/>
    <m/>
    <s v=""/>
    <s v=""/>
    <n v="1"/>
    <n v="0"/>
    <s v="10"/>
    <x v="3"/>
    <n v="2"/>
    <s v="Yes"/>
    <n v="5"/>
    <s v="Yes"/>
    <n v="1"/>
    <n v="5"/>
    <s v="No"/>
    <s v=""/>
    <m/>
    <n v="10"/>
    <n v="10"/>
    <s v="Yes"/>
    <s v="No"/>
    <s v="Yes"/>
    <s v="No"/>
    <s v="No"/>
    <s v="No"/>
    <n v="1"/>
    <s v="Zero grazing"/>
    <m/>
    <s v=""/>
    <n v="2"/>
    <s v="Zero grazing"/>
    <m/>
    <s v=""/>
    <m/>
    <s v=""/>
    <m/>
    <n v="1.02"/>
    <s v="very low"/>
    <n v="6"/>
    <n v="2"/>
    <n v="4"/>
    <n v="12"/>
    <n v="0"/>
    <n v="0"/>
    <n v="0"/>
    <s v="Power tilla"/>
    <n v="150"/>
    <s v="High"/>
    <n v="151.02000000000001"/>
    <s v="Yes"/>
    <s v="Atican c"/>
    <s v="Yes"/>
    <s v="Casual"/>
    <n v="0.25"/>
    <n v="2"/>
    <m/>
    <s v="Yes"/>
    <n v="4"/>
    <n v="30"/>
    <s v="Bags"/>
    <n v="1.7999999999999998"/>
    <m/>
    <n v="999"/>
    <s v="Bags"/>
    <m/>
    <n v="4"/>
    <n v="10"/>
    <s v="Bags"/>
    <n v="0.6"/>
    <x v="0"/>
    <s v="No"/>
    <s v="No"/>
    <s v="No"/>
    <s v="No"/>
    <n v="0"/>
    <n v="3"/>
    <s v="uuid:e83e492a-b00f-4cc4-8e93-a888e45d1c19/secG-G2"/>
    <s v="uuid:e83e492a-b00f-4cc4-8e93-a888e45d1c19/secG-G5"/>
    <n v="-4.2634353637695313"/>
    <n v="35.890480041503906"/>
    <n v="1237.800048828125"/>
    <n v="5"/>
    <n v="1706031849"/>
    <s v="uuid:e83e492a-b00f-4cc4-8e93-a888e45d1c19"/>
    <d v="2017-06-21T10:37:37"/>
    <d v="2017-06-20T10:45:47"/>
    <d v="2017-06-20T11:16:29"/>
    <d v="2017-02-25T00:00:00"/>
    <m/>
    <n v="6.2573412698412714"/>
    <n v="4.8461111111111119"/>
    <n v="5.1392708333333337"/>
    <n v="4.1579861111111116"/>
    <m/>
    <n v="1"/>
    <m/>
    <s v="Plains"/>
    <n v="1.16094529629"/>
    <s v="Very gentle"/>
    <s v="Flat"/>
    <n v="-0.362559139729"/>
    <n v="10.698633193999999"/>
    <n v="293.31897595454723"/>
    <n v="420.10900605363736"/>
    <n v="1.484"/>
    <n v="1.724"/>
    <n v="-0.24"/>
    <n v="4.6486284722222226"/>
    <n v="5.5517261904761916"/>
    <n v="0.90309771825396901"/>
    <n v="633.59999999999991"/>
    <n v="409.2"/>
    <n v="0"/>
    <n v="1042.8"/>
    <n v="0"/>
    <n v="1042.8"/>
  </r>
  <r>
    <s v="Inot Songoyani"/>
    <n v="126"/>
    <s v="Asha Halahalaa Biyeda"/>
    <s v="Asha Halahalaa Biyeda"/>
    <s v="HALLU"/>
    <s v="Hallu"/>
    <n v="0.40000000596046448"/>
    <s v="Midfield"/>
    <s v="Feed livestock"/>
    <s v="InField feed"/>
    <n v="0"/>
    <m/>
    <m/>
    <s v=""/>
    <m/>
    <n v="1"/>
    <s v="Every year"/>
    <n v="10"/>
    <s v="Variable"/>
    <s v="Other fields in my home village"/>
    <m/>
    <s v="My 'home field' away from here"/>
    <m/>
    <n v="5000"/>
    <s v=""/>
    <x v="1"/>
    <s v=""/>
    <n v="0"/>
    <s v=""/>
    <m/>
    <s v=""/>
    <s v=""/>
    <s v="No"/>
    <s v="No"/>
    <s v=""/>
    <n v="0"/>
    <s v=""/>
    <m/>
    <m/>
    <s v=""/>
    <s v=""/>
    <n v="1"/>
    <n v="0"/>
    <s v="10"/>
    <x v="3"/>
    <n v="2"/>
    <s v="Yes"/>
    <n v="0.25"/>
    <s v="Yes"/>
    <n v="1"/>
    <n v="2"/>
    <s v="Yes"/>
    <s v="Rent"/>
    <n v="0.25"/>
    <n v="2.25"/>
    <n v="2.5"/>
    <s v="Yes"/>
    <s v="No"/>
    <s v="No"/>
    <s v="No"/>
    <s v="No"/>
    <s v="No"/>
    <n v="2"/>
    <s v="Zero grazing"/>
    <m/>
    <s v=""/>
    <m/>
    <s v=""/>
    <m/>
    <s v=""/>
    <m/>
    <s v=""/>
    <m/>
    <n v="2"/>
    <s v="Low"/>
    <n v="1"/>
    <n v="1"/>
    <n v="1"/>
    <n v="3"/>
    <n v="0"/>
    <n v="0"/>
    <n v="0"/>
    <s v=""/>
    <n v="33.75"/>
    <s v="Medium"/>
    <n v="35.75"/>
    <s v="No"/>
    <s v=""/>
    <s v="No"/>
    <s v=""/>
    <n v="0.125"/>
    <n v="0.125"/>
    <m/>
    <s v="Yes"/>
    <n v="0.25"/>
    <n v="2"/>
    <s v="Bags"/>
    <n v="1.92"/>
    <m/>
    <n v="999"/>
    <s v="Bags"/>
    <m/>
    <n v="0.25"/>
    <n v="2"/>
    <s v="Gorogoro"/>
    <n v="0.32063999999999998"/>
    <x v="0"/>
    <s v="No"/>
    <s v="No"/>
    <s v="No"/>
    <s v="No"/>
    <n v="0"/>
    <n v="3"/>
    <s v="uuid:fbd5d3f6-bf0a-4970-adce-1822da8bd3ff/secG-G2"/>
    <s v="uuid:fbd5d3f6-bf0a-4970-adce-1822da8bd3ff/secG-G5"/>
    <n v="-4.2834782600402832"/>
    <n v="35.898475646972656"/>
    <n v="1213.0999755859375"/>
    <n v="5"/>
    <n v="1706031849"/>
    <s v="uuid:fbd5d3f6-bf0a-4970-adce-1822da8bd3ff"/>
    <d v="2017-06-21T10:37:44"/>
    <d v="2017-06-20T13:01:44"/>
    <d v="2017-06-20T13:19:46"/>
    <d v="2017-02-22T00:00:00"/>
    <m/>
    <n v="4.4407894736842115"/>
    <n v="4.1684210526315795"/>
    <n v="3.2742222222222215"/>
    <n v="2.8855555555555559"/>
    <m/>
    <n v="1"/>
    <m/>
    <s v="Plains"/>
    <n v="2.4237968921699999"/>
    <s v="Gentle"/>
    <s v="Upper slope"/>
    <n v="0.63450175523800001"/>
    <n v="8.6444921493500004"/>
    <n v="275.20611451181998"/>
    <n v="209.72115391119087"/>
    <n v="1.0409999999999999"/>
    <n v="1.054"/>
    <n v="-1.3000000000000123E-2"/>
    <n v="3.0798888888888887"/>
    <n v="4.3046052631578959"/>
    <n v="1.2247163742690073"/>
    <n v="675.83999999999992"/>
    <n v="218.67648"/>
    <n v="0"/>
    <n v="894.51647999999989"/>
    <n v="0"/>
    <n v="894.51647999999989"/>
  </r>
  <r>
    <s v="Inot Songoyani"/>
    <n v="129"/>
    <s v="Paulo Zacharia Boay"/>
    <s v="Paulo Zacharia Boay"/>
    <s v="HALLU"/>
    <s v="Hallu"/>
    <n v="3"/>
    <s v="outfield"/>
    <s v="Feed livestock"/>
    <s v="OffField feed"/>
    <n v="0"/>
    <m/>
    <m/>
    <s v=""/>
    <m/>
    <n v="1"/>
    <s v="Last year"/>
    <n v="4"/>
    <s v="Variable"/>
    <s v="Other fields in my home village"/>
    <m/>
    <s v="Other, Specify"/>
    <n v="666"/>
    <n v="5000"/>
    <s v=""/>
    <x v="0"/>
    <s v="Purchase"/>
    <n v="0"/>
    <s v=""/>
    <m/>
    <s v=""/>
    <s v=""/>
    <s v="No"/>
    <s v="No"/>
    <s v=""/>
    <n v="0"/>
    <s v=""/>
    <m/>
    <m/>
    <s v=""/>
    <s v=""/>
    <n v="1"/>
    <n v="0"/>
    <s v="10"/>
    <x v="3"/>
    <n v="2"/>
    <s v="Yes"/>
    <n v="0.25"/>
    <s v="Yes"/>
    <n v="2"/>
    <n v="2.25"/>
    <s v="No"/>
    <s v=""/>
    <m/>
    <n v="2.5"/>
    <n v="2.5"/>
    <s v="Yes"/>
    <s v="No"/>
    <s v="No"/>
    <s v="No"/>
    <s v="No"/>
    <s v="No"/>
    <n v="2"/>
    <s v="Zero grazing"/>
    <m/>
    <s v=""/>
    <m/>
    <s v=""/>
    <m/>
    <s v=""/>
    <m/>
    <s v=""/>
    <m/>
    <n v="2"/>
    <s v="Low"/>
    <n v="1"/>
    <n v="1"/>
    <n v="2"/>
    <n v="4"/>
    <n v="0"/>
    <n v="0"/>
    <n v="0"/>
    <s v=""/>
    <n v="37.5"/>
    <s v="Medium"/>
    <n v="39.5"/>
    <s v="No"/>
    <s v=""/>
    <s v="No"/>
    <s v=""/>
    <n v="0.25"/>
    <m/>
    <m/>
    <s v="Yes"/>
    <n v="0.25"/>
    <n v="3.5"/>
    <s v="Bags"/>
    <n v="3.3600000000000003"/>
    <m/>
    <n v="999"/>
    <s v="Bags"/>
    <m/>
    <n v="0.25"/>
    <n v="1"/>
    <s v="Gorogoro"/>
    <n v="0.16031999999999999"/>
    <x v="0"/>
    <s v="No"/>
    <s v="Yes"/>
    <s v="No"/>
    <s v="No"/>
    <n v="1"/>
    <n v="2"/>
    <s v="uuid:477eff81-9e58-4785-a904-c79a8704481d/secG-G2"/>
    <s v="uuid:477eff81-9e58-4785-a904-c79a8704481d/secG-G5"/>
    <n v="-4.2768597602844238"/>
    <n v="35.906410217285156"/>
    <n v="1206"/>
    <n v="5"/>
    <n v="1706031849"/>
    <s v="uuid:477eff81-9e58-4785-a904-c79a8704481d"/>
    <d v="2017-06-21T14:13:57"/>
    <d v="2017-06-20T14:43:45"/>
    <d v="2017-06-20T15:02:05"/>
    <d v="2017-02-27T00:00:00"/>
    <m/>
    <n v="3.4472934472934473"/>
    <n v="4.183760683760684"/>
    <n v="3.0327160493827159"/>
    <n v="2.3611111111111112"/>
    <m/>
    <n v="1"/>
    <m/>
    <s v="Plains"/>
    <n v="2.1000916957900002"/>
    <s v="Gentle"/>
    <s v="Flat"/>
    <n v="-0.18127532303300001"/>
    <n v="8.7581186294600002"/>
    <n v="343.47766918056078"/>
    <n v="243.16028272853336"/>
    <n v="0.997"/>
    <n v="1.012"/>
    <n v="-1.5000000000000013E-2"/>
    <n v="2.6969135802469135"/>
    <n v="3.8155270655270659"/>
    <n v="1.1186134852801524"/>
    <n v="1182.72"/>
    <n v="109.33824"/>
    <n v="0"/>
    <n v="1292.0582400000001"/>
    <n v="63.699999999999996"/>
    <n v="1228.35824"/>
  </r>
  <r>
    <s v="Michael"/>
    <n v="25"/>
    <s v="Baltazar Petro"/>
    <s v="Baltazar Petro"/>
    <s v="SABILO"/>
    <s v="Sabilo"/>
    <n v="0"/>
    <s v="Homefield"/>
    <s v="Feed livestock"/>
    <s v="OffField feed"/>
    <n v="0"/>
    <m/>
    <m/>
    <s v=""/>
    <m/>
    <n v="1"/>
    <s v="Last year"/>
    <n v="1"/>
    <n v="2"/>
    <s v="Other fields in my home village"/>
    <m/>
    <s v="This field"/>
    <m/>
    <n v="5000"/>
    <s v=""/>
    <x v="0"/>
    <s v="Own animals"/>
    <n v="0"/>
    <s v=""/>
    <m/>
    <s v=""/>
    <s v=""/>
    <s v="Yes"/>
    <s v="No"/>
    <m/>
    <n v="0"/>
    <s v=""/>
    <m/>
    <m/>
    <s v=""/>
    <s v=""/>
    <n v="1"/>
    <n v="0"/>
    <s v="10"/>
    <x v="3"/>
    <n v="2"/>
    <s v="Yes"/>
    <n v="1"/>
    <s v="Yes"/>
    <n v="1"/>
    <n v="4"/>
    <s v="No"/>
    <s v=""/>
    <m/>
    <n v="5"/>
    <n v="5"/>
    <s v="Yes"/>
    <s v="No"/>
    <s v="Yes"/>
    <s v="No"/>
    <s v="No"/>
    <s v="No"/>
    <n v="2"/>
    <s v="Free range"/>
    <m/>
    <s v=""/>
    <n v="3"/>
    <s v="Free range"/>
    <m/>
    <s v=""/>
    <m/>
    <s v=""/>
    <m/>
    <n v="2.0299999999999998"/>
    <s v="Low"/>
    <n v="3"/>
    <n v="2"/>
    <n v="0"/>
    <n v="5"/>
    <n v="0"/>
    <n v="1"/>
    <n v="1"/>
    <m/>
    <n v="76.099999999999994"/>
    <s v="High"/>
    <n v="78.13"/>
    <s v="Yes"/>
    <s v="Carte"/>
    <s v="Yes"/>
    <s v="Multiple"/>
    <n v="0.25"/>
    <n v="4"/>
    <n v="0"/>
    <s v="Yes"/>
    <n v="1"/>
    <n v="20.5"/>
    <s v="Bags"/>
    <n v="4.9200000000000008"/>
    <m/>
    <n v="999"/>
    <s v="Bags"/>
    <m/>
    <n v="1"/>
    <n v="1"/>
    <s v="Bags"/>
    <n v="0.24"/>
    <x v="0"/>
    <s v="No"/>
    <s v="No"/>
    <s v="No"/>
    <s v="Yes"/>
    <n v="1"/>
    <n v="2"/>
    <s v="uuid:d9bc6480-59ba-4448-a7c3-949888d35dc2/secG-G2"/>
    <s v="uuid:d9bc6480-59ba-4448-a7c3-949888d35dc2/secG-G5"/>
    <n v="-4.3503084182739258"/>
    <n v="35.483139038085938"/>
    <n v="1654.0999755859375"/>
    <n v="15"/>
    <n v="1705231439"/>
    <s v="uuid:d9bc6480-59ba-4448-a7c3-949888d35dc2"/>
    <d v="2017-06-22T07:01:17"/>
    <d v="2017-06-09T09:42:47"/>
    <d v="2017-06-22T06:54:15"/>
    <d v="2017-01-30T00:00:00"/>
    <m/>
    <n v="4.2702339181286559"/>
    <n v="5.1055789473684214"/>
    <n v="3.1413580246913582"/>
    <n v="4.218395061728395"/>
    <m/>
    <n v="1"/>
    <m/>
    <s v="Plains"/>
    <n v="3.5533039569899998"/>
    <s v="Gentle"/>
    <s v="Flat"/>
    <n v="-9.0633422136300004E-2"/>
    <n v="8.7059078216600003"/>
    <n v="284.93883565271835"/>
    <n v="211.66561092711743"/>
    <n v="1.6240000000000001"/>
    <n v="1.931"/>
    <n v="-0.30699999999999994"/>
    <n v="3.6798765432098763"/>
    <n v="4.6879064327485391"/>
    <n v="1.0080298895386628"/>
    <n v="1731.8400000000004"/>
    <n v="163.68"/>
    <n v="0"/>
    <n v="1895.5200000000004"/>
    <n v="63.699999999999996"/>
    <n v="1831.8200000000004"/>
  </r>
  <r>
    <s v="Inot"/>
    <n v="96"/>
    <s v="Paulina Yame Kutu"/>
    <s v="Paulina Yame Kutu"/>
    <s v="ORNGADIDA"/>
    <s v="Orngadida"/>
    <n v="0"/>
    <s v="Homefield"/>
    <s v="Feed livestock"/>
    <s v="OffField feed"/>
    <n v="0"/>
    <m/>
    <m/>
    <s v=""/>
    <m/>
    <n v="1"/>
    <s v="Last year"/>
    <n v="3"/>
    <n v="0.5"/>
    <s v="Other fields in my home village"/>
    <m/>
    <s v="My 'home field' away from here"/>
    <m/>
    <m/>
    <s v="Free"/>
    <x v="0"/>
    <s v="Own animals"/>
    <n v="0"/>
    <s v=""/>
    <m/>
    <s v=""/>
    <s v=""/>
    <s v="Yes"/>
    <s v="No"/>
    <s v=""/>
    <n v="0"/>
    <s v=""/>
    <m/>
    <m/>
    <s v=""/>
    <s v=""/>
    <n v="1"/>
    <n v="0"/>
    <s v="10"/>
    <x v="3"/>
    <n v="2"/>
    <s v="Yes"/>
    <n v="0.5"/>
    <s v="Yes"/>
    <n v="1"/>
    <n v="1"/>
    <s v="No"/>
    <s v=""/>
    <m/>
    <n v="1.5"/>
    <n v="1.5"/>
    <s v="Yes"/>
    <s v="Yes"/>
    <s v="No"/>
    <s v="No"/>
    <s v="No"/>
    <s v="No"/>
    <n v="2"/>
    <s v="Both"/>
    <n v="2"/>
    <s v="Both"/>
    <m/>
    <s v=""/>
    <m/>
    <s v=""/>
    <m/>
    <s v=""/>
    <m/>
    <n v="2.2000000000000002"/>
    <s v="Low"/>
    <n v="1"/>
    <n v="1"/>
    <n v="1"/>
    <n v="3"/>
    <n v="0"/>
    <n v="0"/>
    <n v="0"/>
    <m/>
    <n v="22.5"/>
    <s v="Medium"/>
    <n v="24.7"/>
    <s v="No"/>
    <s v=""/>
    <s v="Yes"/>
    <s v="Casual"/>
    <n v="0.5"/>
    <m/>
    <m/>
    <s v="No"/>
    <n v="1"/>
    <n v="6"/>
    <s v="Bags"/>
    <n v="1.4400000000000002"/>
    <m/>
    <n v="999"/>
    <s v="Bags"/>
    <m/>
    <n v="1"/>
    <n v="0.5"/>
    <s v="Bags"/>
    <n v="0.12"/>
    <x v="1"/>
    <s v="Yes"/>
    <s v="Yes"/>
    <s v="Yes"/>
    <s v="Yes"/>
    <n v="5"/>
    <n v="4"/>
    <s v="uuid:9a9cf5dd-d658-4b5b-8d65-f61accfc8c10/secG-G2"/>
    <s v="uuid:9a9cf5dd-d658-4b5b-8d65-f61accfc8c10/secG-G5"/>
    <n v="-4.3067183494567871"/>
    <n v="35.864860534667969"/>
    <n v="1241.5999755859375"/>
    <n v="5"/>
    <n v="1705231439"/>
    <s v="uuid:9a9cf5dd-d658-4b5b-8d65-f61accfc8c10"/>
    <d v="2017-07-11T08:19:39"/>
    <d v="2017-06-02T15:56:38"/>
    <d v="2017-07-11T08:19:11"/>
    <d v="2017-02-02T00:00:00"/>
    <m/>
    <n v="4.5819354838709678"/>
    <n v="3.6587096774193548"/>
    <n v="4.4981642512077302"/>
    <n v="4.8912077294685998"/>
    <m/>
    <s v="FALSEE"/>
    <m/>
    <s v="Plains"/>
    <n v="1.76406645775"/>
    <s v="Very gentle"/>
    <s v="Flat"/>
    <n v="0.45321798324599999"/>
    <n v="9.2365970611599995"/>
    <m/>
    <n v="237.0442747080879"/>
    <m/>
    <n v="1.2929999999999999"/>
    <m/>
    <n v="4.694685990338165"/>
    <n v="4.1203225806451611"/>
    <n v="-0.57436340969300392"/>
    <n v="506.88000000000005"/>
    <n v="81.84"/>
    <n v="0"/>
    <n v="588.72"/>
    <n v="63.699999999999996"/>
    <n v="525.02"/>
  </r>
  <r>
    <s v="Michael"/>
    <n v="24"/>
    <s v="Ibrahimu Petro"/>
    <s v="Ibrahimu Petro"/>
    <e v="#N/A"/>
    <s v="Sabilo"/>
    <n v="0"/>
    <s v="Homefield"/>
    <s v="Feed livestock"/>
    <s v="OffField feed"/>
    <n v="0"/>
    <m/>
    <m/>
    <s v=""/>
    <m/>
    <n v="1"/>
    <s v="2 years ago"/>
    <n v="2"/>
    <n v="1"/>
    <s v="Other fields in my home village"/>
    <m/>
    <s v="This field"/>
    <m/>
    <m/>
    <s v="Labour"/>
    <x v="0"/>
    <s v="Own animals"/>
    <n v="0"/>
    <s v=""/>
    <m/>
    <s v=""/>
    <s v=""/>
    <s v="Yes"/>
    <s v="No"/>
    <m/>
    <n v="0"/>
    <s v=""/>
    <m/>
    <m/>
    <s v=""/>
    <s v=""/>
    <n v="1"/>
    <n v="0"/>
    <s v="10"/>
    <x v="3"/>
    <n v="2"/>
    <s v="Yes"/>
    <n v="0.75"/>
    <s v="Yes"/>
    <n v="2"/>
    <n v="2"/>
    <s v="Yes"/>
    <s v="Rent"/>
    <n v="6"/>
    <n v="2.75"/>
    <n v="8.75"/>
    <s v="Yes"/>
    <s v="Yes"/>
    <s v="Yes"/>
    <s v="Yes"/>
    <s v="No"/>
    <s v="No"/>
    <n v="2"/>
    <s v="Free range"/>
    <n v="6"/>
    <s v="Free range"/>
    <n v="6"/>
    <s v="Free range"/>
    <n v="1"/>
    <s v="Free range"/>
    <m/>
    <s v=""/>
    <m/>
    <n v="2.7600000000000002"/>
    <s v="Low"/>
    <n v="1"/>
    <n v="1"/>
    <n v="8"/>
    <n v="10"/>
    <n v="0"/>
    <n v="0"/>
    <n v="1"/>
    <m/>
    <n v="41.55"/>
    <s v="Medium"/>
    <n v="44.31"/>
    <s v="Yes"/>
    <s v="Carte"/>
    <s v="Yes"/>
    <s v="Multiple"/>
    <n v="0.25"/>
    <n v="5.75"/>
    <n v="0"/>
    <s v="No"/>
    <n v="1"/>
    <n v="5"/>
    <s v="Bags"/>
    <n v="1.2"/>
    <n v="1"/>
    <n v="1"/>
    <s v="Bags"/>
    <n v="0.24"/>
    <m/>
    <n v="999"/>
    <s v="Bags"/>
    <m/>
    <x v="0"/>
    <s v="No"/>
    <s v="Yes"/>
    <s v="Yes"/>
    <s v="Yes"/>
    <n v="3"/>
    <n v="4"/>
    <s v="uuid:bb53b97e-c286-4250-86d4-0106334a4f06/secG-G2"/>
    <s v="uuid:bb53b97e-c286-4250-86d4-0106334a4f06/secG-G5"/>
    <n v="-4.343513011932373"/>
    <n v="35.479499816894531"/>
    <n v="1647.4000244140625"/>
    <n v="15"/>
    <n v="1705231439"/>
    <s v="uuid:bb53b97e-c286-4250-86d4-0106334a4f06"/>
    <d v="2017-06-22T07:01:18"/>
    <d v="2017-06-09T11:20:38"/>
    <d v="2017-06-22T06:54:26"/>
    <d v="2017-02-13T00:00:00"/>
    <m/>
    <m/>
    <m/>
    <m/>
    <m/>
    <m/>
    <n v="1"/>
    <m/>
    <s v="Plains"/>
    <n v="2.93846130371"/>
    <s v="Gentle"/>
    <s v="Flat"/>
    <n v="0.45321798324599999"/>
    <n v="8.7921676635699999"/>
    <m/>
    <m/>
    <m/>
    <m/>
    <m/>
    <m/>
    <m/>
    <m/>
    <n v="422.4"/>
    <n v="0"/>
    <n v="190.79999999999998"/>
    <n v="613.19999999999993"/>
    <n v="63.699999999999996"/>
    <n v="549.49999999999989"/>
  </r>
  <r>
    <s v="Inot Songoyani"/>
    <n v="117"/>
    <s v="Anna Nadeev Qwendo"/>
    <s v="Anna Nadee Qwendo"/>
    <s v="SELOTO"/>
    <s v="Seloto"/>
    <n v="0"/>
    <s v="Homefield"/>
    <s v="Feed livestock"/>
    <s v="OffField feed"/>
    <n v="0"/>
    <m/>
    <m/>
    <s v=""/>
    <m/>
    <n v="1"/>
    <s v="Every year"/>
    <n v="6"/>
    <s v="Variable"/>
    <s v="Other fields in my home village"/>
    <m/>
    <s v="My 'home field' away from here"/>
    <m/>
    <n v="5"/>
    <s v=""/>
    <x v="1"/>
    <s v=""/>
    <n v="0"/>
    <s v=""/>
    <m/>
    <s v=""/>
    <s v=""/>
    <s v="No"/>
    <s v="No"/>
    <s v=""/>
    <n v="0"/>
    <s v=""/>
    <m/>
    <m/>
    <s v=""/>
    <s v=""/>
    <n v="1"/>
    <n v="0"/>
    <s v="10"/>
    <x v="3"/>
    <n v="2"/>
    <s v="Yes"/>
    <n v="0.25"/>
    <s v="Yes"/>
    <n v="1"/>
    <n v="2.5"/>
    <s v="No"/>
    <s v=""/>
    <m/>
    <n v="2.75"/>
    <n v="2.75"/>
    <s v="Yes"/>
    <s v="Yes"/>
    <s v="Yes"/>
    <s v="Yes"/>
    <s v="No"/>
    <s v="No"/>
    <n v="2"/>
    <s v="Zero grazing"/>
    <n v="2"/>
    <s v="Both"/>
    <n v="5"/>
    <s v="Both"/>
    <n v="6"/>
    <s v="Both"/>
    <m/>
    <s v=""/>
    <m/>
    <n v="2.85"/>
    <s v="Low"/>
    <n v="3"/>
    <n v="2"/>
    <n v="1"/>
    <n v="6"/>
    <n v="0"/>
    <n v="0"/>
    <n v="0"/>
    <m/>
    <n v="41.25"/>
    <s v="Medium"/>
    <n v="44.1"/>
    <s v="No"/>
    <s v=""/>
    <s v="No"/>
    <s v=""/>
    <n v="0.25"/>
    <n v="2.25"/>
    <m/>
    <s v="No"/>
    <n v="2.5"/>
    <n v="20"/>
    <s v="Bags"/>
    <n v="1.92"/>
    <n v="2.5"/>
    <n v="3"/>
    <s v="Gorogoro"/>
    <n v="4.8095999999999986E-2"/>
    <n v="2.5"/>
    <n v="1"/>
    <s v="Bags"/>
    <n v="9.6000000000000002E-2"/>
    <x v="0"/>
    <s v="No"/>
    <s v="No"/>
    <s v="No"/>
    <s v="No"/>
    <n v="0"/>
    <n v="2"/>
    <s v="uuid:299f12e5-ca57-4962-916c-8642430d8f45/secG-G2"/>
    <s v="uuid:299f12e5-ca57-4962-916c-8642430d8f45/secG-G5"/>
    <n v="-4.2573752403259277"/>
    <n v="35.511997222900391"/>
    <n v="1692.300048828125"/>
    <n v="5"/>
    <n v="1706031849"/>
    <s v="uuid:299f12e5-ca57-4962-916c-8642430d8f45"/>
    <d v="2017-06-20T11:58:30"/>
    <d v="2017-06-17T14:21:31"/>
    <d v="2017-06-17T14:42:02"/>
    <d v="2017-01-17T00:00:00"/>
    <m/>
    <n v="5.0474336283185837"/>
    <n v="3.2319764011799408"/>
    <n v="1.3824175824175826"/>
    <n v="1.4727716727716726"/>
    <m/>
    <n v="1"/>
    <m/>
    <s v="Upper slopes"/>
    <n v="1.2062788009600001"/>
    <s v="Very gentle"/>
    <s v="Flat"/>
    <n v="0.45321798324599999"/>
    <n v="8.5595359802199997"/>
    <n v="505.88190018039694"/>
    <n v="328.52167339575652"/>
    <n v="1.86"/>
    <n v="1.542"/>
    <n v="0.31800000000000006"/>
    <n v="1.4275946275946276"/>
    <n v="4.1397050147492624"/>
    <n v="2.7121103871546346"/>
    <n v="675.83999999999992"/>
    <n v="65.472000000000008"/>
    <n v="38.236319999999992"/>
    <n v="779.54831999999988"/>
    <n v="0"/>
    <n v="779.54831999999988"/>
  </r>
  <r>
    <s v="Michael"/>
    <n v="67"/>
    <s v="Marbina Barhe"/>
    <s v="Marbina Barhe"/>
    <s v="SOLETO"/>
    <s v="Seloto"/>
    <n v="1.25"/>
    <s v="outfield"/>
    <s v="Feed livestock"/>
    <s v="OffField feed"/>
    <n v="0"/>
    <m/>
    <m/>
    <s v=""/>
    <m/>
    <n v="1"/>
    <s v="2 years ago"/>
    <n v="2"/>
    <n v="2"/>
    <s v="Other fields in my home village"/>
    <m/>
    <s v="My 'home field' away from here"/>
    <m/>
    <n v="10000"/>
    <s v=""/>
    <x v="0"/>
    <s v="Own animals"/>
    <n v="0"/>
    <s v=""/>
    <m/>
    <s v=""/>
    <s v=""/>
    <s v="Yes"/>
    <s v="No"/>
    <m/>
    <n v="0"/>
    <s v=""/>
    <m/>
    <m/>
    <s v=""/>
    <s v=""/>
    <n v="1"/>
    <n v="0"/>
    <s v="10"/>
    <x v="3"/>
    <n v="2"/>
    <s v="Yes"/>
    <n v="0.25"/>
    <s v="Yes"/>
    <n v="4"/>
    <n v="5"/>
    <s v="No"/>
    <s v=""/>
    <m/>
    <n v="5.25"/>
    <n v="5.25"/>
    <s v="Yes"/>
    <s v="Yes"/>
    <s v="Yes"/>
    <s v="Yes"/>
    <s v="Yes"/>
    <s v="No"/>
    <n v="2"/>
    <s v="Free range"/>
    <n v="6"/>
    <s v="Free range"/>
    <n v="8"/>
    <s v="Free range"/>
    <n v="1"/>
    <s v="Free range"/>
    <n v="1"/>
    <s v="Zero grazing"/>
    <m/>
    <n v="3.08"/>
    <s v="Low"/>
    <n v="1"/>
    <n v="1"/>
    <n v="6"/>
    <n v="8"/>
    <n v="0"/>
    <n v="1"/>
    <n v="0"/>
    <m/>
    <n v="79.55"/>
    <s v="High"/>
    <n v="82.63"/>
    <s v="No"/>
    <s v=""/>
    <s v="Yes"/>
    <s v="Multiple"/>
    <n v="0.75"/>
    <n v="4.75"/>
    <n v="0"/>
    <s v="No"/>
    <n v="1"/>
    <n v="12"/>
    <s v="Bags"/>
    <n v="2.8800000000000003"/>
    <n v="1"/>
    <n v="1"/>
    <s v="Bags"/>
    <n v="0.24"/>
    <n v="1"/>
    <n v="0.5"/>
    <s v="Bags"/>
    <n v="0.12"/>
    <x v="1"/>
    <s v="Yes"/>
    <s v="Yes"/>
    <s v="Yes"/>
    <s v="Yes"/>
    <n v="5"/>
    <n v="3"/>
    <s v="uuid:e333688f-8d9a-48c4-93d5-bbae90550703/secG-G2"/>
    <s v="uuid:e333688f-8d9a-48c4-93d5-bbae90550703/secG-G5"/>
    <n v="-4.2602062225341797"/>
    <n v="35.519512176513672"/>
    <n v="1641.4000244140625"/>
    <n v="10"/>
    <n v="1705231439"/>
    <s v="uuid:e333688f-8d9a-48c4-93d5-bbae90550703"/>
    <d v="2017-07-07T09:17:23"/>
    <d v="2017-06-16T09:11:11"/>
    <d v="2017-07-07T09:15:22"/>
    <d v="2017-01-04T00:00:00"/>
    <m/>
    <n v="4.1839557399723377"/>
    <n v="4.2790456431535278"/>
    <m/>
    <n v="3.3598432457353624"/>
    <m/>
    <n v="1"/>
    <m/>
    <s v="Plains"/>
    <n v="2.6196329593700001"/>
    <s v="Gentle"/>
    <s v="Flat"/>
    <n v="0.18129228055499999"/>
    <n v="9.7167339325000004"/>
    <n v="332.34959195945368"/>
    <n v="186.15334557858839"/>
    <n v="1.4390000000000001"/>
    <n v="1.3069999999999999"/>
    <n v="0.13200000000000012"/>
    <n v="3.3598432457353624"/>
    <n v="4.2315006915629327"/>
    <n v="0.87165744582757032"/>
    <n v="1013.7600000000001"/>
    <n v="81.84"/>
    <n v="190.79999999999998"/>
    <n v="1286.4000000000001"/>
    <n v="63.699999999999996"/>
    <n v="1222.7"/>
  </r>
  <r>
    <s v="Ezekiel Mngumi"/>
    <n v="87"/>
    <s v="Marta Qamara"/>
    <s v="Marta Qamara"/>
    <e v="#N/A"/>
    <s v="Sabilo"/>
    <n v="0"/>
    <s v="Homefield"/>
    <s v="Feed livestock"/>
    <s v="OffField feed"/>
    <n v="0"/>
    <m/>
    <m/>
    <s v=""/>
    <m/>
    <n v="1"/>
    <s v="Last year"/>
    <n v="1"/>
    <n v="1"/>
    <s v="Other fields in my home village"/>
    <m/>
    <s v="This field"/>
    <m/>
    <n v="5000"/>
    <s v=""/>
    <x v="0"/>
    <s v="Own animals"/>
    <n v="0"/>
    <s v=""/>
    <m/>
    <s v=""/>
    <s v=""/>
    <s v="Yes"/>
    <s v="No"/>
    <s v=""/>
    <n v="0"/>
    <s v=""/>
    <m/>
    <m/>
    <s v=""/>
    <s v=""/>
    <n v="1"/>
    <n v="0"/>
    <s v="10"/>
    <x v="3"/>
    <n v="2"/>
    <s v="Yes"/>
    <n v="3"/>
    <s v="Yes"/>
    <n v="2"/>
    <n v="3"/>
    <s v="No"/>
    <s v=""/>
    <m/>
    <n v="6"/>
    <n v="6"/>
    <s v="Yes"/>
    <s v="No"/>
    <s v="No"/>
    <s v="Yes"/>
    <s v="No"/>
    <s v="Yes"/>
    <n v="2"/>
    <s v="Zero grazing"/>
    <m/>
    <s v=""/>
    <m/>
    <s v=""/>
    <n v="3"/>
    <s v="Zero grazing"/>
    <m/>
    <s v=""/>
    <n v="2"/>
    <n v="3.0999999999999996"/>
    <s v="Low"/>
    <n v="1"/>
    <n v="2"/>
    <n v="6"/>
    <n v="9"/>
    <n v="0"/>
    <n v="0"/>
    <n v="0"/>
    <m/>
    <n v="90"/>
    <s v="High"/>
    <n v="93.1"/>
    <s v="No"/>
    <s v=""/>
    <s v="No"/>
    <s v=""/>
    <n v="0"/>
    <n v="2"/>
    <n v="10"/>
    <s v="No"/>
    <n v="1"/>
    <n v="5"/>
    <s v="Bags"/>
    <n v="1.2"/>
    <n v="1"/>
    <n v="0.82999998331069946"/>
    <s v="Bags"/>
    <n v="0.19919999599456786"/>
    <n v="1"/>
    <n v="0.92000001668930054"/>
    <s v="Bags"/>
    <n v="0.22080000400543212"/>
    <x v="1"/>
    <s v="Yes"/>
    <s v="Yes"/>
    <s v="Yes"/>
    <s v="Yes"/>
    <n v="5"/>
    <n v="3"/>
    <s v="uuid:163d57c6-9bdb-432d-9e63-8938fc4c73c2/secG-G2"/>
    <s v="uuid:163d57c6-9bdb-432d-9e63-8938fc4c73c2/secG-G5"/>
    <n v="-4.3497371673583984"/>
    <n v="35.461997985839844"/>
    <n v="1669.5"/>
    <n v="10"/>
    <n v="1705231439"/>
    <s v="uuid:163d57c6-9bdb-432d-9e63-8938fc4c73c2"/>
    <d v="2017-07-11T08:17:12"/>
    <d v="2017-06-08T15:53:36"/>
    <d v="2017-07-11T08:15:04"/>
    <d v="2017-02-08T00:00:00"/>
    <m/>
    <m/>
    <m/>
    <m/>
    <m/>
    <m/>
    <n v="1"/>
    <m/>
    <s v="Open slopes"/>
    <n v="5.1211724281300004"/>
    <s v="Moderate"/>
    <s v="Midslope"/>
    <n v="0.45321798324599999"/>
    <n v="7.87680244446"/>
    <m/>
    <m/>
    <m/>
    <m/>
    <m/>
    <m/>
    <m/>
    <m/>
    <n v="422.4"/>
    <n v="150.58560273170471"/>
    <n v="158.36399681568145"/>
    <n v="731.34959954738611"/>
    <n v="63.699999999999996"/>
    <n v="667.64959954738606"/>
  </r>
  <r>
    <s v="Inot"/>
    <n v="2"/>
    <s v="Fabiani Maiko Deli"/>
    <s v="Fabiani Maiko Deli"/>
    <s v="ORNGADIDA"/>
    <s v="Orngadida"/>
    <n v="0"/>
    <s v="Homefield"/>
    <s v="Feed livestock"/>
    <s v="OffField feed"/>
    <n v="0"/>
    <m/>
    <m/>
    <s v=""/>
    <m/>
    <n v="1"/>
    <s v="Last year"/>
    <n v="3"/>
    <n v="1"/>
    <s v="Other fields in my home village"/>
    <m/>
    <s v="This field"/>
    <m/>
    <n v="7000"/>
    <s v=""/>
    <x v="0"/>
    <s v="Own animals"/>
    <n v="0"/>
    <s v=""/>
    <m/>
    <s v=""/>
    <s v=""/>
    <s v="Yes"/>
    <s v="No"/>
    <s v=""/>
    <n v="0"/>
    <s v=""/>
    <m/>
    <m/>
    <s v=""/>
    <s v=""/>
    <n v="1"/>
    <n v="0"/>
    <s v="10"/>
    <x v="3"/>
    <n v="2"/>
    <s v="Yes"/>
    <n v="2"/>
    <s v="No"/>
    <m/>
    <m/>
    <s v="No"/>
    <s v=""/>
    <m/>
    <n v="2"/>
    <n v="2"/>
    <s v="Yes"/>
    <s v="Yes"/>
    <s v="No"/>
    <s v="No"/>
    <s v="No"/>
    <s v="No"/>
    <n v="3"/>
    <s v="Zero grazing"/>
    <n v="4"/>
    <s v="Zero grazing"/>
    <m/>
    <s v=""/>
    <m/>
    <s v=""/>
    <m/>
    <s v=""/>
    <m/>
    <n v="3.4"/>
    <s v="Low"/>
    <n v="1"/>
    <n v="2"/>
    <n v="3"/>
    <n v="6"/>
    <n v="0"/>
    <n v="0"/>
    <n v="0"/>
    <s v=""/>
    <n v="30"/>
    <s v="Medium"/>
    <n v="33.4"/>
    <s v="Yes"/>
    <s v="Banafos"/>
    <s v="Yes"/>
    <s v="Casual"/>
    <n v="0.25"/>
    <m/>
    <n v="0.25"/>
    <s v="Yes"/>
    <n v="1"/>
    <n v="9"/>
    <s v="Bags"/>
    <n v="2.16"/>
    <m/>
    <n v="999"/>
    <s v="Bags"/>
    <m/>
    <n v="1"/>
    <n v="2"/>
    <s v="Bags"/>
    <n v="0.48"/>
    <x v="0"/>
    <s v="No"/>
    <s v="No"/>
    <s v="No"/>
    <s v="No"/>
    <n v="0"/>
    <n v="3"/>
    <s v="uuid:77fd219b-5968-431e-86aa-610680ef4a1b/secG-G2"/>
    <s v="uuid:77fd219b-5968-431e-86aa-610680ef4a1b/secG-G5"/>
    <n v="-4.2959508895874023"/>
    <n v="35.849796295166016"/>
    <n v="1272.199951171875"/>
    <n v="5"/>
    <n v="1705231439"/>
    <s v="uuid:77fd219b-5968-431e-86aa-610680ef4a1b"/>
    <d v="2017-06-07T14:16:58"/>
    <d v="2017-06-06T09:46:31"/>
    <d v="2017-06-06T11:47:32"/>
    <d v="2017-02-07T00:00:00"/>
    <m/>
    <n v="6.4897877652933831"/>
    <n v="8.4080399500624221"/>
    <n v="7.3222388059701498"/>
    <n v="6.8176119402985069"/>
    <m/>
    <n v="1"/>
    <m/>
    <s v="Plains"/>
    <n v="1.52882194519"/>
    <s v="Very gentle"/>
    <s v="Flat"/>
    <n v="-9.0633422136300004E-2"/>
    <n v="9.7258768081699998"/>
    <n v="207.05817873887941"/>
    <n v="273.635597321592"/>
    <n v="1.4359999999999999"/>
    <n v="1.139"/>
    <n v="0.29699999999999993"/>
    <n v="7.0699253731343283"/>
    <n v="7.448913857677903"/>
    <n v="0.3789884845435747"/>
    <n v="760.32"/>
    <n v="327.36"/>
    <n v="0"/>
    <n v="1087.68"/>
    <n v="63.699999999999996"/>
    <n v="1023.98"/>
  </r>
  <r>
    <s v="Inot Songoyani"/>
    <n v="197"/>
    <s v="Rajabu Omary Khinsa"/>
    <s v="Rajabu Omary Khinsa"/>
    <s v="TSAMASI"/>
    <s v="Samatsi"/>
    <n v="0"/>
    <s v="Homefield"/>
    <s v="Feed livestock"/>
    <s v="OffField feed"/>
    <n v="0"/>
    <m/>
    <m/>
    <s v=""/>
    <m/>
    <n v="1"/>
    <s v="Every year"/>
    <n v="15"/>
    <s v="Variable"/>
    <s v="Other fields in my home village"/>
    <m/>
    <s v="My 'home field' away from here"/>
    <m/>
    <n v="1500"/>
    <s v=""/>
    <x v="1"/>
    <s v=""/>
    <n v="0"/>
    <s v=""/>
    <m/>
    <s v=""/>
    <s v=""/>
    <s v="Yes"/>
    <s v="No"/>
    <s v=""/>
    <n v="0"/>
    <s v=""/>
    <m/>
    <m/>
    <s v=""/>
    <s v=""/>
    <n v="1"/>
    <n v="0"/>
    <s v="10"/>
    <x v="3"/>
    <n v="2"/>
    <s v="Yes"/>
    <n v="0.75"/>
    <s v="Yes"/>
    <n v="1"/>
    <n v="0.25"/>
    <s v="No"/>
    <s v=""/>
    <m/>
    <n v="1"/>
    <n v="1"/>
    <s v="Yes"/>
    <s v="No"/>
    <s v="Yes"/>
    <s v="No"/>
    <s v="No"/>
    <s v="No"/>
    <n v="4"/>
    <s v="Both"/>
    <m/>
    <s v=""/>
    <n v="7"/>
    <s v="Both"/>
    <m/>
    <s v=""/>
    <m/>
    <s v=""/>
    <m/>
    <n v="4.07"/>
    <s v="Low"/>
    <n v="1"/>
    <n v="1"/>
    <n v="6"/>
    <n v="8"/>
    <n v="0"/>
    <n v="0"/>
    <n v="1"/>
    <s v=""/>
    <n v="15.3"/>
    <s v="Medium"/>
    <n v="19.37"/>
    <s v="No"/>
    <s v=""/>
    <s v="No"/>
    <s v=""/>
    <n v="0.25"/>
    <n v="0.5"/>
    <m/>
    <s v="Yes"/>
    <n v="0.5"/>
    <n v="1"/>
    <s v="Bags"/>
    <n v="0.48"/>
    <m/>
    <n v="999"/>
    <s v="Bags"/>
    <m/>
    <n v="0.5"/>
    <n v="3"/>
    <s v="Gorogoro"/>
    <n v="0.24047999999999994"/>
    <x v="0"/>
    <s v="No"/>
    <s v="No"/>
    <s v="No"/>
    <s v="No"/>
    <n v="0"/>
    <n v="3"/>
    <s v="uuid:31ff75db-e1a4-4df1-ba88-ded957f4fa80/secG-G2"/>
    <s v="uuid:31ff75db-e1a4-4df1-ba88-ded957f4fa80/secG-G5"/>
    <n v="-4.2876839637756348"/>
    <n v="35.832809448242188"/>
    <n v="1328.300048828125"/>
    <n v="5"/>
    <n v="1706031849"/>
    <s v="uuid:31ff75db-e1a4-4df1-ba88-ded957f4fa80"/>
    <d v="2017-08-01T21:46:49"/>
    <d v="2017-07-22T09:26:22"/>
    <d v="2017-07-22T09:46:57"/>
    <d v="2017-02-24T00:00:00"/>
    <m/>
    <n v="1.9759759759759761"/>
    <n v="1.6943993993993995"/>
    <n v="5.4114747474747471"/>
    <n v="4.6580808080808085"/>
    <m/>
    <n v="1"/>
    <m/>
    <s v="Plains"/>
    <n v="3.1643760204300002"/>
    <s v="Gentle"/>
    <s v="Flat"/>
    <n v="0.27193418145199999"/>
    <n v="7.7665185928299998"/>
    <n v="349.7371323374249"/>
    <n v="299.14396544609201"/>
    <n v="1.2689999999999999"/>
    <n v="1.8180000000000001"/>
    <n v="-0.54900000000000015"/>
    <m/>
    <n v="1.8351876876876878"/>
    <n v="1.8351876876876878"/>
    <n v="168.95999999999998"/>
    <n v="164.00735999999995"/>
    <n v="0"/>
    <n v="332.96735999999993"/>
    <n v="0"/>
    <n v="332.96735999999993"/>
  </r>
  <r>
    <s v="Evaline K Kaaya"/>
    <n v="195"/>
    <s v="Laurent singay Sule"/>
    <s v="Laurent Singay Sule"/>
    <s v="ENDANOGA"/>
    <s v="Endanoga"/>
    <n v="0"/>
    <s v="Homefield"/>
    <s v="Feed livestock"/>
    <s v="OffField feed"/>
    <n v="0"/>
    <m/>
    <m/>
    <s v=""/>
    <m/>
    <n v="1"/>
    <s v="4 years ago"/>
    <n v="20"/>
    <n v="5"/>
    <s v="Home fields in another village"/>
    <m/>
    <s v="This field"/>
    <m/>
    <n v="5000"/>
    <s v=""/>
    <x v="0"/>
    <s v="Own animals"/>
    <n v="0"/>
    <s v=""/>
    <m/>
    <s v=""/>
    <s v=""/>
    <s v="Yes"/>
    <s v="No"/>
    <s v=""/>
    <n v="0"/>
    <s v=""/>
    <m/>
    <m/>
    <s v=""/>
    <s v=""/>
    <n v="1"/>
    <n v="0"/>
    <s v="10"/>
    <x v="3"/>
    <n v="2"/>
    <s v="Yes"/>
    <n v="0.25"/>
    <s v="Yes"/>
    <n v="2"/>
    <n v="3"/>
    <s v="No"/>
    <s v=""/>
    <m/>
    <n v="3.25"/>
    <n v="3.25"/>
    <s v="Yes"/>
    <s v="No"/>
    <s v="Yes"/>
    <s v="No"/>
    <s v="No"/>
    <s v="No"/>
    <n v="4"/>
    <s v="Zero grazing"/>
    <m/>
    <s v=""/>
    <n v="15"/>
    <s v="Zero grazing"/>
    <m/>
    <s v=""/>
    <m/>
    <s v=""/>
    <m/>
    <n v="4.1500000000000004"/>
    <s v="Low"/>
    <n v="1"/>
    <n v="1"/>
    <n v="5"/>
    <n v="7"/>
    <n v="0"/>
    <n v="0"/>
    <n v="0"/>
    <s v=""/>
    <n v="48.75"/>
    <s v="Medium"/>
    <n v="52.9"/>
    <s v="Yes"/>
    <s v="Karate"/>
    <s v="Yes"/>
    <s v="Casual"/>
    <n v="0.25"/>
    <n v="3"/>
    <n v="3"/>
    <s v="Yes"/>
    <n v="2"/>
    <n v="12"/>
    <s v="Bags"/>
    <n v="1.4400000000000002"/>
    <n v="0"/>
    <n v="999"/>
    <s v="Bags"/>
    <m/>
    <n v="2"/>
    <n v="2"/>
    <s v="Bags"/>
    <n v="0.24"/>
    <x v="1"/>
    <s v="Yes"/>
    <s v="Yes"/>
    <s v="Yes"/>
    <s v="Yes"/>
    <n v="5"/>
    <n v="2"/>
    <s v="uuid:5d894163-ae15-49bc-9f54-58136af2e2f4/secG-G2"/>
    <s v="uuid:5d894163-ae15-49bc-9f54-58136af2e2f4/secG-G5"/>
    <n v="-4.2657060623168945"/>
    <n v="35.845195770263672"/>
    <n v="1368.4000244140625"/>
    <n v="5"/>
    <n v="1706031849"/>
    <s v="uuid:5d894163-ae15-49bc-9f54-58136af2e2f4"/>
    <d v="2017-07-24T08:38:35"/>
    <d v="2017-07-10T11:27:15"/>
    <d v="2017-07-18T21:02:21"/>
    <d v="2017-02-28T00:00:00"/>
    <m/>
    <n v="8.3568008948545867"/>
    <n v="6.4513646532438473"/>
    <n v="6.3141530054644814"/>
    <n v="6.2491256830601083"/>
    <m/>
    <n v="1"/>
    <m/>
    <s v="Plains"/>
    <n v="3.1718769073500002"/>
    <s v="Gentle"/>
    <s v="Flat"/>
    <n v="9.0650379657699995E-2"/>
    <n v="12.1861162186"/>
    <n v="303.32686075376108"/>
    <m/>
    <n v="1.202"/>
    <m/>
    <m/>
    <n v="6.2816393442622953"/>
    <n v="7.4040827740492166"/>
    <n v="1.1224434297869212"/>
    <n v="506.88000000000005"/>
    <n v="163.68"/>
    <n v="0"/>
    <n v="670.56000000000006"/>
    <n v="63.699999999999996"/>
    <n v="606.86"/>
  </r>
  <r>
    <s v="Inot Songoyani"/>
    <n v="6"/>
    <s v="Tatu Sii Nino"/>
    <s v=""/>
    <e v="#N/A"/>
    <s v="Orngadida"/>
    <n v="0"/>
    <s v="Homefield"/>
    <s v="Feed livestock"/>
    <s v="OffField feed"/>
    <n v="0"/>
    <m/>
    <m/>
    <s v=""/>
    <m/>
    <n v="1"/>
    <s v="Last year"/>
    <n v="16"/>
    <n v="1"/>
    <s v="Other fields in my home village"/>
    <m/>
    <s v="This field"/>
    <m/>
    <n v="5000"/>
    <s v=""/>
    <x v="0"/>
    <s v="Own animals"/>
    <n v="0"/>
    <s v=""/>
    <m/>
    <s v=""/>
    <s v=""/>
    <s v="Yes"/>
    <s v="No"/>
    <s v=""/>
    <n v="0"/>
    <s v=""/>
    <m/>
    <m/>
    <s v=""/>
    <s v=""/>
    <n v="1"/>
    <n v="0"/>
    <s v="10"/>
    <x v="3"/>
    <n v="2"/>
    <s v="Yes"/>
    <n v="2.5"/>
    <s v="Yes"/>
    <n v="1"/>
    <n v="3"/>
    <s v="No"/>
    <s v=""/>
    <m/>
    <n v="5.5"/>
    <n v="5.5"/>
    <s v="Yes"/>
    <s v="Yes"/>
    <s v="Yes"/>
    <s v="No"/>
    <s v="No"/>
    <s v="No"/>
    <n v="4"/>
    <s v="Zero grazing"/>
    <n v="3"/>
    <s v="Zero grazing"/>
    <n v="8"/>
    <s v="Free range"/>
    <m/>
    <s v=""/>
    <m/>
    <s v=""/>
    <m/>
    <n v="4.38"/>
    <s v="Low"/>
    <n v="1"/>
    <n v="2"/>
    <n v="1"/>
    <n v="4"/>
    <n v="0"/>
    <n v="0"/>
    <n v="0"/>
    <s v=""/>
    <n v="82.5"/>
    <s v="High"/>
    <n v="86.88"/>
    <s v="Yes"/>
    <s v="Stalk borer"/>
    <s v="No"/>
    <s v=""/>
    <n v="0.25"/>
    <m/>
    <n v="0.75"/>
    <s v="Yes"/>
    <n v="1"/>
    <n v="3"/>
    <s v="Bags"/>
    <n v="0.72000000000000008"/>
    <m/>
    <n v="999"/>
    <s v="Bags"/>
    <m/>
    <n v="1"/>
    <n v="1"/>
    <s v="Bags"/>
    <n v="0.24"/>
    <x v="0"/>
    <s v="No"/>
    <s v="No"/>
    <s v="No"/>
    <s v="No"/>
    <n v="0"/>
    <n v="3"/>
    <s v="uuid:290e1402-ecad-433c-98df-c3b6b8940697/secG-G2"/>
    <s v="uuid:290e1402-ecad-433c-98df-c3b6b8940697/secG-G5"/>
    <n v="-4.3017787933349609"/>
    <n v="35.871902465820313"/>
    <n v="1248.300048828125"/>
    <n v="5"/>
    <n v="1705231439"/>
    <s v="uuid:290e1402-ecad-433c-98df-c3b6b8940697"/>
    <d v="2017-06-07T14:17:16"/>
    <d v="2017-06-06T12:45:33"/>
    <d v="2017-06-06T13:04:49"/>
    <d v="2017-02-26T00:00:00"/>
    <m/>
    <m/>
    <m/>
    <m/>
    <m/>
    <m/>
    <n v="1"/>
    <m/>
    <s v="Plains"/>
    <n v="2.93846130371"/>
    <s v="Gentle"/>
    <s v="Flat"/>
    <n v="0.18129228055499999"/>
    <n v="8.0064697265600007"/>
    <m/>
    <m/>
    <m/>
    <m/>
    <m/>
    <m/>
    <m/>
    <m/>
    <n v="253.44000000000003"/>
    <n v="163.68"/>
    <n v="0"/>
    <n v="417.12"/>
    <n v="63.699999999999996"/>
    <n v="353.42"/>
  </r>
  <r>
    <s v="Inot Songoyani"/>
    <n v="210"/>
    <s v="Leandry Daniel Kwalaida"/>
    <s v="Leandry Daniel Qwaraida"/>
    <s v="DURU"/>
    <s v="Duru"/>
    <n v="0"/>
    <s v="Homefield"/>
    <s v="Feed livestock"/>
    <s v="OffField feed"/>
    <n v="0"/>
    <m/>
    <m/>
    <s v=""/>
    <m/>
    <n v="1"/>
    <s v="Every year"/>
    <n v="8"/>
    <s v="Variable"/>
    <s v="Other fields in my home village"/>
    <m/>
    <s v="This field"/>
    <m/>
    <n v="5000"/>
    <s v=""/>
    <x v="0"/>
    <s v="Own animals"/>
    <n v="0"/>
    <s v=""/>
    <m/>
    <s v=""/>
    <s v=""/>
    <s v="Yes"/>
    <s v="No"/>
    <s v=""/>
    <n v="0"/>
    <s v=""/>
    <m/>
    <m/>
    <s v=""/>
    <s v=""/>
    <n v="1"/>
    <n v="0"/>
    <s v="10"/>
    <x v="3"/>
    <n v="2"/>
    <s v="Yes"/>
    <n v="1"/>
    <s v="Yes"/>
    <n v="3"/>
    <n v="3.5"/>
    <s v="No"/>
    <s v=""/>
    <m/>
    <n v="4.5"/>
    <n v="4.5"/>
    <s v="Yes"/>
    <s v="Yes"/>
    <s v="Yes"/>
    <s v="Yes"/>
    <s v="No"/>
    <s v="No"/>
    <n v="4"/>
    <s v="Both"/>
    <n v="5"/>
    <s v="Both"/>
    <n v="12"/>
    <s v="Both"/>
    <n v="2"/>
    <s v="Both"/>
    <m/>
    <s v=""/>
    <m/>
    <n v="4.82"/>
    <s v="Low"/>
    <n v="3"/>
    <n v="1"/>
    <n v="4"/>
    <n v="8"/>
    <n v="0"/>
    <n v="0"/>
    <n v="1"/>
    <s v=""/>
    <n v="67.8"/>
    <s v="High"/>
    <n v="72.62"/>
    <s v="No"/>
    <s v=""/>
    <s v="Yes"/>
    <s v="Casual"/>
    <n v="0.25"/>
    <n v="1.25"/>
    <m/>
    <s v="Yes"/>
    <n v="1.5"/>
    <n v="12"/>
    <s v="Bags"/>
    <n v="1.9200000000000002"/>
    <m/>
    <n v="999"/>
    <s v="Bags"/>
    <m/>
    <n v="1.5"/>
    <n v="3"/>
    <s v="Bags"/>
    <n v="0.48"/>
    <x v="0"/>
    <s v="No"/>
    <s v="No"/>
    <s v="No"/>
    <s v="No"/>
    <n v="0"/>
    <n v="2"/>
    <s v="uuid:5597b991-30a4-4068-901e-debca6c9b939/secG-G2"/>
    <s v="uuid:5597b991-30a4-4068-901e-debca6c9b939/secG-G5"/>
    <n v="-4.310267448425293"/>
    <n v="35.595977783203125"/>
    <n v="1642.5999755859375"/>
    <n v="5"/>
    <n v="1706031849"/>
    <s v="uuid:5597b991-30a4-4068-901e-debca6c9b939"/>
    <d v="2017-08-03T23:12:46"/>
    <d v="2017-07-05T11:42:26"/>
    <d v="2017-08-03T19:54:40"/>
    <d v="2017-02-04T00:00:00"/>
    <m/>
    <n v="7.0366528354080229"/>
    <n v="5.3503918856615957"/>
    <n v="4.7101198709082537"/>
    <n v="4.2790456431535278"/>
    <m/>
    <n v="1"/>
    <m/>
    <s v="Upper slopes"/>
    <n v="5.0538773536699999"/>
    <s v="Moderate"/>
    <s v="Midslope"/>
    <n v="0.18129228055499999"/>
    <n v="7.6397376060499997"/>
    <n v="350.44415435084073"/>
    <m/>
    <n v="1.3740000000000001"/>
    <m/>
    <m/>
    <n v="4.4945827570308907"/>
    <n v="6.1935223605348089"/>
    <n v="1.6989396035039181"/>
    <n v="675.84"/>
    <n v="327.36"/>
    <n v="0"/>
    <n v="1003.2"/>
    <n v="63.699999999999996"/>
    <n v="939.5"/>
  </r>
  <r>
    <s v="Inot Songoyani"/>
    <n v="112"/>
    <s v="Paulo Ingi slaa"/>
    <s v="Paulo Ingi Slaa"/>
    <e v="#N/A"/>
    <s v="Seloto"/>
    <n v="0"/>
    <s v="Homefield"/>
    <s v="Feed livestock"/>
    <s v="OffField feed"/>
    <n v="0"/>
    <m/>
    <m/>
    <s v=""/>
    <m/>
    <n v="1"/>
    <s v="Every year"/>
    <n v="8"/>
    <s v="Variable"/>
    <s v="Other fields in my home village"/>
    <m/>
    <s v="This field"/>
    <m/>
    <n v="10000"/>
    <s v=""/>
    <x v="0"/>
    <s v="Own animals"/>
    <n v="0"/>
    <s v=""/>
    <m/>
    <s v=""/>
    <s v=""/>
    <s v="Yes"/>
    <s v="Yes"/>
    <s v="Hole"/>
    <n v="0"/>
    <s v=""/>
    <m/>
    <m/>
    <s v=""/>
    <s v=""/>
    <n v="1"/>
    <n v="0"/>
    <s v="10"/>
    <x v="3"/>
    <n v="2"/>
    <s v="Yes"/>
    <n v="1"/>
    <s v="No"/>
    <m/>
    <m/>
    <s v="Yes"/>
    <s v="Rent"/>
    <n v="2"/>
    <n v="1"/>
    <n v="3"/>
    <s v="Yes"/>
    <s v="No"/>
    <s v="Yes"/>
    <s v="No"/>
    <s v="No"/>
    <s v="No"/>
    <n v="5"/>
    <s v="Both"/>
    <m/>
    <s v=""/>
    <n v="10"/>
    <s v="Zero grazing"/>
    <m/>
    <s v=""/>
    <m/>
    <s v=""/>
    <m/>
    <n v="5.0999999999999996"/>
    <s v="Low"/>
    <n v="1"/>
    <n v="2"/>
    <n v="2"/>
    <n v="5"/>
    <n v="0"/>
    <n v="0"/>
    <n v="1"/>
    <m/>
    <n v="15.3"/>
    <s v="Medium"/>
    <n v="20.399999999999999"/>
    <s v="Yes"/>
    <s v="Supercrone"/>
    <s v="Yes"/>
    <s v="Casual"/>
    <n v="0.25"/>
    <n v="0"/>
    <n v="0.5"/>
    <s v="Yes"/>
    <n v="0.75"/>
    <n v="17"/>
    <s v="Bags"/>
    <n v="5.44"/>
    <m/>
    <n v="999"/>
    <s v="Bags"/>
    <m/>
    <n v="999"/>
    <n v="9999"/>
    <s v="Gorogoro"/>
    <n v="0.40116108108108106"/>
    <x v="1"/>
    <s v="Yes"/>
    <s v="Yes"/>
    <s v="Yes"/>
    <s v="Yes"/>
    <n v="5"/>
    <n v="3"/>
    <s v="uuid:f7f08c97-0816-48b8-950e-6b48b7c40ce2/secG-G2"/>
    <s v="uuid:f7f08c97-0816-48b8-950e-6b48b7c40ce2/secG-G5"/>
    <n v="-4.2550787925720215"/>
    <n v="35.521110534667969"/>
    <n v="1629.9000244140625"/>
    <n v="5"/>
    <n v="1706031849"/>
    <s v="uuid:f7f08c97-0816-48b8-950e-6b48b7c40ce2"/>
    <d v="2017-06-17T09:54:37"/>
    <d v="2017-06-15T14:11:50"/>
    <d v="2017-06-15T14:31:20"/>
    <d v="2017-01-07T00:00:00"/>
    <m/>
    <m/>
    <m/>
    <m/>
    <m/>
    <m/>
    <n v="1"/>
    <m/>
    <s v="Plains"/>
    <n v="0.93315756320999999"/>
    <s v="Very gentle"/>
    <s v="Flat"/>
    <n v="9.0650379657699995E-2"/>
    <n v="10.7247610092"/>
    <m/>
    <m/>
    <m/>
    <m/>
    <m/>
    <m/>
    <m/>
    <m/>
    <n v="1914.88"/>
    <n v="273.59185729729728"/>
    <n v="0"/>
    <n v="2188.4718572972974"/>
    <n v="63.699999999999996"/>
    <n v="2124.7718572972976"/>
  </r>
  <r>
    <s v="Michael"/>
    <n v="33"/>
    <s v="Violet Mmari"/>
    <s v="Violet Mmari"/>
    <s v="Sangara"/>
    <s v="Samatsi"/>
    <n v="1"/>
    <s v="outfield"/>
    <s v="Feed livestock"/>
    <s v="OffField feed"/>
    <n v="0"/>
    <m/>
    <m/>
    <s v=""/>
    <m/>
    <n v="1"/>
    <s v="Last year"/>
    <n v="2"/>
    <n v="0.5"/>
    <s v="Other fields in my home village"/>
    <m/>
    <s v="My 'home field' away from here"/>
    <m/>
    <n v="5000"/>
    <s v=""/>
    <x v="0"/>
    <s v="Own animals"/>
    <n v="0"/>
    <s v=""/>
    <m/>
    <s v=""/>
    <s v=""/>
    <s v="Yes"/>
    <s v="No"/>
    <m/>
    <n v="0"/>
    <s v=""/>
    <m/>
    <m/>
    <s v=""/>
    <s v=""/>
    <n v="1"/>
    <n v="0"/>
    <s v="10"/>
    <x v="3"/>
    <n v="2"/>
    <s v="Yes"/>
    <n v="1"/>
    <s v="Yes"/>
    <n v="6"/>
    <n v="10"/>
    <s v="Yes"/>
    <s v="Rent"/>
    <n v="12.5"/>
    <n v="11"/>
    <n v="23.5"/>
    <s v="Yes"/>
    <s v="Yes"/>
    <s v="No"/>
    <s v="No"/>
    <s v="No"/>
    <s v="No"/>
    <n v="5"/>
    <s v="Zero grazing"/>
    <n v="4"/>
    <s v="Zero grazing"/>
    <m/>
    <s v=""/>
    <m/>
    <s v=""/>
    <m/>
    <s v=""/>
    <m/>
    <n v="5.4"/>
    <s v="Low"/>
    <n v="2"/>
    <n v="6"/>
    <n v="1"/>
    <n v="9"/>
    <n v="0"/>
    <n v="0"/>
    <n v="0"/>
    <m/>
    <n v="165"/>
    <s v="High"/>
    <n v="170.4"/>
    <s v="Yes"/>
    <s v="Dudubar,Carte"/>
    <s v="Yes"/>
    <s v="Multiple"/>
    <n v="8"/>
    <n v="3"/>
    <n v="0"/>
    <s v="Yes"/>
    <n v="1"/>
    <n v="21"/>
    <s v="Bags"/>
    <n v="5.04"/>
    <n v="1"/>
    <n v="10"/>
    <s v="Bags"/>
    <n v="2.4"/>
    <n v="1"/>
    <n v="4"/>
    <s v="Bags"/>
    <n v="0.96"/>
    <x v="1"/>
    <s v="No"/>
    <s v="Yes"/>
    <s v="No"/>
    <s v="Yes"/>
    <n v="3"/>
    <n v="5"/>
    <s v="uuid:ebf83f8a-4214-40de-adc9-96118c28ba84/secG-G2"/>
    <s v="uuid:ebf83f8a-4214-40de-adc9-96118c28ba84/secG-G5"/>
    <n v="-4.2983689308166504"/>
    <n v="35.643024444580078"/>
    <n v="1384.800048828125"/>
    <n v="15"/>
    <n v="1705231439"/>
    <s v="uuid:ebf83f8a-4214-40de-adc9-96118c28ba84"/>
    <d v="2017-06-22T07:01:24"/>
    <d v="2017-06-13T09:35:50"/>
    <d v="2017-06-22T06:56:23"/>
    <d v="2017-01-06T00:00:00"/>
    <m/>
    <m/>
    <m/>
    <m/>
    <m/>
    <m/>
    <n v="1"/>
    <m/>
    <s v="Plains"/>
    <n v="1.7775242328600001"/>
    <s v="Very gentle"/>
    <s v="Flat"/>
    <n v="0.18129228055499999"/>
    <n v="9.9929609298699997"/>
    <n v="271.43823040193337"/>
    <m/>
    <m/>
    <m/>
    <m/>
    <m/>
    <m/>
    <m/>
    <n v="1774.08"/>
    <n v="654.72"/>
    <n v="1908"/>
    <n v="4336.8"/>
    <n v="63.699999999999996"/>
    <n v="4273.1000000000004"/>
  </r>
  <r>
    <s v="Michael"/>
    <n v="40"/>
    <s v="Samuel Qamara"/>
    <s v="Samuel Qamara"/>
    <s v="Sangara"/>
    <s v="Samatsi"/>
    <n v="0"/>
    <s v="Homefield"/>
    <s v="Feed livestock"/>
    <s v="InField feed"/>
    <n v="0"/>
    <m/>
    <m/>
    <s v=""/>
    <m/>
    <n v="1"/>
    <s v="Last year"/>
    <n v="6"/>
    <n v="2"/>
    <s v="Other fields in my home village"/>
    <m/>
    <s v="Other, Specify"/>
    <n v="999"/>
    <m/>
    <s v="Labour"/>
    <x v="1"/>
    <s v=""/>
    <n v="0"/>
    <s v=""/>
    <m/>
    <s v=""/>
    <s v=""/>
    <s v="Yes"/>
    <s v="No"/>
    <m/>
    <n v="0"/>
    <s v=""/>
    <m/>
    <m/>
    <s v=""/>
    <s v=""/>
    <n v="1"/>
    <n v="0"/>
    <s v="10"/>
    <x v="3"/>
    <n v="2"/>
    <s v="Yes"/>
    <n v="2"/>
    <s v="No"/>
    <m/>
    <m/>
    <s v="No"/>
    <s v=""/>
    <m/>
    <n v="2"/>
    <n v="2"/>
    <s v="Yes"/>
    <s v="Yes"/>
    <s v="Yes"/>
    <s v="No"/>
    <s v="No"/>
    <s v="No"/>
    <n v="5"/>
    <s v="Free range"/>
    <n v="4"/>
    <s v="Free range"/>
    <n v="10"/>
    <s v="Free range"/>
    <m/>
    <s v=""/>
    <m/>
    <s v=""/>
    <m/>
    <n v="5.5"/>
    <s v="Low"/>
    <n v="3"/>
    <n v="2"/>
    <n v="4"/>
    <n v="9"/>
    <n v="0"/>
    <n v="0"/>
    <n v="1"/>
    <m/>
    <n v="30.3"/>
    <s v="Medium"/>
    <n v="35.799999999999997"/>
    <s v="No"/>
    <s v=""/>
    <s v="No"/>
    <s v=""/>
    <n v="0.25"/>
    <n v="1.5"/>
    <n v="0"/>
    <s v="Yes"/>
    <n v="1"/>
    <n v="4"/>
    <s v="Bags"/>
    <n v="0.96"/>
    <m/>
    <n v="999"/>
    <s v="Bags"/>
    <m/>
    <n v="1"/>
    <n v="2"/>
    <s v="Bags"/>
    <n v="0.48"/>
    <x v="0"/>
    <s v="No"/>
    <s v="No"/>
    <s v="No"/>
    <s v="No"/>
    <n v="0"/>
    <n v="2"/>
    <s v="uuid:06d4762a-427d-4072-8851-16fc9194d548/secG-G2"/>
    <s v="uuid:06d4762a-427d-4072-8851-16fc9194d548/secG-G5"/>
    <n v="-4.2891554832458496"/>
    <n v="35.629096984863281"/>
    <n v="1467.9000244140625"/>
    <n v="10"/>
    <n v="1705231439"/>
    <s v="uuid:06d4762a-427d-4072-8851-16fc9194d548"/>
    <d v="2017-06-22T07:01:27"/>
    <d v="2017-06-13T15:14:47"/>
    <d v="2017-06-22T06:57:25"/>
    <d v="2017-01-09T00:00:00"/>
    <m/>
    <n v="3.9160000000000008"/>
    <n v="4.2720000000000011"/>
    <n v="4.5014484126984113"/>
    <n v="4.7947023809523799"/>
    <m/>
    <s v="FALSEE"/>
    <m/>
    <s v="Midslope ridges"/>
    <n v="13.2616186142"/>
    <s v="Strong"/>
    <s v="Ridge"/>
    <n v="1.35963702202"/>
    <n v="6.7637782096899999"/>
    <n v="76.620787229891377"/>
    <n v="37.217825211550952"/>
    <n v="0.74299999999999999"/>
    <n v="0.52100000000000002"/>
    <n v="0.22199999999999998"/>
    <n v="4.6480753968253961"/>
    <n v="4.0940000000000012"/>
    <n v="-0.55407539682539486"/>
    <n v="337.91999999999996"/>
    <n v="327.36"/>
    <n v="0"/>
    <n v="665.28"/>
    <n v="0"/>
    <n v="665.28"/>
  </r>
  <r>
    <s v="Michael"/>
    <n v="34"/>
    <s v="Joseph Tahani"/>
    <s v="Joseph Tahani"/>
    <s v="Sangara"/>
    <s v="Samatsi"/>
    <n v="0"/>
    <s v="Homefield"/>
    <s v="Feed livestock"/>
    <s v="OffField feed"/>
    <n v="0"/>
    <m/>
    <m/>
    <s v=""/>
    <m/>
    <n v="1"/>
    <s v="This season"/>
    <n v="3"/>
    <n v="3"/>
    <s v="Other fields in my home village"/>
    <m/>
    <s v="This field"/>
    <m/>
    <n v="8000"/>
    <s v=""/>
    <x v="0"/>
    <s v="Own animals"/>
    <n v="0"/>
    <s v=""/>
    <m/>
    <s v=""/>
    <s v=""/>
    <s v="Yes"/>
    <s v="No"/>
    <m/>
    <n v="0"/>
    <s v=""/>
    <m/>
    <m/>
    <s v=""/>
    <s v=""/>
    <n v="1"/>
    <n v="0"/>
    <s v="10"/>
    <x v="3"/>
    <n v="2"/>
    <s v="Yes"/>
    <n v="2"/>
    <s v="No"/>
    <m/>
    <m/>
    <s v="Yes"/>
    <s v="Rent"/>
    <n v="3.5"/>
    <n v="2"/>
    <n v="5.5"/>
    <s v="Yes"/>
    <s v="Yes"/>
    <s v="Yes"/>
    <s v="No"/>
    <s v="No"/>
    <s v="No"/>
    <n v="6"/>
    <s v="Free range"/>
    <n v="2"/>
    <s v="Free range"/>
    <n v="20"/>
    <s v="Free range"/>
    <m/>
    <s v=""/>
    <m/>
    <s v=""/>
    <m/>
    <n v="6.4"/>
    <s v="Medium"/>
    <n v="1"/>
    <n v="1"/>
    <n v="2"/>
    <n v="4"/>
    <n v="0"/>
    <n v="0"/>
    <n v="1"/>
    <m/>
    <n v="30.3"/>
    <s v="Medium"/>
    <n v="36.700000000000003"/>
    <s v="Yes"/>
    <s v="Runner force, Unga lincon,"/>
    <s v="Yes"/>
    <s v="Multiple"/>
    <n v="0.75"/>
    <n v="2"/>
    <n v="0"/>
    <s v="Yes"/>
    <n v="1"/>
    <n v="25"/>
    <s v="Bags"/>
    <n v="6"/>
    <n v="1"/>
    <n v="1"/>
    <s v="Bags"/>
    <n v="0.24"/>
    <n v="1"/>
    <n v="2.5"/>
    <s v="Bags"/>
    <n v="0.6"/>
    <x v="1"/>
    <s v="Yes"/>
    <s v="Yes"/>
    <s v="Yes"/>
    <s v="Yes"/>
    <n v="5"/>
    <n v="3"/>
    <s v="uuid:c7ee9f74-1648-46fb-bdd3-f3ef098c68f4/secG-G2"/>
    <s v="uuid:c7ee9f74-1648-46fb-bdd3-f3ef098c68f4/secG-G5"/>
    <n v="-4.298184871673584"/>
    <n v="35.634128570556641"/>
    <n v="1395.9000244140625"/>
    <n v="10"/>
    <n v="1705231439"/>
    <s v="uuid:c7ee9f74-1648-46fb-bdd3-f3ef098c68f4"/>
    <d v="2017-06-22T07:01:23"/>
    <d v="2017-06-12T16:48:24"/>
    <d v="2017-06-22T06:56:01"/>
    <d v="2017-02-25T00:00:00"/>
    <m/>
    <n v="4.2897474747474753"/>
    <n v="6.2843434343434348"/>
    <n v="2.9950515463917529"/>
    <n v="1.8816494845360825"/>
    <m/>
    <n v="1"/>
    <m/>
    <s v="Valleys"/>
    <n v="2.93846130371"/>
    <s v="Gentle"/>
    <s v="Toeslope"/>
    <n v="-0.725126743317"/>
    <n v="10.9177017212"/>
    <n v="71.185895917017049"/>
    <n v="266.84198318049908"/>
    <n v="0.84299999999999997"/>
    <n v="1.171"/>
    <n v="-0.32800000000000007"/>
    <n v="2.4383505154639176"/>
    <n v="5.2870454545454546"/>
    <n v="2.848694939081537"/>
    <n v="2112"/>
    <n v="409.2"/>
    <n v="190.79999999999998"/>
    <n v="2712"/>
    <n v="63.699999999999996"/>
    <n v="2648.3"/>
  </r>
  <r>
    <s v="Michael"/>
    <n v="19"/>
    <s v="Jeremiah Gabriel"/>
    <s v="Jeremiah Gabriel"/>
    <s v="SABILO"/>
    <s v="Sabilo"/>
    <n v="1.5"/>
    <s v="outfield"/>
    <s v="Feed livestock"/>
    <s v="InField feed"/>
    <n v="0"/>
    <m/>
    <m/>
    <s v=""/>
    <m/>
    <n v="1"/>
    <s v="Last year"/>
    <n v="10"/>
    <n v="2"/>
    <s v="Other fields in my home village"/>
    <m/>
    <s v="My 'home field' away from here"/>
    <m/>
    <m/>
    <s v="Labour"/>
    <x v="0"/>
    <s v="Own animals"/>
    <n v="0"/>
    <s v=""/>
    <m/>
    <s v=""/>
    <s v=""/>
    <s v="Yes"/>
    <s v="No"/>
    <m/>
    <n v="0"/>
    <s v=""/>
    <m/>
    <m/>
    <s v=""/>
    <s v=""/>
    <n v="1"/>
    <n v="0"/>
    <s v="10"/>
    <x v="3"/>
    <n v="2"/>
    <s v="No"/>
    <m/>
    <s v="Yes"/>
    <n v="2"/>
    <n v="1.5"/>
    <s v="Yes"/>
    <s v="Donation for a period"/>
    <n v="1.75"/>
    <n v="1.5"/>
    <n v="3.25"/>
    <s v="Yes"/>
    <s v="Yes"/>
    <s v="Yes"/>
    <s v="Yes"/>
    <s v="No"/>
    <s v="No"/>
    <n v="5"/>
    <s v="Free range"/>
    <n v="9"/>
    <s v="Free range"/>
    <n v="5"/>
    <s v="Free range"/>
    <n v="5"/>
    <s v="Free range"/>
    <m/>
    <s v=""/>
    <m/>
    <n v="6.45"/>
    <s v="Medium"/>
    <n v="1"/>
    <n v="1"/>
    <n v="3"/>
    <n v="5"/>
    <n v="0"/>
    <n v="0"/>
    <n v="0"/>
    <s v=""/>
    <n v="22.5"/>
    <s v="Medium"/>
    <n v="28.95"/>
    <s v="No"/>
    <s v=""/>
    <s v="No"/>
    <s v=""/>
    <n v="0.25"/>
    <n v="1.5"/>
    <m/>
    <s v="Yes"/>
    <m/>
    <n v="999"/>
    <s v="Bags"/>
    <m/>
    <m/>
    <n v="999"/>
    <s v="Bags"/>
    <m/>
    <m/>
    <n v="999"/>
    <s v="Bags"/>
    <m/>
    <x v="0"/>
    <s v="No"/>
    <s v="No"/>
    <s v="No"/>
    <s v="No"/>
    <n v="0"/>
    <n v="0"/>
    <s v="uuid:43b59892-a17b-4d89-b538-dfb34f9a59a9/secG-G2"/>
    <s v="uuid:43b59892-a17b-4d89-b538-dfb34f9a59a9/secG-G5"/>
    <n v="-4.3649811744689941"/>
    <n v="35.470508575439453"/>
    <n v="1688.699951171875"/>
    <n v="15"/>
    <n v="1705231439"/>
    <s v="uuid:43b59892-a17b-4d89-b538-dfb34f9a59a9"/>
    <d v="2017-06-22T07:01:15"/>
    <d v="2017-06-08T10:12:01"/>
    <d v="2017-06-22T06:52:41"/>
    <d v="2017-02-06T00:00:00"/>
    <m/>
    <n v="1.7222222222222223"/>
    <n v="1.9652777777777779"/>
    <n v="3.4046031746031753"/>
    <n v="5.4318253968253982"/>
    <m/>
    <s v="FALSEE"/>
    <m/>
    <s v="Plains"/>
    <n v="0.15447062253999999"/>
    <s v="Depression"/>
    <s v="Flat"/>
    <n v="-0.18127532303300001"/>
    <n v="12.658034324600001"/>
    <n v="309.19793903789679"/>
    <n v="250.46537294746483"/>
    <n v="2.68"/>
    <n v="2.5049999999999999"/>
    <n v="0.17500000000000027"/>
    <n v="4.4182142857142868"/>
    <n v="1.84375"/>
    <n v="-2.5744642857142868"/>
    <n v="0"/>
    <n v="0"/>
    <n v="0"/>
    <n v="0"/>
    <n v="63.699999999999996"/>
    <n v="-63.699999999999996"/>
  </r>
  <r>
    <s v="Inot Songoyani"/>
    <n v="119"/>
    <s v="Humasay Doho bombo"/>
    <s v="Humasay Doho Bombo"/>
    <s v="AYAMANGO"/>
    <s v="Ayamango"/>
    <n v="0"/>
    <s v="Homefield"/>
    <s v="Feed livestock"/>
    <s v="OffField feed"/>
    <n v="0"/>
    <m/>
    <m/>
    <s v=""/>
    <m/>
    <n v="1"/>
    <s v="Every year"/>
    <n v="1"/>
    <s v="Variable"/>
    <s v="Other fields in my home village"/>
    <m/>
    <s v="My 'home field' away from here"/>
    <m/>
    <m/>
    <s v="Free"/>
    <x v="1"/>
    <s v=""/>
    <n v="0"/>
    <s v=""/>
    <m/>
    <s v=""/>
    <s v=""/>
    <s v="No"/>
    <s v="No"/>
    <s v=""/>
    <n v="0"/>
    <s v=""/>
    <m/>
    <m/>
    <s v=""/>
    <s v=""/>
    <n v="1"/>
    <n v="0"/>
    <s v="10"/>
    <x v="3"/>
    <n v="2"/>
    <s v="Yes"/>
    <n v="1"/>
    <s v="Yes"/>
    <n v="1"/>
    <n v="2"/>
    <s v="Yes"/>
    <s v="Rent"/>
    <n v="1"/>
    <n v="3"/>
    <n v="4"/>
    <s v="Yes"/>
    <s v="Yes"/>
    <s v="Yes"/>
    <s v="Yes"/>
    <s v="No"/>
    <s v="No"/>
    <n v="5"/>
    <s v="Both"/>
    <n v="10"/>
    <s v="Free range"/>
    <n v="15"/>
    <s v="Both"/>
    <n v="3"/>
    <s v="Both"/>
    <m/>
    <s v=""/>
    <m/>
    <n v="6.45"/>
    <s v="Medium"/>
    <n v="1"/>
    <n v="1"/>
    <n v="4"/>
    <n v="6"/>
    <n v="0"/>
    <n v="0"/>
    <n v="0"/>
    <m/>
    <n v="45"/>
    <s v="Medium"/>
    <n v="51.45"/>
    <s v="No"/>
    <s v=""/>
    <s v="Yes"/>
    <s v="Casual"/>
    <n v="555"/>
    <n v="0.75"/>
    <m/>
    <s v="Yes"/>
    <n v="0.75"/>
    <n v="12"/>
    <s v="Bags"/>
    <n v="3.8400000000000003"/>
    <m/>
    <n v="999"/>
    <s v="Bags"/>
    <m/>
    <n v="0.75"/>
    <n v="2"/>
    <s v="Bags"/>
    <n v="0.64"/>
    <x v="0"/>
    <s v="No"/>
    <s v="Yes"/>
    <s v="No"/>
    <s v="No"/>
    <n v="1"/>
    <n v="3"/>
    <s v="uuid:817605b6-a4fd-41a4-b608-092918a70dc0/secG-G2"/>
    <s v="uuid:817605b6-a4fd-41a4-b608-092918a70dc0/secG-G5"/>
    <n v="-4.2388768196105957"/>
    <n v="35.887691497802734"/>
    <n v="1216.199951171875"/>
    <n v="5"/>
    <n v="1706031849"/>
    <s v="uuid:817605b6-a4fd-41a4-b608-092918a70dc0"/>
    <d v="2017-06-20T11:58:32"/>
    <d v="2017-06-19T12:53:14"/>
    <d v="2017-06-19T13:13:18"/>
    <d v="2017-02-03T00:00:00"/>
    <m/>
    <n v="6.1652238805970141"/>
    <n v="6.2383582089552236"/>
    <n v="0.66288725490196088"/>
    <n v="0.54139869281045749"/>
    <n v="4"/>
    <n v="1"/>
    <m/>
    <s v="Open slopes"/>
    <n v="9.2816181182899999"/>
    <s v="Strong"/>
    <s v="Toeslope"/>
    <n v="-0.725126743317"/>
    <n v="6.8796205520599996"/>
    <n v="246.67458230236457"/>
    <n v="193.00158950251975"/>
    <n v="1.119"/>
    <n v="0.97299999999999998"/>
    <n v="0.14600000000000002"/>
    <n v="0.60214297385620918"/>
    <n v="6.2017910447761189"/>
    <n v="5.5996480709199101"/>
    <n v="1351.68"/>
    <n v="436.48"/>
    <n v="0"/>
    <n v="1788.16"/>
    <n v="0"/>
    <n v="1788.16"/>
  </r>
  <r>
    <s v="Inot Songoyani"/>
    <n v="224"/>
    <s v="ADA NADA ABIWA"/>
    <s v="Adaa Nada Mabiwa"/>
    <s v="ENDAGWE"/>
    <s v="Endagwe"/>
    <n v="0"/>
    <s v="Homefield"/>
    <s v="Feed livestock"/>
    <s v="OffField feed"/>
    <n v="0"/>
    <m/>
    <m/>
    <s v=""/>
    <m/>
    <n v="1"/>
    <s v="Every year"/>
    <n v="8"/>
    <s v="Variable"/>
    <s v="Other fields in my home village"/>
    <m/>
    <s v="This field"/>
    <m/>
    <n v="4000"/>
    <s v=""/>
    <x v="0"/>
    <s v="Own animals"/>
    <n v="0"/>
    <s v=""/>
    <m/>
    <s v=""/>
    <s v=""/>
    <s v="Yes"/>
    <s v="No"/>
    <s v=""/>
    <n v="0"/>
    <s v=""/>
    <m/>
    <m/>
    <s v=""/>
    <s v=""/>
    <n v="1"/>
    <n v="0"/>
    <s v="10"/>
    <x v="3"/>
    <n v="2"/>
    <s v="Yes"/>
    <n v="3.5"/>
    <s v="Yes"/>
    <n v="2"/>
    <n v="5"/>
    <s v="No"/>
    <s v=""/>
    <m/>
    <n v="8.5"/>
    <n v="8.5"/>
    <s v="Yes"/>
    <s v="Yes"/>
    <s v="Yes"/>
    <s v="Yes"/>
    <s v="No"/>
    <s v="No"/>
    <n v="6"/>
    <s v="Both"/>
    <n v="6"/>
    <s v="Both"/>
    <n v="10"/>
    <s v="Both"/>
    <n v="4"/>
    <s v="Both"/>
    <m/>
    <s v=""/>
    <m/>
    <n v="7.1"/>
    <s v="Medium"/>
    <n v="1"/>
    <n v="2"/>
    <n v="5"/>
    <n v="8"/>
    <n v="0"/>
    <n v="0"/>
    <n v="1"/>
    <s v=""/>
    <n v="127.8"/>
    <s v="High"/>
    <n v="134.9"/>
    <s v="Yes"/>
    <s v="Duduba"/>
    <s v="Yes"/>
    <s v="Casual"/>
    <n v="0.75"/>
    <n v="2.75"/>
    <m/>
    <s v="Yes"/>
    <n v="3.5"/>
    <n v="15"/>
    <s v="Bags"/>
    <n v="1.0285714285714285"/>
    <n v="3.5"/>
    <n v="999"/>
    <s v="Bags"/>
    <m/>
    <n v="3.5"/>
    <n v="5"/>
    <s v="Bags"/>
    <n v="0.34285714285714286"/>
    <x v="0"/>
    <s v="No"/>
    <s v="No"/>
    <s v="No"/>
    <s v="No"/>
    <n v="0"/>
    <n v="2"/>
    <s v="uuid:fa68e0ef-97b6-40d5-8e0f-52db6ba3dcda/secG-G2"/>
    <s v="uuid:fa68e0ef-97b6-40d5-8e0f-52db6ba3dcda/secG-G5"/>
    <n v="-4.3510293960571289"/>
    <n v="35.656917572021484"/>
    <n v="1612.300048828125"/>
    <n v="5"/>
    <n v="1706031849"/>
    <s v="uuid:fa68e0ef-97b6-40d5-8e0f-52db6ba3dcda"/>
    <d v="2017-08-03T23:13:28"/>
    <d v="2017-08-03T15:49:52"/>
    <d v="2017-08-03T19:26:04"/>
    <d v="2017-02-28T00:00:00"/>
    <m/>
    <n v="0.97558169934640526"/>
    <n v="0.95632679738562099"/>
    <n v="1.5059629629629632"/>
    <n v="1.5472222222222223"/>
    <m/>
    <s v="FALSEE"/>
    <m/>
    <s v="Open slopes"/>
    <n v="9.2043313980099999"/>
    <s v="Strong"/>
    <s v="Upper slope"/>
    <n v="0.54385989904400001"/>
    <n v="7.2545471191399997"/>
    <n v="79.374854336206639"/>
    <n v="155.9825492367701"/>
    <n v="0.76400000000000001"/>
    <n v="0.71099999999999997"/>
    <n v="5.3000000000000047E-2"/>
    <n v="1.5265925925925927"/>
    <n v="0.96595424836601307"/>
    <n v="-0.56063834422657965"/>
    <n v="362.05714285714282"/>
    <n v="233.82857142857142"/>
    <n v="0"/>
    <n v="595.88571428571424"/>
    <n v="63.699999999999996"/>
    <n v="532.1857142857142"/>
  </r>
  <r>
    <s v="Ezekiel Mngumi"/>
    <n v="88"/>
    <s v="Israel Petro"/>
    <s v="Israel Petro"/>
    <s v="SABILO"/>
    <s v="Sabilo"/>
    <n v="0"/>
    <s v="Homefield"/>
    <s v="Feed livestock"/>
    <s v="OffField feed"/>
    <n v="0"/>
    <m/>
    <m/>
    <s v=""/>
    <m/>
    <n v="1"/>
    <s v="2 years ago"/>
    <n v="2"/>
    <n v="1"/>
    <s v="Other fields in my home village"/>
    <m/>
    <s v="My 'home field' away from here"/>
    <m/>
    <m/>
    <s v="Ploughing"/>
    <x v="1"/>
    <s v=""/>
    <n v="0"/>
    <s v=""/>
    <m/>
    <s v=""/>
    <s v=""/>
    <s v="Yes"/>
    <s v="No"/>
    <s v=""/>
    <n v="0"/>
    <s v=""/>
    <m/>
    <m/>
    <s v=""/>
    <s v=""/>
    <n v="1"/>
    <n v="0"/>
    <s v="10"/>
    <x v="3"/>
    <n v="2"/>
    <s v="Yes"/>
    <n v="7.5"/>
    <s v="Yes"/>
    <n v="2"/>
    <n v="8"/>
    <s v="No"/>
    <s v=""/>
    <m/>
    <n v="15.5"/>
    <n v="15.5"/>
    <s v="Yes"/>
    <s v="Yes"/>
    <s v="Yes"/>
    <s v="Yes"/>
    <s v="No"/>
    <s v="No"/>
    <n v="6"/>
    <s v="Free range"/>
    <n v="7"/>
    <s v="Free range"/>
    <n v="4"/>
    <s v="Free range"/>
    <n v="4"/>
    <s v="Free range"/>
    <m/>
    <s v=""/>
    <m/>
    <n v="7.1400000000000006"/>
    <s v="Medium"/>
    <n v="2"/>
    <n v="4"/>
    <n v="4"/>
    <n v="10"/>
    <n v="0"/>
    <n v="0"/>
    <n v="1"/>
    <m/>
    <n v="232.8"/>
    <s v="High"/>
    <n v="239.94"/>
    <s v="No"/>
    <s v=""/>
    <s v="Yes"/>
    <s v="Casual"/>
    <n v="0.25"/>
    <n v="5"/>
    <n v="0"/>
    <s v="No"/>
    <n v="1"/>
    <n v="5"/>
    <s v="Bags"/>
    <n v="1.2"/>
    <n v="1"/>
    <n v="3"/>
    <s v="Bags"/>
    <n v="0.72"/>
    <n v="1"/>
    <n v="1"/>
    <s v="Bags"/>
    <n v="0.24"/>
    <x v="1"/>
    <s v="No"/>
    <s v="No"/>
    <s v="No"/>
    <s v="No"/>
    <n v="1"/>
    <n v="3"/>
    <s v="uuid:c121ec86-df5f-4827-b2b1-ae849312cea0/secG-G2"/>
    <s v="uuid:c121ec86-df5f-4827-b2b1-ae849312cea0/secG-G5"/>
    <n v="-4.3514118194580078"/>
    <n v="35.465587615966797"/>
    <n v="1658.300048828125"/>
    <n v="15"/>
    <n v="1705231439"/>
    <s v="uuid:c121ec86-df5f-4827-b2b1-ae849312cea0"/>
    <d v="2017-07-11T08:17:11"/>
    <d v="2017-06-08T14:29:05"/>
    <d v="2017-07-11T08:15:27"/>
    <d v="2017-01-30T00:00:00"/>
    <m/>
    <n v="2.9661111111111116"/>
    <n v="2.9036666666666675"/>
    <n v="1.7711574074074077"/>
    <n v="1.2688888888888887"/>
    <m/>
    <n v="1"/>
    <m/>
    <s v="Plains"/>
    <n v="2.10858082771"/>
    <s v="Gentle"/>
    <s v="Toeslope"/>
    <n v="-0.725126743317"/>
    <n v="11.665823936500001"/>
    <n v="89.206737254179131"/>
    <n v="44.5602728942536"/>
    <n v="1.7310000000000001"/>
    <n v="1.5069999999999999"/>
    <n v="0.2240000000000002"/>
    <n v="1.5200231481481481"/>
    <n v="2.9348888888888895"/>
    <n v="1.4148657407407415"/>
    <n v="422.4"/>
    <n v="163.68"/>
    <n v="572.4"/>
    <n v="1158.48"/>
    <n v="0"/>
    <n v="1158.48"/>
  </r>
  <r>
    <s v="Michael"/>
    <n v="69"/>
    <s v="Martin leonce"/>
    <s v="Martin Leonce"/>
    <s v="SELOTO"/>
    <s v="Seloto"/>
    <n v="0.5"/>
    <s v="outfield"/>
    <s v="Feed livestock"/>
    <s v="OffField feed"/>
    <n v="0"/>
    <m/>
    <m/>
    <s v=""/>
    <m/>
    <n v="1"/>
    <s v="Last year"/>
    <n v="1"/>
    <n v="2"/>
    <s v="Other fields in my home village"/>
    <m/>
    <s v="My 'home field' away from here"/>
    <m/>
    <n v="20000"/>
    <s v=""/>
    <x v="1"/>
    <s v=""/>
    <n v="0"/>
    <s v=""/>
    <m/>
    <s v=""/>
    <s v=""/>
    <s v="Yes"/>
    <s v="No"/>
    <m/>
    <n v="0"/>
    <s v=""/>
    <m/>
    <m/>
    <s v=""/>
    <s v=""/>
    <n v="1"/>
    <n v="0"/>
    <s v="10"/>
    <x v="3"/>
    <n v="2"/>
    <s v="Yes"/>
    <n v="1"/>
    <s v="Yes"/>
    <n v="2"/>
    <n v="2"/>
    <s v="No"/>
    <s v=""/>
    <m/>
    <n v="3"/>
    <n v="3"/>
    <s v="Yes"/>
    <s v="Yes"/>
    <s v="Yes"/>
    <s v="No"/>
    <s v="No"/>
    <s v="No"/>
    <n v="7"/>
    <s v="Free range"/>
    <n v="1"/>
    <s v="Free range"/>
    <n v="5"/>
    <s v="Free range"/>
    <m/>
    <s v=""/>
    <m/>
    <s v=""/>
    <m/>
    <n v="7.1499999999999995"/>
    <s v="Medium"/>
    <n v="3"/>
    <n v="2"/>
    <n v="0"/>
    <n v="5"/>
    <n v="0"/>
    <n v="0"/>
    <n v="1"/>
    <m/>
    <n v="45.3"/>
    <s v="Medium"/>
    <n v="52.45"/>
    <s v="Yes"/>
    <s v="Carte, Ninja"/>
    <s v="Yes"/>
    <s v="Multiple"/>
    <n v="0.25"/>
    <n v="1.75"/>
    <n v="0"/>
    <s v="No"/>
    <n v="1"/>
    <n v="7"/>
    <s v="Bags"/>
    <n v="1.6800000000000002"/>
    <n v="1"/>
    <n v="0.5"/>
    <s v="Bags"/>
    <n v="0.12"/>
    <m/>
    <n v="999"/>
    <s v="Bags"/>
    <m/>
    <x v="1"/>
    <s v="No"/>
    <s v="No"/>
    <s v="No"/>
    <s v="Yes"/>
    <n v="2"/>
    <n v="3"/>
    <s v="uuid:b0bf1e46-7407-46b8-a12a-648aed1fb9e6/secG-G2"/>
    <s v="uuid:b0bf1e46-7407-46b8-a12a-648aed1fb9e6/secG-G5"/>
    <n v="-4.2437648773193359"/>
    <n v="35.508430480957031"/>
    <n v="1613.800048828125"/>
    <n v="15"/>
    <n v="1705231439"/>
    <s v="uuid:b0bf1e46-7407-46b8-a12a-648aed1fb9e6"/>
    <d v="2017-07-07T09:17:23"/>
    <d v="2017-06-16T09:29:46"/>
    <d v="2017-07-07T09:15:07"/>
    <d v="2017-01-16T00:00:00"/>
    <m/>
    <n v="2.282157676348548"/>
    <n v="2.3772475795297376"/>
    <n v="1.7750115260488706"/>
    <n v="1.3629552789303827"/>
    <m/>
    <n v="1"/>
    <m/>
    <s v="Plains"/>
    <n v="4.8365068435699996"/>
    <s v="Gentle"/>
    <s v="Flat"/>
    <n v="-0.45320102572400001"/>
    <n v="9.1463346481300007"/>
    <n v="98.13603012616403"/>
    <n v="405.08004466970209"/>
    <n v="1.65"/>
    <n v="1.6659999999999999"/>
    <n v="-1.6000000000000014E-2"/>
    <n v="1.5689834024896268"/>
    <n v="2.3297026279391426"/>
    <n v="0.76071922544951587"/>
    <n v="591.36"/>
    <n v="0"/>
    <n v="95.399999999999991"/>
    <n v="686.76"/>
    <n v="0"/>
    <n v="686.76"/>
  </r>
  <r>
    <s v="Michael"/>
    <n v="77"/>
    <s v="Zedekiah Israeli"/>
    <s v="Zedekiah Israeli"/>
    <s v="SABILO"/>
    <s v="Sabilo"/>
    <n v="0.5"/>
    <s v="outfield"/>
    <s v="Feed livestock"/>
    <s v="OffField feed"/>
    <n v="0"/>
    <m/>
    <m/>
    <s v=""/>
    <m/>
    <n v="1"/>
    <s v="Last year"/>
    <n v="12"/>
    <n v="0.10000000149011612"/>
    <s v="Other fields in my home village"/>
    <m/>
    <s v="My 'home field' away from here"/>
    <m/>
    <n v="5000"/>
    <s v=""/>
    <x v="0"/>
    <s v="Own animals"/>
    <n v="0"/>
    <s v=""/>
    <m/>
    <s v=""/>
    <s v=""/>
    <s v="Yes"/>
    <s v="No"/>
    <m/>
    <n v="0"/>
    <s v=""/>
    <m/>
    <m/>
    <s v=""/>
    <s v=""/>
    <n v="1"/>
    <n v="0"/>
    <s v="10"/>
    <x v="3"/>
    <n v="2"/>
    <s v="Yes"/>
    <n v="1.75"/>
    <s v="Yes"/>
    <n v="2"/>
    <n v="2.75"/>
    <s v="No"/>
    <s v=""/>
    <m/>
    <n v="4.5"/>
    <n v="4.5"/>
    <s v="Yes"/>
    <s v="No"/>
    <s v="Yes"/>
    <s v="No"/>
    <s v="No"/>
    <s v="No"/>
    <n v="7"/>
    <s v="Both"/>
    <m/>
    <s v=""/>
    <n v="15"/>
    <s v="Free range"/>
    <m/>
    <s v=""/>
    <m/>
    <s v=""/>
    <m/>
    <n v="7.15"/>
    <s v="Medium"/>
    <n v="4"/>
    <n v="2"/>
    <n v="3"/>
    <n v="9"/>
    <n v="0"/>
    <n v="0"/>
    <n v="1"/>
    <m/>
    <n v="67.8"/>
    <s v="High"/>
    <n v="74.95"/>
    <s v="Yes"/>
    <s v="Carte"/>
    <s v="Yes"/>
    <s v="Multiple"/>
    <n v="0.25"/>
    <n v="2.25"/>
    <n v="0"/>
    <s v="Yes"/>
    <n v="1"/>
    <n v="10"/>
    <s v="Bags"/>
    <n v="2.4"/>
    <m/>
    <n v="999"/>
    <s v="Bags"/>
    <m/>
    <n v="1"/>
    <n v="0.5"/>
    <s v="Bags"/>
    <n v="0.12"/>
    <x v="0"/>
    <s v="Yes"/>
    <s v="No"/>
    <s v="No"/>
    <s v="Yes"/>
    <n v="2"/>
    <n v="3"/>
    <s v="uuid:ca8b2723-2f6c-4a38-a40f-2579d6acdc84/secG-G2"/>
    <s v="uuid:ca8b2723-2f6c-4a38-a40f-2579d6acdc84/secG-G5"/>
    <n v="-4.3420200347900391"/>
    <n v="35.483268737792969"/>
    <n v="1612.5"/>
    <n v="5"/>
    <n v="1705231439"/>
    <s v="uuid:ca8b2723-2f6c-4a38-a40f-2579d6acdc84"/>
    <d v="2017-07-07T09:17:28"/>
    <d v="2017-06-20T16:43:41"/>
    <d v="2017-07-07T09:11:49"/>
    <d v="2017-01-13T00:00:00"/>
    <m/>
    <n v="3.0972839506172836"/>
    <n v="2.3782716049382717"/>
    <n v="2.1091503267973857"/>
    <n v="2.4104575163398696"/>
    <m/>
    <n v="1"/>
    <m/>
    <s v="Plains"/>
    <n v="4.4811401367199997"/>
    <s v="Gentle"/>
    <s v="Upper slope"/>
    <n v="0.54385989904400001"/>
    <n v="8.9051237106300007"/>
    <n v="321.96588818799074"/>
    <n v="282.38524582269963"/>
    <n v="1.623"/>
    <n v="2.181"/>
    <n v="-0.55800000000000005"/>
    <n v="2.2598039215686274"/>
    <n v="2.7377777777777776"/>
    <n v="0.47797385620915023"/>
    <n v="844.8"/>
    <n v="81.84"/>
    <n v="0"/>
    <n v="926.64"/>
    <n v="63.699999999999996"/>
    <n v="862.93999999999994"/>
  </r>
  <r>
    <s v="Michael"/>
    <n v="61"/>
    <s v="Zendekia Mbombo"/>
    <s v="Zedekiah Bombo"/>
    <s v="SABILO"/>
    <s v="Sabilo"/>
    <n v="0.60000002384185791"/>
    <s v="outfield"/>
    <s v="Feed livestock"/>
    <s v="OffField feed"/>
    <n v="0"/>
    <m/>
    <m/>
    <s v=""/>
    <m/>
    <n v="1"/>
    <s v="Last year"/>
    <n v="9"/>
    <n v="2"/>
    <s v="Other fields in my home village"/>
    <m/>
    <s v="My 'home field' away from here"/>
    <m/>
    <n v="10000"/>
    <s v=""/>
    <x v="0"/>
    <s v="Own animals"/>
    <n v="0"/>
    <s v=""/>
    <m/>
    <s v=""/>
    <s v=""/>
    <s v="Yes"/>
    <s v="No"/>
    <m/>
    <n v="0"/>
    <s v=""/>
    <m/>
    <m/>
    <s v=""/>
    <s v=""/>
    <n v="1"/>
    <n v="0"/>
    <s v="10"/>
    <x v="3"/>
    <n v="2"/>
    <s v="Yes"/>
    <n v="1"/>
    <s v="Yes"/>
    <n v="1"/>
    <n v="10"/>
    <s v="Yes"/>
    <s v="Rent"/>
    <n v="13"/>
    <n v="11"/>
    <n v="24"/>
    <s v="Yes"/>
    <s v="Yes"/>
    <s v="Yes"/>
    <s v="Yes"/>
    <s v="No"/>
    <s v="No"/>
    <n v="6"/>
    <s v="Free range"/>
    <n v="5"/>
    <s v="Free range"/>
    <n v="4"/>
    <s v="Free range"/>
    <n v="7"/>
    <s v="Free range"/>
    <m/>
    <s v=""/>
    <m/>
    <n v="7.24"/>
    <s v="Medium"/>
    <n v="2"/>
    <n v="2"/>
    <n v="2"/>
    <n v="6"/>
    <n v="0"/>
    <n v="0"/>
    <n v="1"/>
    <m/>
    <n v="165.3"/>
    <s v="High"/>
    <n v="172.54"/>
    <s v="Yes"/>
    <s v="Carte, Kung Fu"/>
    <s v="Yes"/>
    <s v="Multiple"/>
    <n v="0.25"/>
    <n v="11.75"/>
    <n v="20"/>
    <s v="Yes"/>
    <n v="1"/>
    <n v="20"/>
    <s v="Bags"/>
    <n v="4.8"/>
    <n v="1"/>
    <n v="4"/>
    <s v="Bags"/>
    <n v="0.96"/>
    <n v="1"/>
    <n v="1.2000000476837158"/>
    <s v="Bags"/>
    <n v="0.28800001144409176"/>
    <x v="1"/>
    <s v="Yes"/>
    <s v="Yes"/>
    <s v="Yes"/>
    <s v="Yes"/>
    <n v="5"/>
    <n v="3"/>
    <s v="uuid:39060775-d3a4-42cb-856c-aaf36d6442d4/secG-G2"/>
    <s v="uuid:39060775-d3a4-42cb-856c-aaf36d6442d4/secG-G5"/>
    <n v="-4.3520431518554688"/>
    <n v="35.487277984619141"/>
    <n v="1640.5999755859375"/>
    <n v="15"/>
    <n v="1705231439"/>
    <s v="uuid:39060775-d3a4-42cb-856c-aaf36d6442d4"/>
    <d v="2017-07-07T09:17:20"/>
    <d v="2017-06-08T12:45:31"/>
    <d v="2017-07-07T09:16:40"/>
    <d v="2017-01-18T00:00:00"/>
    <m/>
    <n v="2.9644444444444447"/>
    <n v="3.6033333333333339"/>
    <n v="3.5712169312169313"/>
    <n v="1.9729100529100529"/>
    <m/>
    <n v="1"/>
    <m/>
    <s v="Plains"/>
    <n v="3.7798345089000001"/>
    <s v="Gentle"/>
    <s v="Flat"/>
    <n v="-9.0633422136300004E-2"/>
    <n v="7.9694843292200002"/>
    <n v="417.72550681369495"/>
    <n v="224.92947464727692"/>
    <n v="1.6459999999999999"/>
    <n v="1.3340000000000001"/>
    <n v="0.31199999999999983"/>
    <n v="2.7720634920634923"/>
    <n v="3.2838888888888893"/>
    <n v="0.51182539682539696"/>
    <n v="1689.6"/>
    <n v="196.41600780487059"/>
    <n v="763.19999999999993"/>
    <n v="2649.2160078048705"/>
    <n v="63.699999999999996"/>
    <n v="2585.5160078048707"/>
  </r>
  <r>
    <s v="Michael"/>
    <n v="18"/>
    <s v="Kamili Mayo"/>
    <s v="Kamili Mayo"/>
    <s v="SABILO"/>
    <s v="Sabilo"/>
    <n v="0"/>
    <s v="Homefield"/>
    <s v="Feed livestock"/>
    <s v="OffField feed"/>
    <n v="0"/>
    <m/>
    <m/>
    <s v=""/>
    <m/>
    <n v="1"/>
    <s v="Last year"/>
    <n v="3"/>
    <n v="1"/>
    <s v="Other fields in my home village"/>
    <m/>
    <s v="This field"/>
    <m/>
    <m/>
    <s v="Labour"/>
    <x v="0"/>
    <s v="Own animals"/>
    <n v="0"/>
    <s v=""/>
    <m/>
    <s v=""/>
    <s v=""/>
    <s v="Yes"/>
    <s v="No"/>
    <m/>
    <n v="0"/>
    <s v=""/>
    <m/>
    <m/>
    <s v=""/>
    <s v=""/>
    <n v="1"/>
    <n v="0"/>
    <s v="10"/>
    <x v="3"/>
    <n v="2"/>
    <s v="Yes"/>
    <n v="2"/>
    <s v="Yes"/>
    <n v="1"/>
    <n v="7"/>
    <s v="Yes"/>
    <s v="Rent"/>
    <n v="3"/>
    <n v="9"/>
    <n v="12"/>
    <s v="Yes"/>
    <s v="Yes"/>
    <s v="Yes"/>
    <s v="Yes"/>
    <s v="No"/>
    <s v="No"/>
    <n v="6"/>
    <s v="Free range"/>
    <n v="3"/>
    <s v="Free range"/>
    <n v="10"/>
    <s v="Free range"/>
    <n v="10"/>
    <s v="Free range"/>
    <m/>
    <s v=""/>
    <m/>
    <n v="7.3999999999999995"/>
    <s v="Medium"/>
    <n v="4"/>
    <n v="3"/>
    <n v="3"/>
    <n v="10"/>
    <n v="0"/>
    <n v="1"/>
    <n v="1"/>
    <s v=""/>
    <n v="136.1"/>
    <s v="High"/>
    <n v="143.5"/>
    <s v="Yes"/>
    <s v="Carte"/>
    <s v="Yes"/>
    <s v="Multiple"/>
    <m/>
    <n v="7"/>
    <n v="0"/>
    <s v="No"/>
    <n v="1"/>
    <n v="9"/>
    <s v="Bags"/>
    <n v="2.16"/>
    <n v="1"/>
    <n v="7.5"/>
    <s v="Bags"/>
    <n v="1.7999999999999998"/>
    <n v="1"/>
    <n v="1"/>
    <s v="Bags"/>
    <n v="0.24"/>
    <x v="1"/>
    <s v="Yes"/>
    <s v="Yes"/>
    <s v="Yes"/>
    <s v="Yes"/>
    <n v="5"/>
    <n v="3"/>
    <s v="uuid:aeae3d0d-a2de-414c-9f49-3383dc612f30/secG-G2"/>
    <s v="uuid:aeae3d0d-a2de-414c-9f49-3383dc612f30/secG-G5"/>
    <n v="-4.3597245216369629"/>
    <n v="35.488910675048828"/>
    <n v="1690.800048828125"/>
    <n v="15"/>
    <n v="1705231439"/>
    <s v="uuid:aeae3d0d-a2de-414c-9f49-3383dc612f30"/>
    <d v="2017-06-22T07:01:13"/>
    <d v="2017-06-07T16:25:52"/>
    <d v="2017-06-22T06:51:40"/>
    <d v="2017-06-07T00:00:00"/>
    <m/>
    <n v="7.5464387464387448"/>
    <n v="7.7900529100529097"/>
    <n v="7.0984126984126981"/>
    <n v="8.5180952380952384"/>
    <m/>
    <s v="FALSEE"/>
    <m/>
    <s v="Plains"/>
    <n v="2.80598473549"/>
    <s v="Gentle"/>
    <s v="Flat"/>
    <n v="0.36257606744799997"/>
    <n v="8.7084684371899996"/>
    <n v="168.75049838686394"/>
    <n v="-68.733355804882606"/>
    <n v="1.472"/>
    <n v="1.0920000000000001"/>
    <n v="0.37999999999999989"/>
    <n v="7.8082539682539682"/>
    <n v="7.6682458282458272"/>
    <n v="-0.14000814000814099"/>
    <n v="760.32"/>
    <n v="163.68"/>
    <n v="1430.9999999999998"/>
    <n v="2355"/>
    <n v="63.699999999999996"/>
    <n v="2291.3000000000002"/>
  </r>
  <r>
    <s v="Inot Songoyani"/>
    <n v="146"/>
    <s v="Dotha Gitiang Qwaru"/>
    <s v="Dotha Gitiang Qwaru"/>
    <s v="HALLU"/>
    <s v="Hallu"/>
    <n v="0"/>
    <s v="Homefield"/>
    <s v="Feed livestock"/>
    <s v="OffField feed"/>
    <n v="0"/>
    <m/>
    <m/>
    <s v=""/>
    <m/>
    <n v="1"/>
    <s v="Every year"/>
    <n v="20"/>
    <s v="Variable"/>
    <s v="Other fields in my home village"/>
    <m/>
    <s v="Other, Specify"/>
    <n v="10"/>
    <n v="5000"/>
    <s v=""/>
    <x v="1"/>
    <s v=""/>
    <n v="0"/>
    <s v=""/>
    <m/>
    <s v=""/>
    <s v=""/>
    <s v="Yes"/>
    <s v="No"/>
    <s v=""/>
    <n v="0"/>
    <s v=""/>
    <m/>
    <m/>
    <s v=""/>
    <s v=""/>
    <n v="1"/>
    <n v="0"/>
    <s v="10"/>
    <x v="3"/>
    <n v="2"/>
    <s v="Yes"/>
    <n v="1"/>
    <s v="Yes"/>
    <n v="3"/>
    <n v="12"/>
    <s v="No"/>
    <s v=""/>
    <m/>
    <n v="13"/>
    <n v="13"/>
    <s v="Yes"/>
    <s v="Yes"/>
    <s v="Yes"/>
    <s v="No"/>
    <s v="No"/>
    <s v="No"/>
    <n v="7"/>
    <s v="Both"/>
    <n v="10"/>
    <s v="Both"/>
    <n v="3"/>
    <s v="Both"/>
    <m/>
    <s v=""/>
    <m/>
    <s v=""/>
    <m/>
    <n v="8.0299999999999994"/>
    <s v="Medium"/>
    <n v="2"/>
    <n v="1"/>
    <n v="4"/>
    <n v="7"/>
    <n v="0"/>
    <n v="1"/>
    <n v="1"/>
    <s v=""/>
    <n v="196.1"/>
    <s v="High"/>
    <n v="204.13"/>
    <s v="Yes"/>
    <s v="Stalk borer"/>
    <s v="Yes"/>
    <s v="Casual"/>
    <n v="0.25"/>
    <n v="0.75"/>
    <n v="0"/>
    <s v="No"/>
    <n v="1"/>
    <n v="10"/>
    <s v="Bags"/>
    <n v="2.4"/>
    <m/>
    <n v="999"/>
    <s v="Bags"/>
    <m/>
    <n v="1"/>
    <n v="0"/>
    <s v="Bags"/>
    <n v="0"/>
    <x v="0"/>
    <s v="No"/>
    <s v="No"/>
    <s v="No"/>
    <s v="No"/>
    <n v="0"/>
    <n v="3"/>
    <s v="uuid:4fff9570-0035-4dde-b478-44f4093cb221/secG-G2"/>
    <s v="uuid:4fff9570-0035-4dde-b478-44f4093cb221/secG-G5"/>
    <n v="-4.3046340942382813"/>
    <n v="35.909893035888672"/>
    <n v="1180"/>
    <n v="5"/>
    <n v="1706031849"/>
    <s v="uuid:4fff9570-0035-4dde-b478-44f4093cb221"/>
    <d v="2017-06-27T10:12:01"/>
    <d v="2017-06-23T12:38:03"/>
    <d v="2017-06-23T12:47:25"/>
    <d v="2017-02-05T00:00:00"/>
    <m/>
    <n v="5.6942342342342345"/>
    <n v="4.7859909909909915"/>
    <n v="6.593461538461538"/>
    <n v="7.0503561253561253"/>
    <m/>
    <s v="FALSEE"/>
    <m/>
    <s v="Plains"/>
    <n v="0.85303092002900005"/>
    <s v="Very gentle"/>
    <s v="Flat"/>
    <n v="9.0650379657699995E-2"/>
    <n v="8.7994308471699991"/>
    <n v="449.36824376881202"/>
    <n v="354.62404545300836"/>
    <n v="2.3410000000000002"/>
    <n v="1.6279999999999999"/>
    <n v="0.7130000000000003"/>
    <n v="6.8219088319088321"/>
    <n v="5.240112612612613"/>
    <n v="-1.5817962192962192"/>
    <n v="844.8"/>
    <n v="0"/>
    <n v="0"/>
    <n v="844.8"/>
    <n v="0"/>
    <n v="844.8"/>
  </r>
  <r>
    <s v="Michael"/>
    <n v="52"/>
    <s v="Paulo Baraza"/>
    <s v="Paulo Baraza"/>
    <s v="MANDI"/>
    <s v="Samatsi"/>
    <n v="2"/>
    <s v="outfield"/>
    <s v="Feed livestock"/>
    <s v="OffField feed"/>
    <n v="0"/>
    <m/>
    <m/>
    <s v=""/>
    <m/>
    <n v="1"/>
    <s v="Last year"/>
    <n v="3"/>
    <n v="1"/>
    <s v="Other fields in my home village"/>
    <m/>
    <s v="My 'home field' away from here"/>
    <m/>
    <n v="10000"/>
    <s v=""/>
    <x v="1"/>
    <s v=""/>
    <n v="0"/>
    <s v=""/>
    <m/>
    <s v=""/>
    <s v=""/>
    <s v="Yes"/>
    <s v="No"/>
    <m/>
    <n v="0"/>
    <s v=""/>
    <m/>
    <m/>
    <s v=""/>
    <s v=""/>
    <n v="1"/>
    <n v="0"/>
    <s v="10"/>
    <x v="3"/>
    <n v="2"/>
    <s v="Yes"/>
    <n v="0.5"/>
    <s v="Yes"/>
    <n v="2"/>
    <n v="4"/>
    <s v="Yes"/>
    <s v="Rent"/>
    <n v="5"/>
    <n v="4.5"/>
    <n v="9.5"/>
    <s v="Yes"/>
    <s v="Yes"/>
    <s v="Yes"/>
    <s v="No"/>
    <s v="No"/>
    <s v="No"/>
    <n v="7"/>
    <s v="Free range"/>
    <n v="9"/>
    <s v="Free range"/>
    <n v="16"/>
    <s v="Free range"/>
    <m/>
    <s v=""/>
    <m/>
    <s v=""/>
    <m/>
    <n v="8.06"/>
    <s v="Medium"/>
    <n v="2"/>
    <n v="1"/>
    <n v="7"/>
    <n v="10"/>
    <n v="0"/>
    <n v="1"/>
    <n v="1"/>
    <m/>
    <n v="68.599999999999994"/>
    <s v="High"/>
    <n v="76.66"/>
    <s v="Yes"/>
    <s v="Ninja,Carte"/>
    <s v="Yes"/>
    <s v="Multiple"/>
    <n v="0.75"/>
    <n v="3.75"/>
    <n v="0"/>
    <s v="Yes"/>
    <n v="1"/>
    <n v="4"/>
    <s v="Bags"/>
    <n v="0.96"/>
    <m/>
    <n v="999"/>
    <s v="Bags"/>
    <m/>
    <m/>
    <n v="999"/>
    <s v="Bags"/>
    <m/>
    <x v="0"/>
    <s v="No"/>
    <s v="No"/>
    <s v="No"/>
    <s v="No"/>
    <n v="0"/>
    <n v="2"/>
    <s v="uuid:e1c4c6c1-8dfe-4bb4-8fed-90f243a1c2d6/secG-G2"/>
    <s v="uuid:e1c4c6c1-8dfe-4bb4-8fed-90f243a1c2d6/secG-G5"/>
    <n v="-4.3561315536499023"/>
    <n v="35.444972991943359"/>
    <n v="1723.199951171875"/>
    <n v="5"/>
    <n v="1705231439"/>
    <s v="uuid:e1c4c6c1-8dfe-4bb4-8fed-90f243a1c2d6"/>
    <d v="2017-07-07T09:09:45"/>
    <d v="2017-06-22T11:06:14"/>
    <d v="2017-07-07T09:06:28"/>
    <d v="2017-03-01T00:00:00"/>
    <m/>
    <n v="3.0890058479532172"/>
    <n v="3.2781286549707604"/>
    <n v="3.4377777777777783"/>
    <n v="2.3111111111111113"/>
    <m/>
    <n v="1"/>
    <m/>
    <s v="Open slopes"/>
    <n v="6.78757381439"/>
    <s v="Moderate"/>
    <s v="Upper slope"/>
    <n v="0.63450175523800001"/>
    <n v="7.2923617363000002"/>
    <n v="190.45601194202362"/>
    <m/>
    <n v="1.339"/>
    <m/>
    <m/>
    <n v="2.8744444444444448"/>
    <n v="3.183567251461989"/>
    <n v="0.30912280701754424"/>
    <n v="337.91999999999996"/>
    <n v="0"/>
    <n v="0"/>
    <n v="337.91999999999996"/>
    <n v="0"/>
    <n v="337.91999999999996"/>
  </r>
  <r>
    <s v="Michael"/>
    <n v="20"/>
    <s v="Simon Surumbu"/>
    <s v="Simon Surumbu"/>
    <e v="#N/A"/>
    <s v="Sabilo"/>
    <n v="0"/>
    <s v="Homefield"/>
    <s v="Feed livestock"/>
    <s v="OffField feed"/>
    <n v="0"/>
    <m/>
    <m/>
    <s v=""/>
    <m/>
    <n v="1"/>
    <s v="Last year"/>
    <n v="6"/>
    <n v="3"/>
    <s v="Other fields in my home village"/>
    <m/>
    <s v="This field"/>
    <m/>
    <m/>
    <s v="Labour"/>
    <x v="0"/>
    <s v="Own animals"/>
    <n v="0"/>
    <s v=""/>
    <m/>
    <s v=""/>
    <s v=""/>
    <s v="Yes"/>
    <s v="No"/>
    <m/>
    <n v="0"/>
    <s v=""/>
    <m/>
    <m/>
    <s v=""/>
    <s v=""/>
    <n v="1"/>
    <n v="0"/>
    <s v="10"/>
    <x v="3"/>
    <n v="2"/>
    <s v="Yes"/>
    <n v="5"/>
    <s v="Yes"/>
    <n v="1"/>
    <n v="1.75"/>
    <s v="Yes"/>
    <s v="Rent"/>
    <n v="7.25"/>
    <n v="6.75"/>
    <n v="14"/>
    <s v="Yes"/>
    <s v="Yes"/>
    <s v="Yes"/>
    <s v="Yes"/>
    <s v="No"/>
    <s v="No"/>
    <n v="8"/>
    <s v="Both"/>
    <n v="2"/>
    <s v="Free range"/>
    <n v="4"/>
    <s v="Free range"/>
    <n v="2"/>
    <s v="Free range"/>
    <m/>
    <s v=""/>
    <m/>
    <n v="8.4399999999999977"/>
    <s v="Medium"/>
    <n v="2"/>
    <n v="2"/>
    <n v="7"/>
    <n v="11"/>
    <n v="0"/>
    <n v="1"/>
    <n v="1"/>
    <m/>
    <n v="102.35"/>
    <s v="High"/>
    <n v="110.78999999999999"/>
    <s v="Yes"/>
    <s v="Carte, Linkonil, Akkrimactin 1.8EC, Kung fu 5EC, Rustall 375 EC, Utracy 5EC"/>
    <s v="Yes"/>
    <s v="Multiple"/>
    <n v="0"/>
    <n v="7.25"/>
    <n v="0"/>
    <s v="No"/>
    <n v="1"/>
    <n v="20"/>
    <s v="Bags"/>
    <n v="4.8"/>
    <n v="1"/>
    <n v="4"/>
    <s v="Bags"/>
    <n v="0.96"/>
    <m/>
    <n v="999"/>
    <s v="Bags"/>
    <m/>
    <x v="1"/>
    <s v="Yes"/>
    <s v="Yes"/>
    <s v="Yes"/>
    <s v="Yes"/>
    <n v="5"/>
    <n v="5"/>
    <s v="uuid:f470963a-a38e-45fc-9d0e-cc122cbc6b3a/secG-G2"/>
    <s v="uuid:f470963a-a38e-45fc-9d0e-cc122cbc6b3a/secG-G5"/>
    <n v="-4.3554658889770508"/>
    <n v="35.471359252929688"/>
    <n v="1668.5999755859375"/>
    <n v="10"/>
    <n v="1705231439"/>
    <s v="uuid:f470963a-a38e-45fc-9d0e-cc122cbc6b3a"/>
    <d v="2017-06-22T07:01:15"/>
    <d v="2017-06-08T11:08:22"/>
    <d v="2017-06-22T06:54:02"/>
    <d v="2017-06-08T00:00:00"/>
    <m/>
    <m/>
    <m/>
    <m/>
    <m/>
    <m/>
    <n v="1"/>
    <m/>
    <s v="Open slopes"/>
    <n v="5.9934930801400004"/>
    <s v="Moderate"/>
    <s v="Midslope"/>
    <n v="0.45321798324599999"/>
    <n v="7.2720131874099998"/>
    <m/>
    <m/>
    <m/>
    <m/>
    <m/>
    <m/>
    <m/>
    <m/>
    <n v="1689.6"/>
    <n v="0"/>
    <n v="763.19999999999993"/>
    <n v="2452.7999999999997"/>
    <n v="63.699999999999996"/>
    <n v="2389.1"/>
  </r>
  <r>
    <s v="Michael"/>
    <n v="15"/>
    <s v="Isaya Safari"/>
    <s v="Isaya Safari"/>
    <s v="Sangara"/>
    <s v="Samatsi"/>
    <n v="0"/>
    <s v="Homefield"/>
    <s v="Feed livestock"/>
    <s v="InField feed"/>
    <n v="0"/>
    <m/>
    <m/>
    <s v=""/>
    <m/>
    <n v="1"/>
    <s v="Last year"/>
    <n v="3"/>
    <n v="2.5"/>
    <s v="Other fields in my home village"/>
    <m/>
    <s v="This field"/>
    <m/>
    <n v="10000"/>
    <s v=""/>
    <x v="0"/>
    <s v="Own animals"/>
    <n v="0"/>
    <s v=""/>
    <m/>
    <s v=""/>
    <s v=""/>
    <s v="Yes"/>
    <s v="No"/>
    <s v=""/>
    <n v="0"/>
    <s v=""/>
    <m/>
    <m/>
    <s v=""/>
    <s v=""/>
    <n v="1"/>
    <n v="0"/>
    <s v="10"/>
    <x v="3"/>
    <n v="2"/>
    <s v="Yes"/>
    <n v="3"/>
    <s v="No"/>
    <m/>
    <m/>
    <s v="Yes"/>
    <s v="Rent"/>
    <n v="4.5"/>
    <n v="3"/>
    <n v="7.5"/>
    <s v="Yes"/>
    <s v="Yes"/>
    <s v="Yes"/>
    <s v="Yes"/>
    <s v="Yes"/>
    <s v="No"/>
    <n v="6"/>
    <s v="Free range"/>
    <n v="10"/>
    <s v="Free range"/>
    <n v="8"/>
    <s v="Free range"/>
    <n v="7"/>
    <s v="Free range"/>
    <n v="3"/>
    <s v="Zero grazing"/>
    <m/>
    <n v="8.68"/>
    <s v="Medium"/>
    <n v="1"/>
    <n v="1"/>
    <n v="5"/>
    <n v="7"/>
    <n v="0"/>
    <n v="1"/>
    <n v="2"/>
    <s v=""/>
    <n v="46.4"/>
    <s v="Medium"/>
    <n v="55.08"/>
    <s v="Yes"/>
    <s v="Carte"/>
    <s v="No"/>
    <s v=""/>
    <n v="0.25"/>
    <n v="3.5"/>
    <n v="0"/>
    <s v="Yes"/>
    <n v="1"/>
    <n v="18"/>
    <s v="Bags"/>
    <n v="4.32"/>
    <m/>
    <n v="999"/>
    <s v="Bags"/>
    <m/>
    <n v="1"/>
    <n v="2"/>
    <s v="Bags"/>
    <n v="0.48"/>
    <x v="1"/>
    <s v="No"/>
    <s v="Yes"/>
    <s v="No"/>
    <s v="Yes"/>
    <n v="3"/>
    <n v="3"/>
    <s v="uuid:3f77198e-4439-4f97-850d-5870f0e95056/secG-G2"/>
    <s v="uuid:3f77198e-4439-4f97-850d-5870f0e95056/secG-G5"/>
    <n v="-4.2891998291015625"/>
    <n v="35.631736755371094"/>
    <n v="1412.699951171875"/>
    <n v="10"/>
    <n v="1705231439"/>
    <s v="uuid:3f77198e-4439-4f97-850d-5870f0e95056"/>
    <d v="2017-06-21T20:11:58"/>
    <d v="2017-06-14T14:17:43"/>
    <d v="2017-06-15T08:19:41"/>
    <d v="2017-01-13T00:00:00"/>
    <m/>
    <n v="3.9316483516483514"/>
    <n v="3.9758241758241764"/>
    <n v="1.6735714285714287"/>
    <n v="2.6794047619047618"/>
    <m/>
    <n v="1"/>
    <m/>
    <s v="Streams"/>
    <n v="7.1427602767899998"/>
    <s v="Moderate"/>
    <s v="Valley"/>
    <n v="-1.08769440651"/>
    <n v="8.0898132324199992"/>
    <n v="67.109727432360799"/>
    <n v="247.81986358543793"/>
    <n v="0.46100000000000002"/>
    <n v="0.86399999999999999"/>
    <n v="-0.40299999999999997"/>
    <n v="2.1764880952380952"/>
    <n v="3.9537362637362641"/>
    <n v="1.7772481684981689"/>
    <n v="1520.64"/>
    <n v="327.36"/>
    <n v="0"/>
    <n v="1848"/>
    <n v="63.699999999999996"/>
    <n v="1784.3"/>
  </r>
  <r>
    <s v="Michael"/>
    <n v="78"/>
    <s v="Petro Ndirang'"/>
    <s v="Petro Ndirang'"/>
    <s v="SABILO"/>
    <s v="Sabilo"/>
    <n v="0"/>
    <s v="Homefield"/>
    <s v="Feed livestock"/>
    <s v="OffField feed"/>
    <n v="0"/>
    <m/>
    <m/>
    <s v=""/>
    <m/>
    <n v="1"/>
    <s v="2 years ago"/>
    <n v="15"/>
    <n v="1"/>
    <s v="Other fields in my home village"/>
    <m/>
    <s v="My 'home field' away from here"/>
    <m/>
    <n v="10000"/>
    <s v=""/>
    <x v="0"/>
    <s v="Own animals"/>
    <n v="0"/>
    <s v=""/>
    <m/>
    <s v=""/>
    <s v=""/>
    <s v="Yes"/>
    <s v="No"/>
    <m/>
    <n v="0"/>
    <s v=""/>
    <m/>
    <m/>
    <s v=""/>
    <s v=""/>
    <n v="1"/>
    <n v="0"/>
    <s v="10"/>
    <x v="3"/>
    <n v="2"/>
    <s v="Yes"/>
    <n v="2"/>
    <s v="Yes"/>
    <n v="3"/>
    <n v="6"/>
    <s v="No"/>
    <s v=""/>
    <m/>
    <n v="8"/>
    <n v="8"/>
    <s v="Yes"/>
    <s v="Yes"/>
    <s v="Yes"/>
    <s v="Yes"/>
    <s v="No"/>
    <s v="No"/>
    <n v="7"/>
    <s v="Free range"/>
    <n v="13"/>
    <s v="Free range"/>
    <n v="13"/>
    <s v="Free range"/>
    <n v="8"/>
    <s v="Free range"/>
    <m/>
    <s v=""/>
    <m/>
    <n v="9.2300000000000022"/>
    <s v="Medium"/>
    <n v="3"/>
    <n v="2"/>
    <n v="6"/>
    <n v="11"/>
    <n v="0"/>
    <n v="1"/>
    <n v="1"/>
    <m/>
    <n v="121.1"/>
    <s v="High"/>
    <n v="130.33000000000001"/>
    <s v="Yes"/>
    <s v="Carte"/>
    <s v="Yes"/>
    <s v="Multiple"/>
    <n v="0.25"/>
    <n v="7.25"/>
    <n v="0"/>
    <s v="Yes"/>
    <n v="1"/>
    <n v="6"/>
    <s v="Bags"/>
    <n v="1.4400000000000002"/>
    <m/>
    <n v="999"/>
    <s v="Bags"/>
    <m/>
    <n v="1"/>
    <n v="1.5"/>
    <s v="Bags"/>
    <n v="0.36"/>
    <x v="0"/>
    <s v="Yes"/>
    <s v="No"/>
    <s v="Yes"/>
    <s v="No"/>
    <n v="2"/>
    <n v="4"/>
    <s v="uuid:d0b5dae2-36cf-4a35-b2a9-7956586a911c/secG-G2"/>
    <s v="uuid:d0b5dae2-36cf-4a35-b2a9-7956586a911c/secG-G5"/>
    <n v="-4.3346128463745117"/>
    <n v="35.475700378417969"/>
    <n v="1582.699951171875"/>
    <n v="15"/>
    <n v="1705231439"/>
    <s v="uuid:d0b5dae2-36cf-4a35-b2a9-7956586a911c"/>
    <d v="2017-07-07T09:17:27"/>
    <d v="2017-06-20T15:25:50"/>
    <d v="2017-07-07T09:12:15"/>
    <d v="2017-02-02T00:00:00"/>
    <m/>
    <m/>
    <n v="2.9973099415204687"/>
    <n v="2.1672514619883048"/>
    <n v="2.5178362573099422"/>
    <m/>
    <n v="1"/>
    <m/>
    <s v="Plains"/>
    <n v="1.38136291504"/>
    <s v="Very gentle"/>
    <s v="Flat"/>
    <n v="8.4776775111099995E-6"/>
    <n v="11.080575942999999"/>
    <n v="367.93050512832872"/>
    <n v="302.81396446284987"/>
    <n v="1.5589999999999999"/>
    <n v="1.304"/>
    <n v="0.25499999999999989"/>
    <n v="2.3425438596491235"/>
    <n v="2.9973099415204687"/>
    <n v="0.65476608187134522"/>
    <n v="506.88000000000005"/>
    <n v="245.51999999999998"/>
    <n v="0"/>
    <n v="752.40000000000009"/>
    <n v="63.699999999999996"/>
    <n v="688.7"/>
  </r>
  <r>
    <s v="Michael"/>
    <n v="47"/>
    <s v="Daniel Josef"/>
    <s v="Daniel Josef"/>
    <s v="MANDI"/>
    <s v="Samatsi"/>
    <n v="0"/>
    <s v="Homefield"/>
    <s v="Feed livestock"/>
    <s v="OffField feed"/>
    <n v="0"/>
    <m/>
    <m/>
    <s v=""/>
    <m/>
    <n v="1"/>
    <s v="2 years ago"/>
    <n v="5"/>
    <n v="1"/>
    <s v="Other fields in my home village"/>
    <m/>
    <s v="Other, Specify"/>
    <n v="999"/>
    <n v="5000"/>
    <s v=""/>
    <x v="0"/>
    <s v="Own animals"/>
    <n v="0"/>
    <s v=""/>
    <m/>
    <s v=""/>
    <s v=""/>
    <s v="Yes"/>
    <s v="No"/>
    <m/>
    <n v="0"/>
    <s v=""/>
    <m/>
    <m/>
    <s v=""/>
    <s v=""/>
    <n v="1"/>
    <n v="0"/>
    <s v="10"/>
    <x v="3"/>
    <n v="2"/>
    <s v="Yes"/>
    <n v="7"/>
    <s v="Yes"/>
    <n v="1"/>
    <n v="1"/>
    <s v="No"/>
    <s v=""/>
    <m/>
    <n v="8"/>
    <n v="8"/>
    <s v="Yes"/>
    <s v="Yes"/>
    <s v="Yes"/>
    <s v="Yes"/>
    <s v="No"/>
    <s v="No"/>
    <n v="8"/>
    <s v="Free range"/>
    <n v="6"/>
    <s v="Free range"/>
    <n v="10"/>
    <s v="Free range"/>
    <n v="7"/>
    <s v="Free range"/>
    <m/>
    <s v=""/>
    <m/>
    <n v="9.3999999999999986"/>
    <s v="Medium"/>
    <n v="1"/>
    <n v="1"/>
    <n v="8"/>
    <n v="10"/>
    <n v="0"/>
    <n v="1"/>
    <n v="1"/>
    <m/>
    <n v="121.1"/>
    <s v="High"/>
    <n v="130.5"/>
    <s v="Yes"/>
    <s v="Ninja"/>
    <s v="Yes"/>
    <s v="Multiple"/>
    <n v="0.25"/>
    <n v="5"/>
    <n v="0"/>
    <s v="Yes"/>
    <n v="1"/>
    <n v="8"/>
    <s v="Bags"/>
    <n v="1.92"/>
    <m/>
    <n v="999"/>
    <s v="Bags"/>
    <m/>
    <m/>
    <n v="999"/>
    <s v="Bags"/>
    <m/>
    <x v="0"/>
    <s v="Yes"/>
    <s v="No"/>
    <s v="Yes"/>
    <s v="No"/>
    <n v="2"/>
    <n v="1"/>
    <s v="uuid:bb8d9614-f1ef-41e5-b57f-904cf64ebbaa/secG-G2"/>
    <s v="uuid:bb8d9614-f1ef-41e5-b57f-904cf64ebbaa/secG-G5"/>
    <n v="-4.3403301239013672"/>
    <n v="35.421199798583984"/>
    <n v="1633.300048828125"/>
    <n v="5"/>
    <n v="1705231439"/>
    <s v="uuid:bb8d9614-f1ef-41e5-b57f-904cf64ebbaa"/>
    <d v="2017-07-07T09:09:37"/>
    <d v="2017-06-21T14:23:35"/>
    <d v="2017-07-07T09:08:00"/>
    <d v="2017-01-28T00:00:00"/>
    <m/>
    <n v="3.0330158730158736"/>
    <n v="3.1222222222222231"/>
    <n v="3.1851851851851856"/>
    <n v="3.0577777777777784"/>
    <m/>
    <s v="FALSEE"/>
    <m/>
    <s v="Plains"/>
    <n v="3.7037451267199999"/>
    <s v="Gentle"/>
    <s v="Flat"/>
    <n v="-0.18127532303300001"/>
    <n v="8.8814735412600001"/>
    <m/>
    <n v="297.70678480281219"/>
    <m/>
    <n v="1.4630000000000001"/>
    <m/>
    <n v="3.121481481481482"/>
    <n v="3.0776190476190486"/>
    <n v="-4.3862433862433381E-2"/>
    <n v="675.83999999999992"/>
    <n v="0"/>
    <n v="0"/>
    <n v="675.83999999999992"/>
    <n v="63.699999999999996"/>
    <n v="612.13999999999987"/>
  </r>
  <r>
    <s v="Michael"/>
    <n v="38"/>
    <s v="Ezekieli Lurenti"/>
    <s v="Ezekiel Laurenti"/>
    <s v="Sangara"/>
    <s v="Samatsi"/>
    <n v="0"/>
    <s v="Homefield"/>
    <s v="Feed livestock"/>
    <s v="InField feed"/>
    <n v="0"/>
    <m/>
    <m/>
    <s v=""/>
    <m/>
    <n v="1"/>
    <s v="2 years ago"/>
    <n v="3"/>
    <n v="1.5"/>
    <s v="Other fields in my home village"/>
    <m/>
    <s v="Other, Specify"/>
    <n v="999"/>
    <m/>
    <s v="Labour"/>
    <x v="0"/>
    <s v="Own animals"/>
    <n v="0"/>
    <s v=""/>
    <m/>
    <s v=""/>
    <s v=""/>
    <s v="Yes"/>
    <s v="No"/>
    <m/>
    <n v="0"/>
    <s v=""/>
    <m/>
    <m/>
    <s v=""/>
    <s v=""/>
    <n v="1"/>
    <n v="0"/>
    <s v="10"/>
    <x v="3"/>
    <n v="2"/>
    <s v="Yes"/>
    <n v="4"/>
    <s v="Yes"/>
    <n v="2"/>
    <n v="2.75"/>
    <s v="No"/>
    <s v=""/>
    <m/>
    <n v="6.75"/>
    <n v="6.75"/>
    <s v="Yes"/>
    <s v="Yes"/>
    <s v="Yes"/>
    <s v="No"/>
    <s v="No"/>
    <s v="No"/>
    <n v="8"/>
    <s v="Free range"/>
    <n v="15"/>
    <s v="Free range"/>
    <n v="10"/>
    <s v="Free range"/>
    <m/>
    <s v=""/>
    <m/>
    <s v=""/>
    <m/>
    <n v="9.6"/>
    <s v="Medium"/>
    <n v="1"/>
    <n v="2"/>
    <n v="7"/>
    <n v="10"/>
    <n v="0"/>
    <n v="0"/>
    <n v="1"/>
    <m/>
    <n v="101.55"/>
    <s v="High"/>
    <n v="111.15"/>
    <s v="Yes"/>
    <s v="Carte"/>
    <s v="No"/>
    <s v=""/>
    <n v="0.5"/>
    <n v="2"/>
    <n v="0"/>
    <s v="Yes"/>
    <n v="1"/>
    <n v="4"/>
    <s v="Bags"/>
    <n v="0.96"/>
    <n v="1"/>
    <n v="0.33000001311302185"/>
    <s v="Bags"/>
    <n v="7.9200003147125247E-2"/>
    <n v="1"/>
    <n v="0.93999999761581421"/>
    <s v="Bags"/>
    <n v="0.22559999942779541"/>
    <x v="1"/>
    <s v="No"/>
    <s v="No"/>
    <s v="No"/>
    <s v="No"/>
    <n v="1"/>
    <n v="5"/>
    <s v="uuid:91f4a16b-1f6e-436d-b882-bd7cd40038e2/secG-G2"/>
    <s v="uuid:91f4a16b-1f6e-436d-b882-bd7cd40038e2/secG-G5"/>
    <n v="-4.2796154022216797"/>
    <n v="35.622867584228516"/>
    <n v="1456.800048828125"/>
    <n v="5"/>
    <n v="1705231439"/>
    <s v="uuid:91f4a16b-1f6e-436d-b882-bd7cd40038e2"/>
    <d v="2017-06-22T07:01:27"/>
    <d v="2017-06-13T13:25:17"/>
    <d v="2017-06-22T06:57:03"/>
    <d v="2017-01-10T00:00:00"/>
    <m/>
    <m/>
    <m/>
    <m/>
    <m/>
    <m/>
    <n v="1"/>
    <m/>
    <s v="Valleys"/>
    <n v="10.1358776093"/>
    <s v="Strong"/>
    <s v="Midslope"/>
    <n v="9.0650379657699995E-2"/>
    <n v="7.9497685432400003"/>
    <m/>
    <m/>
    <m/>
    <m/>
    <m/>
    <m/>
    <m/>
    <m/>
    <n v="337.91999999999996"/>
    <n v="153.85919960975647"/>
    <n v="62.964002501964572"/>
    <n v="554.74320211172108"/>
    <n v="63.699999999999996"/>
    <n v="491.04320211172109"/>
  </r>
  <r>
    <s v="Evaline K Kaaya"/>
    <n v="249"/>
    <s v="Sige Hewasi Baghayo"/>
    <s v="Sige Hewasi"/>
    <s v="ENDANOGA"/>
    <s v="Endanoga"/>
    <n v="0"/>
    <s v="Homefield"/>
    <s v="Feed livestock"/>
    <s v="OffField feed"/>
    <n v="0"/>
    <m/>
    <m/>
    <s v=""/>
    <m/>
    <n v="1"/>
    <s v="Last year"/>
    <n v="2"/>
    <n v="0.5"/>
    <s v="Other fields in my home village"/>
    <m/>
    <s v="This field"/>
    <m/>
    <n v="20000"/>
    <s v=""/>
    <x v="0"/>
    <s v="Own animals"/>
    <n v="0"/>
    <s v=""/>
    <m/>
    <s v=""/>
    <s v=""/>
    <s v="No"/>
    <s v="No"/>
    <s v=""/>
    <n v="0"/>
    <s v=""/>
    <m/>
    <m/>
    <s v=""/>
    <s v=""/>
    <n v="1"/>
    <n v="0"/>
    <s v="10"/>
    <x v="3"/>
    <n v="2"/>
    <s v="Yes"/>
    <n v="2"/>
    <s v="No"/>
    <m/>
    <m/>
    <s v="Yes"/>
    <s v="Rent"/>
    <n v="2"/>
    <n v="2"/>
    <n v="4"/>
    <s v="Yes"/>
    <s v="No"/>
    <s v="Yes"/>
    <s v="Yes"/>
    <s v="No"/>
    <s v="No"/>
    <n v="9"/>
    <s v="Free range"/>
    <m/>
    <s v=""/>
    <n v="17"/>
    <s v="Zero grazing"/>
    <n v="5"/>
    <s v="Zero grazing"/>
    <m/>
    <s v=""/>
    <m/>
    <n v="9.67"/>
    <s v="Medium"/>
    <n v="3"/>
    <n v="1"/>
    <n v="4"/>
    <n v="8"/>
    <n v="0"/>
    <n v="0"/>
    <n v="0"/>
    <s v=""/>
    <n v="30"/>
    <s v="Medium"/>
    <n v="39.67"/>
    <s v="Yes"/>
    <s v="Karate"/>
    <s v="No"/>
    <s v=""/>
    <n v="0.25"/>
    <n v="0"/>
    <n v="4.75"/>
    <s v="No"/>
    <n v="3"/>
    <n v="15"/>
    <s v="Bags"/>
    <n v="1.2"/>
    <m/>
    <m/>
    <s v="Bags"/>
    <m/>
    <n v="3"/>
    <n v="5"/>
    <s v="Bags"/>
    <n v="0.39999999999999997"/>
    <x v="1"/>
    <s v="Yes"/>
    <s v="Yes"/>
    <s v="Yes"/>
    <s v="Yes"/>
    <n v="5"/>
    <n v="3"/>
    <s v="uuid:9862610f-2a26-4598-92f3-bf04e4a29f7c/secG-G2"/>
    <s v="uuid:9862610f-2a26-4598-92f3-bf04e4a29f7c/secG-G5"/>
    <n v="-4.2664370536804199"/>
    <n v="35.852615356445313"/>
    <n v="1339.9000244140625"/>
    <n v="5"/>
    <n v="1706031849"/>
    <s v="uuid:9862610f-2a26-4598-92f3-bf04e4a29f7c"/>
    <d v="2017-08-31T14:11:33"/>
    <d v="2017-06-09T15:38:44"/>
    <d v="2017-08-31T14:08:50"/>
    <d v="2017-02-28T00:00:00"/>
    <m/>
    <n v="4.7725378787878787"/>
    <n v="5.5857954545454538"/>
    <n v="2.7472131147540986"/>
    <n v="1.9872131147540983"/>
    <m/>
    <n v="1"/>
    <m/>
    <s v="Plains"/>
    <n v="2.2105906009699998"/>
    <s v="Gentle"/>
    <s v="Upper slope"/>
    <n v="0.906427502632"/>
    <n v="10.7165288925"/>
    <n v="322.34128482882488"/>
    <n v="103.59572661596685"/>
    <n v="1.1739999999999999"/>
    <n v="0.64100000000000001"/>
    <n v="0.53299999999999992"/>
    <n v="2.3672131147540982"/>
    <n v="5.1791666666666663"/>
    <n v="2.811953551912568"/>
    <n v="422.4"/>
    <n v="272.79999999999995"/>
    <n v="0"/>
    <n v="695.19999999999993"/>
    <n v="63.699999999999996"/>
    <n v="631.49999999999989"/>
  </r>
  <r>
    <s v="Inot Songoyani"/>
    <n v="169"/>
    <s v="Zena Mukusi Haima"/>
    <s v="Zena Mukusi Haima"/>
    <s v="DURU"/>
    <s v="Duru"/>
    <n v="0"/>
    <s v="Homefield"/>
    <s v="Feed livestock"/>
    <s v="OffField feed"/>
    <n v="0"/>
    <m/>
    <m/>
    <s v=""/>
    <m/>
    <n v="1"/>
    <s v="Every year"/>
    <n v="8"/>
    <s v="Variable"/>
    <s v="Other fields in my home village"/>
    <m/>
    <s v="This field"/>
    <m/>
    <m/>
    <s v="Ploughing"/>
    <x v="0"/>
    <s v="Own animals"/>
    <n v="0"/>
    <s v=""/>
    <m/>
    <s v=""/>
    <s v=""/>
    <s v="Yes"/>
    <s v="No"/>
    <s v=""/>
    <n v="0"/>
    <s v=""/>
    <m/>
    <m/>
    <s v=""/>
    <s v=""/>
    <n v="1"/>
    <n v="0"/>
    <s v="10"/>
    <x v="3"/>
    <n v="2"/>
    <s v="Yes"/>
    <n v="8.5"/>
    <s v="No"/>
    <m/>
    <m/>
    <s v="Yes"/>
    <s v="Rent"/>
    <n v="2.5"/>
    <n v="8.5"/>
    <n v="11"/>
    <s v="Yes"/>
    <s v="Yes"/>
    <s v="Yes"/>
    <s v="No"/>
    <s v="No"/>
    <s v="Yes"/>
    <n v="9"/>
    <s v="Both"/>
    <n v="2"/>
    <s v="Both"/>
    <n v="7"/>
    <s v="Both"/>
    <m/>
    <s v=""/>
    <m/>
    <s v=""/>
    <n v="1"/>
    <n v="9.67"/>
    <s v="Medium"/>
    <n v="2"/>
    <n v="1"/>
    <n v="5"/>
    <n v="8"/>
    <n v="0"/>
    <n v="0"/>
    <n v="1"/>
    <s v=""/>
    <n v="127.8"/>
    <s v="High"/>
    <n v="137.47"/>
    <s v="No"/>
    <s v=""/>
    <s v="Yes"/>
    <s v="Casual"/>
    <n v="0.25"/>
    <n v="7.75"/>
    <n v="0"/>
    <s v="No"/>
    <n v="8"/>
    <n v="60"/>
    <s v="Bags"/>
    <n v="1.7999999999999998"/>
    <m/>
    <n v="999"/>
    <s v="Bags"/>
    <m/>
    <n v="8"/>
    <n v="12"/>
    <s v="Bags"/>
    <n v="0.36"/>
    <x v="0"/>
    <s v="No"/>
    <s v="No"/>
    <s v="No"/>
    <s v="Yes"/>
    <n v="1"/>
    <n v="4"/>
    <s v="uuid:5f540719-e423-4db7-b38e-92444cd90fef/secG-G2"/>
    <s v="uuid:5f540719-e423-4db7-b38e-92444cd90fef/secG-G5"/>
    <n v="-4.3723134994506836"/>
    <n v="35.598838806152344"/>
    <n v="1537.699951171875"/>
    <n v="5"/>
    <n v="1706031849"/>
    <s v="uuid:5f540719-e423-4db7-b38e-92444cd90fef"/>
    <d v="2017-07-05T10:23:01"/>
    <d v="2017-07-04T09:48:35"/>
    <d v="2017-07-04T10:01:41"/>
    <d v="2017-01-25T00:00:00"/>
    <m/>
    <n v="4.0266666666666664"/>
    <n v="2.8933333333333331"/>
    <n v="2.1811265432098765"/>
    <n v="2.2536111111111112"/>
    <m/>
    <n v="1"/>
    <m/>
    <s v="Plains"/>
    <n v="2.6241705417599999"/>
    <s v="Gentle"/>
    <s v="Toeslope"/>
    <n v="-0.54384291171999999"/>
    <n v="12.4529352188"/>
    <n v="129.61097753041764"/>
    <n v="107.72300129922816"/>
    <n v="0.64200000000000002"/>
    <n v="0.90100000000000002"/>
    <n v="-0.25900000000000001"/>
    <n v="2.2173688271604939"/>
    <n v="3.46"/>
    <n v="1.2426311728395061"/>
    <n v="633.59999999999991"/>
    <n v="245.51999999999998"/>
    <n v="0"/>
    <n v="879.11999999999989"/>
    <n v="63.699999999999996"/>
    <n v="815.41999999999985"/>
  </r>
  <r>
    <s v="Micheal"/>
    <n v="39"/>
    <s v="Patricia Mbung'e"/>
    <s v="Patricia Mbung'e"/>
    <s v="Sangara"/>
    <s v="Samatsi"/>
    <n v="0.5"/>
    <s v="outfield"/>
    <s v="Feed livestock"/>
    <s v="OffField feed"/>
    <n v="0"/>
    <m/>
    <m/>
    <s v=""/>
    <m/>
    <n v="1"/>
    <s v="Last year"/>
    <n v="3"/>
    <n v="3"/>
    <s v="Fields about 1 to 3 km away from my village"/>
    <m/>
    <s v="Other, Specify"/>
    <n v="999"/>
    <m/>
    <s v="Labour"/>
    <x v="0"/>
    <s v="Own animals"/>
    <n v="0"/>
    <s v=""/>
    <m/>
    <s v=""/>
    <s v=""/>
    <s v="Yes"/>
    <s v="No"/>
    <m/>
    <n v="0"/>
    <s v=""/>
    <m/>
    <m/>
    <s v=""/>
    <s v=""/>
    <n v="1"/>
    <n v="0"/>
    <s v="10"/>
    <x v="3"/>
    <n v="2"/>
    <s v="Yes"/>
    <n v="0.25"/>
    <s v="Yes"/>
    <n v="2"/>
    <n v="3.5"/>
    <s v="Yes"/>
    <s v="Rent"/>
    <n v="4.75"/>
    <n v="3.75"/>
    <n v="8.5"/>
    <s v="Yes"/>
    <s v="No"/>
    <s v="No"/>
    <s v="No"/>
    <s v="No"/>
    <s v="No"/>
    <n v="10"/>
    <s v="Free range"/>
    <m/>
    <s v=""/>
    <m/>
    <s v=""/>
    <m/>
    <s v=""/>
    <m/>
    <s v=""/>
    <m/>
    <n v="10"/>
    <s v="Medium"/>
    <n v="1"/>
    <n v="1"/>
    <n v="2"/>
    <n v="4"/>
    <n v="0"/>
    <n v="0"/>
    <n v="1"/>
    <m/>
    <n v="56.55"/>
    <s v="High"/>
    <n v="66.55"/>
    <s v="Yes"/>
    <s v="Carte"/>
    <s v="Yes"/>
    <s v="Multiple"/>
    <n v="0.5"/>
    <n v="3.5"/>
    <n v="0"/>
    <s v="Yes"/>
    <n v="1"/>
    <n v="4"/>
    <s v="Bags"/>
    <n v="0.96"/>
    <m/>
    <n v="999"/>
    <s v="Bags"/>
    <m/>
    <n v="1"/>
    <n v="2.5"/>
    <s v="Bags"/>
    <n v="0.6"/>
    <x v="1"/>
    <s v="No"/>
    <s v="No"/>
    <s v="Yes"/>
    <s v="No"/>
    <n v="2"/>
    <n v="3"/>
    <s v="uuid:487bf899-f356-400a-b6b2-9e1f43e20bec/secG-G2"/>
    <s v="uuid:487bf899-f356-400a-b6b2-9e1f43e20bec/secG-G5"/>
    <n v="-4.2792067527770996"/>
    <n v="35.622718811035156"/>
    <n v="1444.5999755859375"/>
    <n v="10"/>
    <n v="1705231439"/>
    <s v="uuid:487bf899-f356-400a-b6b2-9e1f43e20bec"/>
    <d v="2017-06-22T07:01:26"/>
    <d v="2017-06-13T12:50:27"/>
    <d v="2017-06-22T06:57:13"/>
    <d v="2017-01-12T00:00:00"/>
    <m/>
    <n v="4.2990643274853815"/>
    <n v="3.3881871345029242"/>
    <n v="4.3005295950155764"/>
    <n v="2.9223676012461062"/>
    <m/>
    <n v="1"/>
    <m/>
    <s v="Valleys"/>
    <n v="10.1358776093"/>
    <s v="Strong"/>
    <s v="Midslope"/>
    <n v="9.0650379657699995E-2"/>
    <n v="7.9497685432400003"/>
    <n v="274.18974685744104"/>
    <n v="477.23418444993086"/>
    <n v="1.0580000000000001"/>
    <n v="0.70699999999999996"/>
    <n v="0.35100000000000009"/>
    <n v="3.6114485981308411"/>
    <n v="3.8436257309941526"/>
    <n v="0.23217713286331154"/>
    <n v="337.91999999999996"/>
    <n v="409.2"/>
    <n v="0"/>
    <n v="747.11999999999989"/>
    <n v="63.699999999999996"/>
    <n v="683.41999999999985"/>
  </r>
  <r>
    <s v="Michael"/>
    <n v="28"/>
    <s v="Barie Sinorai"/>
    <s v="Barie Sinorai"/>
    <s v="Sangara"/>
    <s v="Samatsi"/>
    <n v="2.2999999523162842"/>
    <s v="outfield"/>
    <s v="Feed livestock"/>
    <s v="OffField feed"/>
    <n v="0"/>
    <m/>
    <m/>
    <s v=""/>
    <m/>
    <n v="1"/>
    <s v="This season"/>
    <n v="3"/>
    <n v="3"/>
    <s v="Other fields in my home village"/>
    <m/>
    <s v="My 'home field' away from here"/>
    <m/>
    <m/>
    <s v="Labour"/>
    <x v="0"/>
    <s v="Own animals"/>
    <n v="0"/>
    <s v=""/>
    <m/>
    <s v=""/>
    <s v=""/>
    <s v="Yes"/>
    <s v="No"/>
    <m/>
    <n v="0"/>
    <s v=""/>
    <m/>
    <m/>
    <s v=""/>
    <s v=""/>
    <n v="1"/>
    <n v="0"/>
    <s v="10"/>
    <x v="3"/>
    <n v="2"/>
    <s v="Yes"/>
    <n v="0.5"/>
    <s v="Yes"/>
    <n v="2"/>
    <n v="2.5"/>
    <s v="Yes"/>
    <s v="Rent"/>
    <n v="4.5"/>
    <n v="3"/>
    <n v="7.5"/>
    <s v="Yes"/>
    <s v="Yes"/>
    <s v="Yes"/>
    <s v="Yes"/>
    <s v="No"/>
    <s v="No"/>
    <n v="8"/>
    <s v="Free range"/>
    <n v="12"/>
    <s v="Free range"/>
    <n v="7"/>
    <s v="Free range"/>
    <n v="8"/>
    <s v="Free range"/>
    <m/>
    <s v=""/>
    <m/>
    <n v="10.07"/>
    <s v="Medium"/>
    <n v="4"/>
    <n v="2"/>
    <n v="1"/>
    <n v="7"/>
    <n v="0"/>
    <n v="0"/>
    <n v="1"/>
    <m/>
    <n v="45.3"/>
    <s v="Medium"/>
    <n v="55.370000000000005"/>
    <s v="No"/>
    <s v=""/>
    <s v="Yes"/>
    <s v="Tractor"/>
    <n v="0.25"/>
    <n v="1.5"/>
    <n v="0"/>
    <s v="Yes"/>
    <n v="1"/>
    <n v="2.5"/>
    <s v="Bags"/>
    <n v="0.6"/>
    <m/>
    <n v="999"/>
    <s v="Bags"/>
    <m/>
    <n v="1"/>
    <n v="3.5"/>
    <s v="Bags"/>
    <n v="0.84"/>
    <x v="1"/>
    <s v="Yes"/>
    <s v="Yes"/>
    <s v="Yes"/>
    <s v="Yes"/>
    <n v="5"/>
    <n v="4"/>
    <s v="uuid:0a39b077-4d0f-4da2-9f85-62cbf2838023/secG-G2"/>
    <s v="uuid:0a39b077-4d0f-4da2-9f85-62cbf2838023/secG-G5"/>
    <n v="-4.2712640762329102"/>
    <n v="35.6368408203125"/>
    <n v="1423.699951171875"/>
    <n v="15"/>
    <n v="1705231439"/>
    <s v="uuid:0a39b077-4d0f-4da2-9f85-62cbf2838023"/>
    <d v="2017-06-22T07:01:20"/>
    <d v="2017-06-12T12:47:51"/>
    <d v="2017-06-22T06:55:11"/>
    <d v="2017-02-02T00:00:00"/>
    <m/>
    <n v="3.5788118811881193"/>
    <n v="6.4332673267326745"/>
    <n v="2.4653508771929822"/>
    <n v="4.5389473684210531"/>
    <m/>
    <n v="1"/>
    <m/>
    <s v="Valleys"/>
    <n v="3.2732591629000001"/>
    <s v="Gentle"/>
    <s v="Flat"/>
    <n v="0.18129228055499999"/>
    <n v="10.637241363499999"/>
    <n v="91.213902566181972"/>
    <n v="177.84000152369043"/>
    <n v="0.625"/>
    <n v="0.93600000000000005"/>
    <n v="-0.31100000000000005"/>
    <n v="3.5021491228070176"/>
    <n v="5.0060396039603967"/>
    <n v="1.5038904811533791"/>
    <n v="211.2"/>
    <n v="572.88"/>
    <n v="0"/>
    <n v="784.07999999999993"/>
    <n v="63.699999999999996"/>
    <n v="720.37999999999988"/>
  </r>
  <r>
    <s v="Inot Songoyani"/>
    <n v="167"/>
    <s v="Please Karimu Saidi Mbao"/>
    <s v="Karimu Saidi Mbao"/>
    <s v="DURU"/>
    <s v="Duru"/>
    <n v="0"/>
    <s v="Homefield"/>
    <s v="Feed livestock"/>
    <s v="OffField feed"/>
    <n v="0"/>
    <m/>
    <m/>
    <s v=""/>
    <m/>
    <n v="1"/>
    <s v="Every year"/>
    <n v="3"/>
    <s v="Variable"/>
    <s v="Other fields in my home village"/>
    <m/>
    <s v="This field"/>
    <m/>
    <n v="5000"/>
    <s v=""/>
    <x v="0"/>
    <s v="Own animals"/>
    <n v="0"/>
    <s v=""/>
    <m/>
    <s v=""/>
    <s v=""/>
    <s v="No"/>
    <s v="No"/>
    <s v=""/>
    <n v="0"/>
    <s v=""/>
    <m/>
    <m/>
    <s v=""/>
    <s v=""/>
    <n v="1"/>
    <n v="0"/>
    <s v="10"/>
    <x v="3"/>
    <n v="2"/>
    <s v="Yes"/>
    <n v="0.5"/>
    <s v="Yes"/>
    <n v="2"/>
    <n v="3.25"/>
    <s v="No"/>
    <s v=""/>
    <m/>
    <n v="3.75"/>
    <n v="3.75"/>
    <s v="Yes"/>
    <s v="Yes"/>
    <s v="Yes"/>
    <s v="Yes"/>
    <s v="No"/>
    <s v="No"/>
    <n v="9"/>
    <s v="Both"/>
    <n v="7"/>
    <s v="Both"/>
    <n v="5"/>
    <s v="Both"/>
    <n v="4"/>
    <s v="Both"/>
    <m/>
    <s v=""/>
    <m/>
    <n v="10.15"/>
    <s v="Medium"/>
    <n v="1"/>
    <n v="4"/>
    <n v="3"/>
    <n v="8"/>
    <n v="0"/>
    <n v="0"/>
    <n v="0"/>
    <s v=""/>
    <n v="56.25"/>
    <s v="High"/>
    <n v="66.400000000000006"/>
    <s v="No"/>
    <s v=""/>
    <s v="Yes"/>
    <s v="Casual"/>
    <n v="0.25"/>
    <n v="1.75"/>
    <m/>
    <s v="Yes"/>
    <n v="2"/>
    <n v="10"/>
    <s v="Bags"/>
    <n v="1.2"/>
    <m/>
    <n v="999"/>
    <s v="Bags"/>
    <m/>
    <n v="2"/>
    <n v="3"/>
    <s v="Bags"/>
    <n v="0.36"/>
    <x v="0"/>
    <s v="No"/>
    <s v="Yes"/>
    <s v="Yes"/>
    <s v="Yes"/>
    <n v="3"/>
    <n v="2"/>
    <s v="uuid:4f421d8e-30d4-4dea-95a0-6a719e46c6e5/secG-G2"/>
    <s v="uuid:4f421d8e-30d4-4dea-95a0-6a719e46c6e5/secG-G5"/>
    <n v="-4.318840503692627"/>
    <n v="35.602306365966797"/>
    <n v="1577.300048828125"/>
    <n v="5"/>
    <n v="1706031849"/>
    <s v="uuid:4f421d8e-30d4-4dea-95a0-6a719e46c6e5"/>
    <d v="2017-07-05T10:22:58"/>
    <d v="2017-07-03T14:18:14"/>
    <d v="2017-07-03T14:28:56"/>
    <d v="2017-02-04T00:00:00"/>
    <m/>
    <n v="6.5709862671660426"/>
    <n v="7.2383520599250941"/>
    <n v="3.3239950062421975"/>
    <n v="4.6009737827715362"/>
    <m/>
    <n v="1"/>
    <m/>
    <s v="Valleys"/>
    <n v="6.5252904891999997"/>
    <s v="Moderate"/>
    <s v="Toeslope"/>
    <n v="-0.54384291171999999"/>
    <n v="8.6506910324100001"/>
    <n v="259.87984713720471"/>
    <n v="229.227312387974"/>
    <n v="0.91300000000000003"/>
    <n v="0.78200000000000003"/>
    <n v="0.13100000000000001"/>
    <n v="3.9624843945068671"/>
    <n v="6.9046691635455684"/>
    <n v="2.9421847690387013"/>
    <n v="422.4"/>
    <n v="245.51999999999998"/>
    <n v="0"/>
    <n v="667.92"/>
    <n v="63.699999999999996"/>
    <n v="604.21999999999991"/>
  </r>
  <r>
    <s v="Inot Songoyani"/>
    <n v="162"/>
    <s v="Sharifa Juma Mohamedi"/>
    <s v="Sharifa Juma Mohamedi"/>
    <s v="DURU"/>
    <s v="Duru"/>
    <n v="0"/>
    <s v="Homefield"/>
    <s v="Feed livestock"/>
    <s v="OffField feed"/>
    <n v="0"/>
    <m/>
    <m/>
    <s v=""/>
    <m/>
    <n v="1"/>
    <s v="Every year"/>
    <n v="3"/>
    <s v="Variable"/>
    <s v="Other fields in my home village"/>
    <m/>
    <s v="This field"/>
    <m/>
    <n v="7000"/>
    <s v=""/>
    <x v="0"/>
    <s v="Own animals"/>
    <n v="0"/>
    <s v=""/>
    <m/>
    <s v=""/>
    <s v=""/>
    <s v="Yes"/>
    <s v="No"/>
    <s v=""/>
    <n v="0"/>
    <s v=""/>
    <m/>
    <m/>
    <s v=""/>
    <s v=""/>
    <n v="1"/>
    <n v="0"/>
    <s v="10"/>
    <x v="3"/>
    <n v="2"/>
    <s v="Yes"/>
    <n v="0.5"/>
    <s v="Yes"/>
    <n v="2"/>
    <n v="3.25"/>
    <s v="No"/>
    <s v=""/>
    <m/>
    <n v="3.75"/>
    <n v="3.75"/>
    <s v="Yes"/>
    <s v="Yes"/>
    <s v="Yes"/>
    <s v="Yes"/>
    <s v="No"/>
    <s v="No"/>
    <n v="9"/>
    <s v="Both"/>
    <n v="7"/>
    <s v="Both"/>
    <n v="5"/>
    <s v="Both"/>
    <n v="4"/>
    <s v="Both"/>
    <m/>
    <s v=""/>
    <m/>
    <n v="10.15"/>
    <s v="Medium"/>
    <n v="1"/>
    <n v="4"/>
    <n v="3"/>
    <n v="8"/>
    <n v="0"/>
    <n v="0"/>
    <n v="1"/>
    <s v=""/>
    <n v="56.55"/>
    <s v="High"/>
    <n v="66.7"/>
    <s v="No"/>
    <s v=""/>
    <s v="Yes"/>
    <s v="Casual"/>
    <n v="0.25"/>
    <n v="1.5"/>
    <m/>
    <s v="Yes"/>
    <n v="2"/>
    <n v="22"/>
    <s v="Bags"/>
    <n v="2.64"/>
    <m/>
    <n v="999"/>
    <s v="Bags"/>
    <m/>
    <n v="2"/>
    <n v="3"/>
    <s v="Bags"/>
    <n v="0.36"/>
    <x v="0"/>
    <s v="No"/>
    <s v="Yes"/>
    <s v="No"/>
    <s v="No"/>
    <n v="1"/>
    <n v="3"/>
    <s v="uuid:84c52509-5a7d-4950-b82c-e9ce0ea016d8/secG-G2"/>
    <s v="uuid:84c52509-5a7d-4950-b82c-e9ce0ea016d8/secG-G5"/>
    <n v="-4.3193373680114746"/>
    <n v="35.602512359619141"/>
    <n v="1566.0999755859375"/>
    <n v="5"/>
    <n v="1706031849"/>
    <s v="uuid:84c52509-5a7d-4950-b82c-e9ce0ea016d8"/>
    <d v="2017-07-05T10:22:48"/>
    <d v="2017-07-03T11:22:01"/>
    <d v="2017-07-03T13:59:18"/>
    <d v="2017-02-04T00:00:00"/>
    <m/>
    <n v="11.223000000000003"/>
    <n v="8.8830000000000009"/>
    <n v="7.4670250896057357"/>
    <n v="6.0275985663082441"/>
    <m/>
    <n v="1"/>
    <m/>
    <s v="Open slopes"/>
    <n v="9.2199697494499997"/>
    <s v="Strong"/>
    <s v="Midslope"/>
    <n v="-0.27191722393000001"/>
    <n v="8.0099620819100004"/>
    <n v="177.88667091467318"/>
    <n v="254.92913166888718"/>
    <n v="0.73199999999999998"/>
    <n v="0.873"/>
    <n v="-0.14100000000000001"/>
    <n v="6.7473118279569899"/>
    <n v="10.053000000000001"/>
    <n v="3.3056881720430109"/>
    <n v="929.28000000000009"/>
    <n v="245.51999999999998"/>
    <n v="0"/>
    <n v="1174.8000000000002"/>
    <n v="63.699999999999996"/>
    <n v="1111.1000000000001"/>
  </r>
  <r>
    <s v="Inot Songoyani"/>
    <n v="170"/>
    <s v="Qamara Suloo Qwasali"/>
    <s v="Qamara Suloo Qwasali"/>
    <s v="DURU"/>
    <s v="Duru"/>
    <n v="0"/>
    <s v="Homefield"/>
    <s v="Feed livestock"/>
    <s v="OffField feed"/>
    <n v="0"/>
    <m/>
    <m/>
    <s v=""/>
    <m/>
    <n v="1"/>
    <s v="Every year"/>
    <n v="10"/>
    <s v="Variable"/>
    <s v="Other fields in my home village"/>
    <m/>
    <s v="This field"/>
    <m/>
    <m/>
    <s v="Ploughing"/>
    <x v="0"/>
    <s v="Own animals"/>
    <n v="0"/>
    <s v=""/>
    <m/>
    <s v=""/>
    <s v=""/>
    <s v="Yes"/>
    <s v="No"/>
    <s v=""/>
    <n v="0"/>
    <s v=""/>
    <m/>
    <m/>
    <s v=""/>
    <s v=""/>
    <n v="1"/>
    <n v="0"/>
    <s v="10"/>
    <x v="3"/>
    <n v="2"/>
    <s v="Yes"/>
    <n v="8.5"/>
    <s v="No"/>
    <m/>
    <m/>
    <s v="Yes"/>
    <s v="Rent"/>
    <n v="2"/>
    <n v="8.5"/>
    <n v="10.5"/>
    <s v="Yes"/>
    <s v="Yes"/>
    <s v="Yes"/>
    <s v="No"/>
    <s v="No"/>
    <s v="Yes"/>
    <n v="9"/>
    <s v="Both"/>
    <n v="7"/>
    <s v="Both"/>
    <n v="7"/>
    <s v="Both"/>
    <m/>
    <s v=""/>
    <m/>
    <s v=""/>
    <n v="1"/>
    <n v="10.17"/>
    <s v="Medium"/>
    <n v="2"/>
    <n v="1"/>
    <n v="5"/>
    <n v="8"/>
    <n v="0"/>
    <n v="0"/>
    <n v="1"/>
    <s v=""/>
    <n v="127.8"/>
    <s v="High"/>
    <n v="137.97"/>
    <s v="No"/>
    <s v=""/>
    <s v="No"/>
    <s v=""/>
    <n v="0.25"/>
    <n v="7.75"/>
    <m/>
    <s v="No"/>
    <n v="8"/>
    <n v="62"/>
    <s v="Bags"/>
    <n v="1.8599999999999999"/>
    <m/>
    <n v="999"/>
    <s v="Bags"/>
    <m/>
    <n v="8"/>
    <n v="3"/>
    <s v="Bags"/>
    <n v="0.09"/>
    <x v="0"/>
    <s v="No"/>
    <s v="No"/>
    <s v="No"/>
    <s v="No"/>
    <n v="0"/>
    <n v="3"/>
    <s v="uuid:db90c827-7eb4-4eb7-b495-db3433bda2ec/secG-G2"/>
    <s v="uuid:db90c827-7eb4-4eb7-b495-db3433bda2ec/secG-G5"/>
    <n v="-4.3720178604125977"/>
    <n v="35.598808288574219"/>
    <n v="1543.800048828125"/>
    <n v="5"/>
    <n v="1706031849"/>
    <s v="uuid:db90c827-7eb4-4eb7-b495-db3433bda2ec"/>
    <d v="2017-07-05T10:23:03"/>
    <d v="2017-07-04T10:01:48"/>
    <d v="2017-07-04T13:55:43"/>
    <d v="2017-07-26T00:00:00"/>
    <m/>
    <n v="3.0502415458937198"/>
    <n v="2.8608695652173917"/>
    <n v="2.4000000000000004"/>
    <n v="2.2105263157894743"/>
    <m/>
    <n v="1"/>
    <m/>
    <s v="Plains"/>
    <n v="1.6524535417599999"/>
    <s v="Very gentle"/>
    <s v="Flat"/>
    <n v="9.0650379657699995E-2"/>
    <n v="12.8858118057"/>
    <n v="29.06548824223945"/>
    <m/>
    <n v="0.64300000000000002"/>
    <m/>
    <m/>
    <n v="2.3052631578947373"/>
    <n v="2.9555555555555557"/>
    <n v="0.65029239766081837"/>
    <n v="654.71999999999991"/>
    <n v="61.379999999999995"/>
    <n v="0"/>
    <n v="716.09999999999991"/>
    <n v="63.699999999999996"/>
    <n v="652.39999999999986"/>
  </r>
  <r>
    <s v="Michael"/>
    <n v="26"/>
    <s v="Alfred Gwandu"/>
    <s v="Alfred Gwandu"/>
    <s v="SABILO"/>
    <s v="Sabilo"/>
    <n v="1.5"/>
    <s v="outfield"/>
    <s v="Feed livestock"/>
    <s v="OffField feed"/>
    <n v="0"/>
    <m/>
    <m/>
    <s v=""/>
    <m/>
    <n v="1"/>
    <s v="Last year"/>
    <n v="4"/>
    <n v="1"/>
    <s v="Other fields in my home village"/>
    <m/>
    <s v="My 'home field' away from here"/>
    <m/>
    <m/>
    <s v="Labour"/>
    <x v="1"/>
    <s v=""/>
    <n v="0"/>
    <s v=""/>
    <m/>
    <s v=""/>
    <s v=""/>
    <s v="Yes"/>
    <s v="No"/>
    <m/>
    <n v="0"/>
    <s v=""/>
    <m/>
    <m/>
    <s v=""/>
    <s v=""/>
    <n v="1"/>
    <n v="0"/>
    <s v="10"/>
    <x v="3"/>
    <n v="2"/>
    <s v="Yes"/>
    <n v="4"/>
    <s v="Yes"/>
    <n v="3"/>
    <n v="9.5"/>
    <s v="No"/>
    <s v=""/>
    <m/>
    <n v="13.5"/>
    <n v="13.5"/>
    <s v="Yes"/>
    <s v="Yes"/>
    <s v="Yes"/>
    <s v="Yes"/>
    <s v="No"/>
    <s v="No"/>
    <n v="9"/>
    <s v="Both"/>
    <n v="5"/>
    <s v="Free range"/>
    <n v="10"/>
    <s v="Free range"/>
    <n v="7"/>
    <s v="Free range"/>
    <m/>
    <s v=""/>
    <m/>
    <n v="10.299999999999999"/>
    <s v="Medium"/>
    <n v="2"/>
    <n v="3"/>
    <n v="2"/>
    <n v="7"/>
    <n v="0"/>
    <n v="1"/>
    <n v="1"/>
    <m/>
    <n v="203.6"/>
    <s v="High"/>
    <n v="213.9"/>
    <s v="Yes"/>
    <s v="Carte"/>
    <s v="Yes"/>
    <s v="Multiple"/>
    <n v="0.25"/>
    <n v="9.75"/>
    <n v="0"/>
    <s v="Yes"/>
    <n v="1"/>
    <n v="18"/>
    <s v="Bags"/>
    <n v="4.32"/>
    <n v="1"/>
    <n v="0.25"/>
    <s v="Bags"/>
    <n v="0.06"/>
    <n v="1"/>
    <n v="0"/>
    <s v="Bags"/>
    <n v="0"/>
    <x v="0"/>
    <s v="Yes"/>
    <s v="Yes"/>
    <s v="Yes"/>
    <s v="Yes"/>
    <n v="4"/>
    <n v="4"/>
    <s v="uuid:1d7b2d0b-e4bc-46e7-8b36-62016704a439/secG-G2"/>
    <s v="uuid:1d7b2d0b-e4bc-46e7-8b36-62016704a439/secG-G5"/>
    <n v="-4.3631119728088379"/>
    <n v="35.481925964355469"/>
    <n v="1696.199951171875"/>
    <n v="15"/>
    <n v="1705231439"/>
    <s v="uuid:1d7b2d0b-e4bc-46e7-8b36-62016704a439"/>
    <d v="2017-06-22T07:01:19"/>
    <d v="2017-06-09T15:24:41"/>
    <d v="2017-06-22T06:54:39"/>
    <d v="2017-01-30T00:00:00"/>
    <m/>
    <n v="3.1555816993464054"/>
    <n v="4.0362091503267985"/>
    <n v="2.7316498316498312"/>
    <n v="3.3675420875420876"/>
    <m/>
    <n v="1"/>
    <m/>
    <s v="Plains"/>
    <n v="2.49159216881"/>
    <s v="Gentle"/>
    <s v="Upper slope"/>
    <n v="0.72514367103599997"/>
    <n v="7.96718549728"/>
    <n v="239.72910281049883"/>
    <n v="287.4924254827373"/>
    <n v="1.9370000000000001"/>
    <n v="1.925"/>
    <n v="1.2000000000000011E-2"/>
    <n v="3.0495959595959592"/>
    <n v="3.595895424836602"/>
    <n v="0.54629946524064277"/>
    <n v="1520.64"/>
    <n v="0"/>
    <n v="47.699999999999996"/>
    <n v="1568.3400000000001"/>
    <n v="0"/>
    <n v="1568.3400000000001"/>
  </r>
  <r>
    <s v="Inot Songoyani"/>
    <n v="150"/>
    <s v="Bura Shamba Haito"/>
    <s v="Bura Shamba Haito"/>
    <s v="HALLU"/>
    <s v="Hallu"/>
    <n v="0"/>
    <s v="Homefield"/>
    <s v="Feed livestock"/>
    <s v="OffField feed"/>
    <n v="0"/>
    <m/>
    <m/>
    <s v=""/>
    <m/>
    <n v="1"/>
    <s v="Every year"/>
    <n v="12"/>
    <s v="Variable"/>
    <s v="Other fields in my home village"/>
    <m/>
    <s v="My 'home field' away from here"/>
    <m/>
    <n v="5000"/>
    <s v=""/>
    <x v="0"/>
    <s v="Own animals"/>
    <n v="0"/>
    <s v=""/>
    <m/>
    <s v=""/>
    <s v=""/>
    <s v="Yes"/>
    <s v="No"/>
    <s v=""/>
    <n v="0"/>
    <s v=""/>
    <m/>
    <m/>
    <s v=""/>
    <s v=""/>
    <n v="1"/>
    <n v="0"/>
    <s v="10"/>
    <x v="3"/>
    <n v="2"/>
    <s v="Yes"/>
    <n v="1"/>
    <s v="Yes"/>
    <n v="2"/>
    <n v="7"/>
    <s v="No"/>
    <s v=""/>
    <m/>
    <n v="8"/>
    <n v="8"/>
    <s v="Yes"/>
    <s v="Yes"/>
    <s v="No"/>
    <s v="No"/>
    <s v="No"/>
    <s v="No"/>
    <n v="10"/>
    <s v="Both"/>
    <n v="5"/>
    <s v="Both"/>
    <m/>
    <s v=""/>
    <m/>
    <s v=""/>
    <m/>
    <s v=""/>
    <m/>
    <n v="10.5"/>
    <s v="Medium"/>
    <n v="4"/>
    <n v="1"/>
    <n v="5"/>
    <n v="10"/>
    <n v="0"/>
    <n v="0"/>
    <n v="1"/>
    <s v=""/>
    <n v="120.3"/>
    <s v="High"/>
    <n v="130.80000000000001"/>
    <s v="No"/>
    <s v=""/>
    <s v="No"/>
    <s v=""/>
    <n v="0.5"/>
    <n v="0.5"/>
    <m/>
    <s v="Yes"/>
    <n v="1"/>
    <n v="25"/>
    <s v="Bags"/>
    <n v="6"/>
    <m/>
    <n v="999"/>
    <s v="Bags"/>
    <m/>
    <n v="3"/>
    <n v="4"/>
    <s v="Bags"/>
    <n v="0.32"/>
    <x v="1"/>
    <s v="Yes"/>
    <s v="Yes"/>
    <s v="Yes"/>
    <s v="Yes"/>
    <n v="5"/>
    <n v="4"/>
    <s v="uuid:21e65fc2-3d8d-413a-9f28-d4ae471ca4e5/secG-G2"/>
    <s v="uuid:21e65fc2-3d8d-413a-9f28-d4ae471ca4e5/secG-G5"/>
    <n v="-4.3047881126403809"/>
    <n v="35.890499114990234"/>
    <n v="1218.4000244140625"/>
    <n v="5"/>
    <n v="1706031849"/>
    <s v="uuid:21e65fc2-3d8d-413a-9f28-d4ae471ca4e5"/>
    <d v="2017-06-27T15:19:36"/>
    <d v="2017-06-23T14:22:29"/>
    <d v="2017-06-23T14:43:10"/>
    <d v="2017-02-04T00:00:00"/>
    <m/>
    <n v="6.8981069958847732"/>
    <n v="6.6179423868312757"/>
    <n v="6.0869642857142852"/>
    <n v="5.5322222222222219"/>
    <m/>
    <n v="1"/>
    <m/>
    <s v="Plains"/>
    <n v="1.4196667671200001"/>
    <s v="Very gentle"/>
    <s v="Flat"/>
    <n v="-0.18127532303300001"/>
    <n v="9.1224098205599997"/>
    <n v="509.28001623321745"/>
    <n v="441.00846156447648"/>
    <n v="1.9259999999999999"/>
    <n v="1.9810000000000001"/>
    <n v="-5.500000000000016E-2"/>
    <n v="5.809593253968254"/>
    <n v="6.758024691358024"/>
    <n v="0.94843143738976998"/>
    <n v="2112"/>
    <n v="218.24"/>
    <n v="0"/>
    <n v="2330.2399999999998"/>
    <n v="63.699999999999996"/>
    <n v="2266.54"/>
  </r>
  <r>
    <s v="Michael"/>
    <n v="54"/>
    <s v="Andrea Qamara"/>
    <s v="Andrea Qamara"/>
    <s v="MANDI"/>
    <s v="Samatsi"/>
    <n v="0.20000000298023224"/>
    <s v="Midfield"/>
    <s v="Feed livestock"/>
    <s v="OffField feed"/>
    <n v="0"/>
    <m/>
    <m/>
    <s v=""/>
    <m/>
    <n v="1"/>
    <s v="2 years ago"/>
    <n v="2"/>
    <n v="1.5"/>
    <s v="Other fields in my home village"/>
    <m/>
    <s v="This field"/>
    <m/>
    <m/>
    <s v="Labour"/>
    <x v="0"/>
    <s v="Own animals"/>
    <n v="0"/>
    <s v=""/>
    <m/>
    <s v=""/>
    <s v=""/>
    <s v="Yes"/>
    <s v="No"/>
    <m/>
    <n v="0"/>
    <s v=""/>
    <m/>
    <m/>
    <s v=""/>
    <s v=""/>
    <n v="1"/>
    <n v="0"/>
    <s v="10"/>
    <x v="3"/>
    <n v="2"/>
    <s v="Yes"/>
    <n v="0.75"/>
    <s v="Yes"/>
    <n v="3"/>
    <n v="7"/>
    <s v="No"/>
    <s v=""/>
    <m/>
    <n v="7.75"/>
    <n v="7.75"/>
    <s v="Yes"/>
    <s v="Yes"/>
    <s v="Yes"/>
    <s v="No"/>
    <s v="No"/>
    <s v="No"/>
    <n v="10"/>
    <s v="Free range"/>
    <n v="5"/>
    <s v="Free range"/>
    <n v="10"/>
    <s v="Free range"/>
    <m/>
    <s v=""/>
    <m/>
    <s v=""/>
    <m/>
    <n v="10.6"/>
    <s v="Medium"/>
    <n v="1"/>
    <n v="3"/>
    <n v="9"/>
    <n v="13"/>
    <n v="0"/>
    <n v="1"/>
    <n v="1"/>
    <m/>
    <n v="117.35"/>
    <s v="High"/>
    <n v="127.95"/>
    <s v="Yes"/>
    <s v="Carte,Ninja"/>
    <s v="Yes"/>
    <s v="Multiple"/>
    <n v="0.25"/>
    <n v="6.75"/>
    <n v="0"/>
    <s v="Yes"/>
    <n v="1"/>
    <n v="9"/>
    <s v="Bags"/>
    <n v="2.16"/>
    <n v="1"/>
    <n v="2"/>
    <s v="Bags"/>
    <n v="0.48"/>
    <m/>
    <n v="999"/>
    <s v="Bags"/>
    <m/>
    <x v="0"/>
    <s v="Yes"/>
    <s v="No"/>
    <s v="Yes"/>
    <s v="No"/>
    <n v="2"/>
    <n v="2"/>
    <s v="uuid:8e65d609-4ef5-48b9-9005-44d6180bf425/secG-G2"/>
    <s v="uuid:8e65d609-4ef5-48b9-9005-44d6180bf425/secG-G5"/>
    <n v="-4.3519630432128906"/>
    <n v="35.427867889404297"/>
    <n v="1650.4000244140625"/>
    <n v="5"/>
    <n v="1705231439"/>
    <s v="uuid:8e65d609-4ef5-48b9-9005-44d6180bf425"/>
    <d v="2017-07-07T09:09:45"/>
    <d v="2017-06-22T11:53:49"/>
    <d v="2017-06-22T12:15:58"/>
    <d v="2017-02-25T00:00:00"/>
    <m/>
    <n v="2.3600000000000003"/>
    <n v="2.3272222222222219"/>
    <n v="1.4639682539682541"/>
    <n v="1.9286190476190479"/>
    <m/>
    <n v="1"/>
    <m/>
    <s v="Plains"/>
    <n v="4.8935842514000001"/>
    <s v="Gentle"/>
    <s v="Upper slope"/>
    <n v="0.63450175523800001"/>
    <n v="7.66307353973"/>
    <n v="209.60793566716438"/>
    <n v="461.1365339240142"/>
    <n v="1.5620000000000001"/>
    <n v="2.3849999999999998"/>
    <n v="-0.82299999999999973"/>
    <n v="1.696293650793651"/>
    <n v="2.3436111111111111"/>
    <n v="0.64731746031746007"/>
    <n v="760.32"/>
    <n v="0"/>
    <n v="381.59999999999997"/>
    <n v="1141.92"/>
    <n v="63.699999999999996"/>
    <n v="1078.22"/>
  </r>
  <r>
    <s v="Michael"/>
    <n v="16"/>
    <s v="Fabiola Mathias"/>
    <s v="Fabiola Mathias"/>
    <e v="#N/A"/>
    <s v="Sabilo"/>
    <n v="0"/>
    <s v="Homefield"/>
    <s v="Feed livestock"/>
    <s v="OffField feed"/>
    <n v="0"/>
    <m/>
    <m/>
    <s v=""/>
    <m/>
    <n v="1"/>
    <s v="Last year"/>
    <n v="3"/>
    <n v="0.60000002384185791"/>
    <s v="Other fields in my home village"/>
    <m/>
    <s v="This field"/>
    <m/>
    <n v="13300"/>
    <s v=""/>
    <x v="0"/>
    <s v="Own animals"/>
    <n v="0"/>
    <s v=""/>
    <m/>
    <s v=""/>
    <s v=""/>
    <s v="Yes"/>
    <s v="No"/>
    <s v=""/>
    <n v="0"/>
    <s v=""/>
    <m/>
    <m/>
    <s v=""/>
    <s v=""/>
    <n v="1"/>
    <n v="0"/>
    <s v="10"/>
    <x v="3"/>
    <n v="2"/>
    <s v="Yes"/>
    <n v="5"/>
    <s v="No"/>
    <m/>
    <m/>
    <s v="No"/>
    <s v=""/>
    <m/>
    <n v="5"/>
    <n v="5"/>
    <s v="Yes"/>
    <s v="Yes"/>
    <s v="Yes"/>
    <s v="No"/>
    <s v="Yes"/>
    <s v="Yes"/>
    <n v="9"/>
    <s v="Free range"/>
    <n v="5"/>
    <s v="Free range"/>
    <n v="12"/>
    <s v="Free range"/>
    <m/>
    <s v=""/>
    <n v="1"/>
    <s v="Zero grazing"/>
    <n v="2"/>
    <n v="10.72"/>
    <s v="Medium"/>
    <n v="3"/>
    <n v="3"/>
    <n v="1"/>
    <n v="7"/>
    <n v="0"/>
    <n v="1"/>
    <n v="1"/>
    <s v=""/>
    <n v="76.099999999999994"/>
    <s v="High"/>
    <n v="86.820000000000007"/>
    <s v="Yes"/>
    <s v="Carte"/>
    <s v="Yes"/>
    <s v="Casual"/>
    <n v="10.36185302"/>
    <n v="6.5046325600000001"/>
    <n v="0"/>
    <s v="Yes"/>
    <n v="1"/>
    <n v="10.600000381469727"/>
    <s v="Bags"/>
    <n v="2.5440000915527343"/>
    <n v="1"/>
    <n v="1.2999999523162842"/>
    <s v="Bags"/>
    <n v="0.31199998855590821"/>
    <n v="1"/>
    <n v="0.67000001668930054"/>
    <s v="Bags"/>
    <n v="0.16080000400543212"/>
    <x v="0"/>
    <s v="No"/>
    <s v="Yes"/>
    <s v="Yes"/>
    <s v="No"/>
    <n v="2"/>
    <n v="3"/>
    <s v="uuid:0c2d270f-8bf6-40da-a3db-880e7ded87d1/secG-G2"/>
    <s v="uuid:0c2d270f-8bf6-40da-a3db-880e7ded87d1/secG-G5"/>
    <n v="-4.351494312286377"/>
    <n v="35.499122619628906"/>
    <n v="1629.300048828125"/>
    <n v="15"/>
    <n v="1705231439"/>
    <s v="uuid:0c2d270f-8bf6-40da-a3db-880e7ded87d1"/>
    <d v="2017-06-22T07:01:13"/>
    <d v="2017-06-07T15:04:32"/>
    <d v="2017-06-22T06:53:45"/>
    <d v="2017-03-06T00:00:00"/>
    <m/>
    <m/>
    <m/>
    <m/>
    <m/>
    <m/>
    <n v="1"/>
    <m/>
    <s v="Plains"/>
    <n v="3.2750730514500002"/>
    <s v="Gentle"/>
    <s v="Flat"/>
    <n v="-0.27191722393000001"/>
    <n v="10.296551704400001"/>
    <m/>
    <m/>
    <m/>
    <m/>
    <m/>
    <m/>
    <m/>
    <m/>
    <n v="895.4880322265625"/>
    <n v="109.66560273170471"/>
    <n v="248.03999090194702"/>
    <n v="1253.1936258602141"/>
    <n v="63.699999999999996"/>
    <n v="1189.493625860214"/>
  </r>
  <r>
    <s v="Michael"/>
    <n v="42"/>
    <s v="Jonathan Qamara"/>
    <s v="Jonathan Qamara"/>
    <s v="Sangara"/>
    <s v="Samatsi"/>
    <n v="0"/>
    <s v="Homefield"/>
    <s v="Feed livestock"/>
    <s v="InField feed"/>
    <n v="0"/>
    <m/>
    <m/>
    <s v=""/>
    <m/>
    <n v="1"/>
    <s v="Last year"/>
    <n v="1"/>
    <n v="1.5"/>
    <s v="Other fields in my home village"/>
    <m/>
    <s v="This field"/>
    <m/>
    <m/>
    <s v="Labour"/>
    <x v="0"/>
    <s v="Own animals"/>
    <n v="0"/>
    <s v=""/>
    <m/>
    <s v=""/>
    <s v=""/>
    <s v="Yes"/>
    <s v="No"/>
    <m/>
    <n v="0"/>
    <s v=""/>
    <m/>
    <m/>
    <s v=""/>
    <s v=""/>
    <n v="1"/>
    <n v="0"/>
    <s v="10"/>
    <x v="3"/>
    <n v="2"/>
    <s v="Yes"/>
    <n v="3.5"/>
    <s v="Yes"/>
    <n v="1"/>
    <n v="2"/>
    <s v="Yes"/>
    <s v="Rent"/>
    <n v="6.5"/>
    <n v="5.5"/>
    <n v="12"/>
    <s v="Yes"/>
    <s v="Yes"/>
    <s v="Yes"/>
    <s v="No"/>
    <s v="No"/>
    <s v="No"/>
    <n v="10"/>
    <s v="Both"/>
    <n v="7"/>
    <s v="Free range"/>
    <n v="6"/>
    <s v="Free range"/>
    <m/>
    <s v=""/>
    <m/>
    <s v=""/>
    <m/>
    <n v="10.76"/>
    <s v="Medium"/>
    <n v="2"/>
    <n v="3"/>
    <n v="3"/>
    <n v="8"/>
    <n v="0"/>
    <n v="1"/>
    <n v="1"/>
    <m/>
    <n v="83.6"/>
    <s v="High"/>
    <n v="94.36"/>
    <s v="No"/>
    <s v=""/>
    <s v="Yes"/>
    <s v="Casual"/>
    <n v="0.25"/>
    <n v="3.5"/>
    <n v="0"/>
    <s v="No"/>
    <n v="1"/>
    <n v="8"/>
    <s v="Bags"/>
    <n v="1.92"/>
    <m/>
    <n v="999"/>
    <s v="Bags"/>
    <m/>
    <n v="1"/>
    <n v="1.5"/>
    <s v="Bags"/>
    <n v="0.36"/>
    <x v="0"/>
    <s v="Yes"/>
    <s v="No"/>
    <s v="No"/>
    <s v="No"/>
    <n v="1"/>
    <n v="3"/>
    <s v="uuid:c157599c-9ba1-46dd-8e01-b9936e607d44/secG-G2"/>
    <s v="uuid:c157599c-9ba1-46dd-8e01-b9936e607d44/secG-G5"/>
    <n v="-4.2916507720947266"/>
    <n v="35.629604339599609"/>
    <n v="1460.5999755859375"/>
    <n v="10"/>
    <n v="1705231439"/>
    <s v="uuid:c157599c-9ba1-46dd-8e01-b9936e607d44"/>
    <d v="2017-06-22T07:01:28"/>
    <d v="2017-06-13T16:05:12"/>
    <d v="2017-06-22T06:57:45"/>
    <d v="2017-01-09T00:00:00"/>
    <m/>
    <n v="2.2297297297297303"/>
    <n v="1.8618618618618619"/>
    <n v="5.1101754385964924"/>
    <n v="5.0021052631578957"/>
    <m/>
    <s v="FALSEE"/>
    <s v="IP degraded. Soils should show this"/>
    <s v="Streams"/>
    <n v="9.4852285385100004"/>
    <s v="Strong"/>
    <s v="Valley"/>
    <n v="-1.2689781189"/>
    <n v="9.6982078552199997"/>
    <n v="133.02335568728293"/>
    <n v="49.446330665519206"/>
    <n v="0.55100000000000005"/>
    <n v="0.48499999999999999"/>
    <n v="6.6000000000000059E-2"/>
    <n v="5.056140350877194"/>
    <n v="2.045795795795796"/>
    <n v="-3.0103445550813981"/>
    <n v="675.83999999999992"/>
    <n v="245.51999999999998"/>
    <n v="0"/>
    <n v="921.3599999999999"/>
    <n v="63.699999999999996"/>
    <n v="857.65999999999985"/>
  </r>
  <r>
    <s v="Michael"/>
    <n v="79"/>
    <s v="John Arkadi"/>
    <s v="John Arkadi"/>
    <s v="MANDI"/>
    <s v="Samatsi"/>
    <n v="1"/>
    <s v="outfield"/>
    <s v="Feed livestock"/>
    <s v="OffField feed"/>
    <n v="0"/>
    <m/>
    <m/>
    <s v=""/>
    <m/>
    <n v="1"/>
    <s v="Last year"/>
    <n v="3"/>
    <n v="2"/>
    <s v="Other fields in my home village"/>
    <m/>
    <s v="My 'home field' away from here"/>
    <m/>
    <n v="15000"/>
    <s v=""/>
    <x v="0"/>
    <s v="Own animals"/>
    <n v="0"/>
    <s v=""/>
    <m/>
    <s v=""/>
    <s v=""/>
    <s v="Yes"/>
    <s v="No"/>
    <m/>
    <n v="0"/>
    <s v=""/>
    <m/>
    <m/>
    <s v=""/>
    <s v=""/>
    <n v="1"/>
    <n v="0"/>
    <s v="10"/>
    <x v="3"/>
    <n v="2"/>
    <s v="Yes"/>
    <n v="1"/>
    <s v="Yes"/>
    <n v="3"/>
    <n v="5.5"/>
    <s v="No"/>
    <s v=""/>
    <m/>
    <n v="6.5"/>
    <n v="6.5"/>
    <s v="Yes"/>
    <s v="Yes"/>
    <s v="Yes"/>
    <s v="Yes"/>
    <s v="Yes"/>
    <s v="No"/>
    <n v="10"/>
    <s v="Free range"/>
    <n v="4"/>
    <s v="Free range"/>
    <n v="15"/>
    <s v="Free range"/>
    <n v="4"/>
    <s v="Free range"/>
    <n v="2"/>
    <s v="Free range"/>
    <m/>
    <n v="11.55"/>
    <s v="Medium"/>
    <n v="3"/>
    <n v="2"/>
    <n v="5"/>
    <n v="10"/>
    <n v="0"/>
    <n v="1"/>
    <n v="1"/>
    <m/>
    <n v="98.6"/>
    <s v="High"/>
    <n v="110.15"/>
    <s v="Yes"/>
    <s v="Duduback,carte"/>
    <s v="Yes"/>
    <s v="Casual"/>
    <n v="0.25"/>
    <n v="5.25"/>
    <n v="0"/>
    <s v="Yes"/>
    <m/>
    <n v="999"/>
    <s v="Bags"/>
    <m/>
    <m/>
    <n v="999"/>
    <s v="Bags"/>
    <m/>
    <m/>
    <n v="999"/>
    <s v="Bags"/>
    <m/>
    <x v="0"/>
    <s v="Yes"/>
    <s v="No"/>
    <s v="Yes"/>
    <s v="No"/>
    <n v="2"/>
    <n v="4"/>
    <s v="uuid:1e4da6d6-f077-4243-90d4-ca6e68531ecc/secG-G2"/>
    <s v="uuid:1e4da6d6-f077-4243-90d4-ca6e68531ecc/secG-G5"/>
    <n v="-4.3285355567932129"/>
    <n v="35.444652557373047"/>
    <n v="1545.4000244140625"/>
    <n v="5"/>
    <n v="1705231439"/>
    <s v="uuid:1e4da6d6-f077-4243-90d4-ca6e68531ecc"/>
    <d v="2017-07-07T09:17:29"/>
    <d v="2017-06-21T11:39:45"/>
    <d v="2017-07-07T09:11:13"/>
    <d v="2017-01-26T00:00:00"/>
    <m/>
    <n v="2.5609356725146202"/>
    <n v="2.7001169590643275"/>
    <n v="2.9149999999999996"/>
    <n v="3.1799999999999997"/>
    <m/>
    <s v="FALSEE"/>
    <m/>
    <s v="Plains"/>
    <n v="0"/>
    <s v="Depression"/>
    <s v="Flat"/>
    <n v="8.4776775111099995E-6"/>
    <n v="11.4374370575"/>
    <n v="119.26212524697208"/>
    <n v="438.15422545384513"/>
    <n v="1.712"/>
    <n v="2.774"/>
    <n v="-1.0620000000000001"/>
    <n v="3.0474999999999994"/>
    <n v="2.6305263157894738"/>
    <n v="-0.41697368421052561"/>
    <n v="0"/>
    <n v="0"/>
    <n v="0"/>
    <n v="0"/>
    <n v="63.699999999999996"/>
    <n v="-63.699999999999996"/>
  </r>
  <r>
    <s v="Inot Songoyani"/>
    <n v="139"/>
    <s v="Athumani Kisuda Kingo"/>
    <s v="Athumani Kisuda Kingo"/>
    <s v="AYAMANGO"/>
    <s v="Ayamango"/>
    <n v="0"/>
    <s v="Homefield"/>
    <s v="Feed livestock"/>
    <s v="InField feed"/>
    <n v="0"/>
    <m/>
    <m/>
    <s v=""/>
    <m/>
    <n v="1"/>
    <s v="Every year"/>
    <n v="15"/>
    <s v="Variable"/>
    <s v="Other fields in my home village"/>
    <m/>
    <s v="My 'home field' away from here"/>
    <m/>
    <n v="5000"/>
    <s v=""/>
    <x v="1"/>
    <s v=""/>
    <n v="0"/>
    <s v=""/>
    <m/>
    <s v=""/>
    <s v=""/>
    <s v="Yes"/>
    <s v="No"/>
    <s v=""/>
    <n v="0"/>
    <s v=""/>
    <m/>
    <m/>
    <s v=""/>
    <s v=""/>
    <n v="1"/>
    <n v="0"/>
    <s v="10"/>
    <x v="3"/>
    <n v="2"/>
    <s v="Yes"/>
    <n v="0.5"/>
    <s v="Yes"/>
    <n v="3"/>
    <n v="6.75"/>
    <s v="No"/>
    <s v=""/>
    <m/>
    <n v="7.25"/>
    <n v="7.25"/>
    <s v="Yes"/>
    <s v="Yes"/>
    <s v="No"/>
    <s v="No"/>
    <s v="Yes"/>
    <s v="No"/>
    <n v="6"/>
    <s v="Zero grazing"/>
    <n v="26"/>
    <s v="Both"/>
    <m/>
    <s v=""/>
    <m/>
    <s v=""/>
    <n v="10"/>
    <s v="Both"/>
    <m/>
    <n v="11.6"/>
    <s v="Medium"/>
    <n v="2"/>
    <n v="1"/>
    <n v="1"/>
    <n v="4"/>
    <n v="0"/>
    <n v="0"/>
    <n v="0"/>
    <s v=""/>
    <n v="108.75"/>
    <s v="High"/>
    <n v="120.35"/>
    <s v="Yes"/>
    <s v="Karate"/>
    <s v="Yes"/>
    <s v="Casual"/>
    <n v="0.25"/>
    <n v="1"/>
    <m/>
    <s v="Yes"/>
    <n v="3"/>
    <n v="14"/>
    <s v="Bags"/>
    <n v="1.1200000000000001"/>
    <m/>
    <n v="999"/>
    <s v="Bags"/>
    <m/>
    <n v="3"/>
    <n v="6"/>
    <s v="Bags"/>
    <n v="0.48"/>
    <x v="0"/>
    <s v="No"/>
    <s v="No"/>
    <s v="No"/>
    <s v="No"/>
    <n v="0"/>
    <n v="4"/>
    <s v="uuid:18346687-72ea-4b9a-a526-3253e23070b4/secG-G2"/>
    <s v="uuid:18346687-72ea-4b9a-a526-3253e23070b4/secG-G5"/>
    <n v="-4.2229156494140625"/>
    <n v="35.878105163574219"/>
    <n v="1278.300048828125"/>
    <n v="5"/>
    <n v="1706031849"/>
    <s v="uuid:18346687-72ea-4b9a-a526-3253e23070b4"/>
    <d v="2017-06-22T11:03:11"/>
    <d v="2017-06-21T12:37:59"/>
    <d v="2017-06-22T11:01:23"/>
    <d v="2017-02-12T00:00:00"/>
    <m/>
    <m/>
    <n v="7.5716569200779738"/>
    <n v="4.6220272904483437"/>
    <n v="4.1774658869395722"/>
    <n v="1"/>
    <n v="1"/>
    <m/>
    <s v="Plains"/>
    <n v="2.0308978557600001"/>
    <s v="Gentle"/>
    <s v="Flat"/>
    <n v="-0.45320102572400001"/>
    <n v="9.1417102813700009"/>
    <n v="179.88372217450674"/>
    <n v="397.27937468948687"/>
    <n v="1.085"/>
    <n v="1.669"/>
    <n v="-0.58400000000000007"/>
    <n v="4.399746588693958"/>
    <n v="7.5716569200779738"/>
    <n v="3.1719103313840158"/>
    <n v="394.24"/>
    <n v="327.36"/>
    <n v="0"/>
    <n v="721.6"/>
    <n v="0"/>
    <n v="721.6"/>
  </r>
  <r>
    <s v="Michael"/>
    <n v="22"/>
    <s v="Pascali Ng'andia"/>
    <s v="Pascal Ng'andi"/>
    <s v="SABILO"/>
    <s v="Sabilo"/>
    <n v="1.25"/>
    <s v="outfield"/>
    <s v="Feed livestock"/>
    <s v="OffField feed"/>
    <n v="0"/>
    <m/>
    <m/>
    <s v=""/>
    <m/>
    <n v="1"/>
    <s v="Last year"/>
    <n v="5"/>
    <n v="1"/>
    <s v="Other fields in my home village"/>
    <m/>
    <s v="My 'home field' away from here"/>
    <m/>
    <n v="15000"/>
    <s v=""/>
    <x v="0"/>
    <s v="Own animals"/>
    <n v="0"/>
    <s v=""/>
    <m/>
    <s v=""/>
    <s v=""/>
    <s v="Yes"/>
    <s v="No"/>
    <m/>
    <n v="0"/>
    <s v=""/>
    <m/>
    <m/>
    <s v=""/>
    <s v=""/>
    <n v="1"/>
    <n v="0"/>
    <s v="10"/>
    <x v="3"/>
    <n v="2"/>
    <s v="Yes"/>
    <n v="0.5"/>
    <s v="Yes"/>
    <n v="3"/>
    <n v="5"/>
    <s v="No"/>
    <s v=""/>
    <m/>
    <n v="5.5"/>
    <n v="5.5"/>
    <s v="Yes"/>
    <s v="Yes"/>
    <s v="Yes"/>
    <s v="Yes"/>
    <s v="Yes"/>
    <s v="No"/>
    <n v="10"/>
    <s v="Both"/>
    <n v="8"/>
    <s v="Free range"/>
    <n v="10"/>
    <s v="Free range"/>
    <n v="2"/>
    <s v="Free range"/>
    <n v="2"/>
    <s v="Zero grazing"/>
    <m/>
    <n v="11.7"/>
    <s v="Medium"/>
    <n v="3"/>
    <n v="3"/>
    <n v="1"/>
    <n v="7"/>
    <n v="0"/>
    <n v="1"/>
    <n v="1"/>
    <m/>
    <n v="83.6"/>
    <s v="High"/>
    <n v="95.3"/>
    <s v="Yes"/>
    <s v="Kung Fu"/>
    <s v="Yes"/>
    <s v="Multiple"/>
    <n v="1"/>
    <n v="2"/>
    <n v="0"/>
    <s v="Yes"/>
    <n v="1"/>
    <n v="17"/>
    <s v="Bags"/>
    <n v="4.08"/>
    <n v="1"/>
    <n v="1"/>
    <s v="Bags"/>
    <n v="0.24"/>
    <n v="1"/>
    <n v="0"/>
    <s v="Bags"/>
    <n v="0"/>
    <x v="0"/>
    <s v="Yes"/>
    <s v="No"/>
    <s v="No"/>
    <s v="No"/>
    <n v="1"/>
    <n v="2"/>
    <s v="uuid:df259da4-f0fc-43eb-9abd-37831fcef431/secG-G2"/>
    <s v="uuid:df259da4-f0fc-43eb-9abd-37831fcef431/secG-G5"/>
    <n v="-4.3578367233276367"/>
    <n v="35.476325988769531"/>
    <n v="1663.9000244140625"/>
    <n v="15"/>
    <n v="1705231439"/>
    <s v="uuid:df259da4-f0fc-43eb-9abd-37831fcef431"/>
    <d v="2017-06-22T07:01:17"/>
    <d v="2017-06-08T14:49:33"/>
    <d v="2017-06-22T06:53:18"/>
    <d v="2017-01-30T00:00:00"/>
    <m/>
    <n v="3.5077777777777785"/>
    <n v="2.046203703703704"/>
    <n v="1.6939682539682539"/>
    <n v="1.4895238095238095"/>
    <m/>
    <n v="1"/>
    <m/>
    <s v="Plains"/>
    <n v="3.36980676651"/>
    <s v="Gentle"/>
    <s v="Flat"/>
    <n v="-0.45320102572400001"/>
    <n v="10.7425298691"/>
    <m/>
    <n v="39.794211970915427"/>
    <m/>
    <n v="1.3720000000000001"/>
    <m/>
    <n v="1.5917460317460317"/>
    <n v="2.7769907407407413"/>
    <n v="1.1852447089947096"/>
    <n v="1436.16"/>
    <n v="0"/>
    <n v="190.79999999999998"/>
    <n v="1626.96"/>
    <n v="63.699999999999996"/>
    <n v="1563.26"/>
  </r>
  <r>
    <s v="Michael"/>
    <n v="70"/>
    <s v="Andrea Tluway Siday"/>
    <s v="Andrea Tluway Siday"/>
    <s v="Endanachan"/>
    <s v="Orngadida"/>
    <n v="0"/>
    <s v="Homefield"/>
    <s v="Feed livestock"/>
    <s v="OffField feed"/>
    <n v="0"/>
    <m/>
    <m/>
    <s v=""/>
    <m/>
    <n v="1"/>
    <s v="Last year"/>
    <n v="3"/>
    <n v="5.000000074505806E-2"/>
    <s v="Other fields in my home village"/>
    <m/>
    <s v="This field"/>
    <m/>
    <n v="7000"/>
    <s v=""/>
    <x v="0"/>
    <s v="Own animals"/>
    <n v="0"/>
    <s v=""/>
    <m/>
    <s v=""/>
    <s v=""/>
    <s v="Yes"/>
    <s v="No"/>
    <m/>
    <n v="0"/>
    <s v=""/>
    <m/>
    <m/>
    <s v=""/>
    <s v=""/>
    <n v="1"/>
    <n v="0"/>
    <s v="10"/>
    <x v="3"/>
    <n v="2"/>
    <s v="Yes"/>
    <n v="3.5"/>
    <s v="Yes"/>
    <n v="1"/>
    <n v="0.75"/>
    <s v="Yes"/>
    <s v="Rent"/>
    <n v="6.25"/>
    <n v="4.25"/>
    <n v="10.5"/>
    <s v="Yes"/>
    <s v="Yes"/>
    <s v="Yes"/>
    <s v="Yes"/>
    <s v="No"/>
    <s v="No"/>
    <n v="10"/>
    <s v="Both"/>
    <n v="10"/>
    <s v="Zero grazing"/>
    <n v="20"/>
    <s v="Free range"/>
    <n v="6"/>
    <s v="Free range"/>
    <m/>
    <s v=""/>
    <m/>
    <n v="11.799999999999999"/>
    <s v="Medium"/>
    <n v="1"/>
    <n v="1"/>
    <n v="5"/>
    <n v="7"/>
    <n v="0"/>
    <n v="0"/>
    <n v="1"/>
    <m/>
    <n v="64.05"/>
    <s v="High"/>
    <n v="75.849999999999994"/>
    <s v="Yes"/>
    <s v="Carte"/>
    <s v="Yes"/>
    <s v="Casual"/>
    <n v="0.25"/>
    <n v="5.75"/>
    <n v="0"/>
    <s v="Yes"/>
    <m/>
    <n v="999"/>
    <s v="Bags"/>
    <m/>
    <n v="1"/>
    <n v="4"/>
    <s v="Bags"/>
    <n v="0.96"/>
    <m/>
    <n v="999"/>
    <s v="Bags"/>
    <m/>
    <x v="0"/>
    <s v="Yes"/>
    <s v="No"/>
    <s v="Yes"/>
    <s v="No"/>
    <n v="2"/>
    <n v="3"/>
    <s v="uuid:7a7c1839-5e3e-41c1-8d7c-182973210eb2/secG-G2"/>
    <s v="uuid:7a7c1839-5e3e-41c1-8d7c-182973210eb2/secG-G5"/>
    <n v="-4.3501195907592773"/>
    <n v="35.712425231933594"/>
    <n v="1373.4000244140625"/>
    <n v="15"/>
    <n v="1705231439"/>
    <s v="uuid:7a7c1839-5e3e-41c1-8d7c-182973210eb2"/>
    <d v="2017-07-07T09:17:25"/>
    <d v="2017-06-17T10:19:41"/>
    <d v="2017-07-07T09:14:18"/>
    <d v="2017-02-10T00:00:00"/>
    <m/>
    <n v="6.4555555555555566"/>
    <n v="6.7417624521072801"/>
    <n v="4.5600000000000005"/>
    <n v="5.7949999999999999"/>
    <m/>
    <n v="1"/>
    <m/>
    <s v="Plains"/>
    <n v="1.62334883213"/>
    <s v="Very gentle"/>
    <s v="Flat"/>
    <n v="-9.0633422136300004E-2"/>
    <n v="9.0073556900000007"/>
    <n v="386.66987723629484"/>
    <m/>
    <n v="1.1639999999999999"/>
    <m/>
    <m/>
    <n v="5.1775000000000002"/>
    <n v="6.5986590038314183"/>
    <n v="1.4211590038314181"/>
    <n v="0"/>
    <n v="0"/>
    <n v="763.19999999999993"/>
    <n v="763.19999999999993"/>
    <n v="63.699999999999996"/>
    <n v="699.49999999999989"/>
  </r>
  <r>
    <s v="Inot Songoyani"/>
    <n v="100"/>
    <s v="Sophia Salum Banda"/>
    <s v=""/>
    <e v="#N/A"/>
    <s v="Orngadida"/>
    <n v="1"/>
    <s v="outfield"/>
    <s v="Feed livestock"/>
    <s v="OffField feed"/>
    <n v="0"/>
    <m/>
    <m/>
    <s v=""/>
    <m/>
    <n v="1"/>
    <s v="Every year"/>
    <n v="4"/>
    <s v="Variable"/>
    <s v="Other fields in my home village"/>
    <m/>
    <s v="My 'home field' away from here"/>
    <m/>
    <n v="5000"/>
    <s v=""/>
    <x v="0"/>
    <s v="Own animals"/>
    <n v="0"/>
    <s v=""/>
    <m/>
    <s v=""/>
    <s v=""/>
    <s v="Yes"/>
    <s v="No"/>
    <s v=""/>
    <n v="0"/>
    <s v=""/>
    <m/>
    <m/>
    <s v=""/>
    <s v=""/>
    <n v="1"/>
    <n v="0"/>
    <s v="10"/>
    <x v="3"/>
    <n v="2"/>
    <s v="Yes"/>
    <n v="0.125"/>
    <s v="Yes"/>
    <n v="2"/>
    <n v="2"/>
    <s v="Yes"/>
    <s v="Family"/>
    <n v="1"/>
    <n v="2.125"/>
    <n v="3.125"/>
    <s v="Yes"/>
    <s v="No"/>
    <s v="Yes"/>
    <s v="No"/>
    <s v="No"/>
    <s v="No"/>
    <n v="12"/>
    <s v="Both"/>
    <m/>
    <s v=""/>
    <n v="7"/>
    <s v="Both"/>
    <m/>
    <s v=""/>
    <m/>
    <s v=""/>
    <m/>
    <n v="12.07"/>
    <s v="Medium"/>
    <n v="0"/>
    <n v="1"/>
    <n v="2"/>
    <n v="3"/>
    <n v="0"/>
    <n v="0"/>
    <n v="0"/>
    <m/>
    <n v="31.875"/>
    <s v="Medium"/>
    <n v="43.945"/>
    <s v="No"/>
    <s v=""/>
    <s v="Yes"/>
    <s v="Casual"/>
    <n v="0.25"/>
    <n v="0.75"/>
    <n v="0"/>
    <s v="Yes"/>
    <n v="1"/>
    <n v="13"/>
    <s v="Bags"/>
    <n v="3.12"/>
    <m/>
    <n v="999"/>
    <s v="Bags"/>
    <m/>
    <n v="1"/>
    <n v="3"/>
    <s v="Bags"/>
    <n v="0.72"/>
    <x v="1"/>
    <s v="No"/>
    <s v="No"/>
    <s v="No"/>
    <s v="No"/>
    <n v="1"/>
    <n v="3"/>
    <s v="uuid:d74e293a-450b-4c11-a9fb-1d6be89181aa/secG-G2"/>
    <s v="uuid:d74e293a-450b-4c11-a9fb-1d6be89181aa/secG-G5"/>
    <n v="-4.2963933944702148"/>
    <n v="35.861850738525391"/>
    <n v="1264.300048828125"/>
    <n v="5"/>
    <n v="1705231439"/>
    <s v="uuid:d74e293a-450b-4c11-a9fb-1d6be89181aa"/>
    <d v="2017-08-03T23:09:51"/>
    <d v="2017-06-06T16:08:06"/>
    <d v="2017-08-03T22:06:13"/>
    <d v="2017-02-10T00:00:00"/>
    <m/>
    <m/>
    <m/>
    <m/>
    <m/>
    <m/>
    <n v="1"/>
    <m/>
    <s v="Plains"/>
    <n v="1.00692403316"/>
    <s v="Very gentle"/>
    <s v="Toeslope"/>
    <n v="-0.63448482751799995"/>
    <n v="12.447251319899999"/>
    <m/>
    <m/>
    <m/>
    <m/>
    <m/>
    <m/>
    <m/>
    <m/>
    <n v="1098.24"/>
    <n v="491.03999999999996"/>
    <n v="0"/>
    <n v="1589.28"/>
    <n v="63.699999999999996"/>
    <n v="1525.58"/>
  </r>
  <r>
    <s v="Michael"/>
    <n v="23"/>
    <s v="Silvinia Anthony"/>
    <s v="Silvinia Anthony"/>
    <s v="SABILO"/>
    <s v="Sabilo"/>
    <n v="0.20000000298023224"/>
    <s v="Midfield"/>
    <s v="Feed livestock"/>
    <s v="OffField feed"/>
    <n v="0"/>
    <m/>
    <m/>
    <s v=""/>
    <m/>
    <n v="1"/>
    <s v="Last year"/>
    <n v="6"/>
    <n v="2"/>
    <s v="Other fields in my home village"/>
    <m/>
    <s v="My 'home field' away from here"/>
    <m/>
    <n v="20000"/>
    <s v=""/>
    <x v="0"/>
    <s v="Own animals"/>
    <n v="0"/>
    <s v=""/>
    <m/>
    <s v=""/>
    <s v=""/>
    <s v="Yes"/>
    <s v="No"/>
    <m/>
    <n v="0"/>
    <s v=""/>
    <m/>
    <m/>
    <s v=""/>
    <s v=""/>
    <n v="1"/>
    <n v="0"/>
    <s v="10"/>
    <x v="3"/>
    <n v="2"/>
    <s v="Yes"/>
    <n v="1"/>
    <s v="Yes"/>
    <n v="3"/>
    <n v="5"/>
    <s v="No"/>
    <s v=""/>
    <m/>
    <n v="6"/>
    <n v="6"/>
    <s v="Yes"/>
    <s v="Yes"/>
    <s v="Yes"/>
    <s v="Yes"/>
    <s v="No"/>
    <s v="Yes"/>
    <n v="10"/>
    <s v="Free range"/>
    <n v="9"/>
    <s v="Free range"/>
    <n v="5"/>
    <s v="Free range"/>
    <n v="8"/>
    <s v="Free range"/>
    <m/>
    <s v=""/>
    <n v="2"/>
    <n v="12.550000000000002"/>
    <s v="Medium"/>
    <n v="1"/>
    <n v="1"/>
    <n v="6"/>
    <n v="8"/>
    <n v="0"/>
    <n v="1"/>
    <n v="1"/>
    <m/>
    <n v="91.1"/>
    <s v="High"/>
    <n v="103.65"/>
    <s v="Yes"/>
    <s v="Carte"/>
    <s v="Yes"/>
    <s v="Multiple"/>
    <n v="0.25"/>
    <n v="4.75"/>
    <n v="0"/>
    <s v="Yes"/>
    <m/>
    <n v="999"/>
    <s v="Bags"/>
    <m/>
    <m/>
    <n v="999"/>
    <s v="Bags"/>
    <m/>
    <m/>
    <n v="999"/>
    <s v="Bags"/>
    <m/>
    <x v="1"/>
    <s v="Yes"/>
    <s v="Yes"/>
    <s v="Yes"/>
    <s v="Yes"/>
    <n v="5"/>
    <n v="3"/>
    <s v="uuid:32dc215a-45e8-4419-bd4c-719f69492056/secG-G2"/>
    <s v="uuid:32dc215a-45e8-4419-bd4c-719f69492056/secG-G5"/>
    <n v="-4.3527083396911621"/>
    <n v="35.471397399902344"/>
    <n v="1654.9000244140625"/>
    <n v="15"/>
    <n v="1705231439"/>
    <s v="uuid:32dc215a-45e8-4419-bd4c-719f69492056"/>
    <d v="2017-06-22T07:01:16"/>
    <d v="2017-06-08T12:08:21"/>
    <d v="2017-06-22T06:53:04"/>
    <d v="2017-02-06T00:00:00"/>
    <m/>
    <n v="8.67686274509804"/>
    <n v="8.0635294117647067"/>
    <n v="2.125"/>
    <n v="5.1416666666666666"/>
    <m/>
    <n v="1"/>
    <m/>
    <s v="Plains"/>
    <n v="3.93959927559"/>
    <s v="Gentle"/>
    <s v="Toeslope"/>
    <n v="-0.725126743317"/>
    <n v="9.2705640792799997"/>
    <n v="344.32939073946693"/>
    <n v="188.70457211344129"/>
    <n v="2"/>
    <n v="1.8620000000000001"/>
    <n v="0.1379999999999999"/>
    <n v="3.6333333333333333"/>
    <n v="8.3701960784313734"/>
    <n v="4.7368627450980405"/>
    <n v="0"/>
    <n v="0"/>
    <n v="0"/>
    <n v="0"/>
    <n v="63.699999999999996"/>
    <n v="-63.699999999999996"/>
  </r>
  <r>
    <s v="Inot Songoyani"/>
    <n v="118"/>
    <s v="Costastuno Bombo Magai"/>
    <s v="Costastuno Bombo Magai"/>
    <s v="AYAMANGO"/>
    <s v="Ayamango"/>
    <n v="0"/>
    <s v="Homefield"/>
    <s v="Feed livestock"/>
    <s v="OffField feed"/>
    <n v="0"/>
    <m/>
    <m/>
    <s v=""/>
    <m/>
    <n v="1"/>
    <s v="Every year"/>
    <n v="2"/>
    <s v="Variable"/>
    <s v="Other fields in my home village"/>
    <m/>
    <s v="My 'home field' away from here"/>
    <m/>
    <m/>
    <s v="Free"/>
    <x v="0"/>
    <s v="Own animals"/>
    <n v="0"/>
    <s v=""/>
    <m/>
    <s v=""/>
    <s v=""/>
    <s v="No"/>
    <s v="No"/>
    <s v=""/>
    <n v="0"/>
    <s v=""/>
    <m/>
    <m/>
    <s v=""/>
    <s v=""/>
    <n v="1"/>
    <n v="0"/>
    <s v="10"/>
    <x v="3"/>
    <n v="2"/>
    <s v="Yes"/>
    <n v="1"/>
    <s v="Yes"/>
    <n v="2"/>
    <n v="2.5"/>
    <s v="Yes"/>
    <s v="Rent"/>
    <n v="1"/>
    <n v="3.5"/>
    <n v="4.5"/>
    <s v="Yes"/>
    <s v="Yes"/>
    <s v="Yes"/>
    <s v="Yes"/>
    <s v="No"/>
    <s v="No"/>
    <n v="10"/>
    <s v="Both"/>
    <n v="20"/>
    <s v="Both"/>
    <n v="25"/>
    <s v="Both"/>
    <n v="6"/>
    <s v="Both"/>
    <m/>
    <s v=""/>
    <m/>
    <n v="12.85"/>
    <s v="Medium"/>
    <n v="1"/>
    <n v="1"/>
    <n v="2"/>
    <n v="4"/>
    <n v="0"/>
    <n v="0"/>
    <n v="1"/>
    <m/>
    <n v="52.8"/>
    <s v="Medium"/>
    <n v="65.650000000000006"/>
    <s v="Yes"/>
    <s v="Karate"/>
    <s v="Yes"/>
    <s v="Casual"/>
    <n v="0.25"/>
    <m/>
    <n v="0.5"/>
    <s v="Yes"/>
    <n v="0.25"/>
    <n v="1.5"/>
    <s v="Bags"/>
    <n v="1.4400000000000002"/>
    <m/>
    <n v="999"/>
    <s v="Bags"/>
    <m/>
    <n v="0.25"/>
    <n v="2.5"/>
    <s v="Gorogoro"/>
    <n v="0.40079999999999999"/>
    <x v="1"/>
    <s v="Yes"/>
    <s v="Yes"/>
    <s v="Yes"/>
    <s v="Yes"/>
    <n v="5"/>
    <n v="3"/>
    <s v="uuid:3d96e79f-1458-410e-bfc4-190a5064db54/secG-G2"/>
    <s v="uuid:3d96e79f-1458-410e-bfc4-190a5064db54/secG-G5"/>
    <n v="-4.2385525703430176"/>
    <n v="35.887550354003906"/>
    <n v="1242.9000244140625"/>
    <n v="5"/>
    <n v="1706031849"/>
    <s v="uuid:3d96e79f-1458-410e-bfc4-190a5064db54"/>
    <d v="2017-06-20T11:58:32"/>
    <d v="2017-06-19T12:11:19"/>
    <d v="2017-06-19T12:27:07"/>
    <d v="2017-02-03T00:00:00"/>
    <m/>
    <n v="8.8350997150997159"/>
    <n v="7.7997364672364675"/>
    <n v="7.3412186379928315"/>
    <n v="6.5032258064516126"/>
    <n v="2"/>
    <n v="1"/>
    <m/>
    <s v="Open slopes"/>
    <n v="9.2816181182899999"/>
    <s v="Strong"/>
    <s v="Toeslope"/>
    <n v="-0.725126743317"/>
    <n v="6.8796205520599996"/>
    <n v="305.83218609577881"/>
    <n v="570.58508573167853"/>
    <n v="1.181"/>
    <n v="1.784"/>
    <n v="-0.60299999999999998"/>
    <n v="6.9222222222222225"/>
    <n v="8.3174180911680917"/>
    <n v="1.3951958689458692"/>
    <n v="506.88000000000005"/>
    <n v="273.34559999999999"/>
    <n v="0"/>
    <n v="780.22559999999999"/>
    <n v="63.699999999999996"/>
    <n v="716.52559999999994"/>
  </r>
  <r>
    <s v="Michael"/>
    <n v="68"/>
    <s v="Bura Domu"/>
    <s v="Bura Domu"/>
    <s v="SOLETO"/>
    <s v="Seloto"/>
    <n v="0"/>
    <s v="Homefield"/>
    <s v="Feed livestock"/>
    <s v="OffField feed"/>
    <n v="0"/>
    <m/>
    <m/>
    <s v=""/>
    <m/>
    <n v="1"/>
    <s v="Last year"/>
    <n v="15"/>
    <n v="0.5"/>
    <s v="Other fields in my home village"/>
    <m/>
    <s v="This field"/>
    <m/>
    <n v="6000"/>
    <s v=""/>
    <x v="0"/>
    <s v="Own animals"/>
    <n v="0"/>
    <s v=""/>
    <m/>
    <s v=""/>
    <s v=""/>
    <s v="Yes"/>
    <s v="No"/>
    <m/>
    <n v="0"/>
    <s v=""/>
    <m/>
    <m/>
    <s v=""/>
    <s v=""/>
    <n v="1"/>
    <n v="0"/>
    <s v="10"/>
    <x v="3"/>
    <n v="2"/>
    <s v="Yes"/>
    <n v="1"/>
    <s v="Yes"/>
    <n v="2"/>
    <n v="4.5"/>
    <s v="Yes"/>
    <s v="Rent"/>
    <n v="9.5"/>
    <n v="5.5"/>
    <n v="15"/>
    <s v="Yes"/>
    <s v="Yes"/>
    <s v="Yes"/>
    <s v="Yes"/>
    <s v="Yes"/>
    <s v="No"/>
    <n v="10"/>
    <s v="Both"/>
    <n v="5"/>
    <s v="Free range"/>
    <n v="5"/>
    <s v="Free range"/>
    <n v="8"/>
    <s v="Free range"/>
    <n v="5"/>
    <s v="Zero grazing"/>
    <m/>
    <n v="12.850000000000001"/>
    <s v="Medium"/>
    <n v="2"/>
    <n v="2"/>
    <n v="6"/>
    <n v="10"/>
    <n v="0"/>
    <n v="1"/>
    <n v="2"/>
    <m/>
    <n v="83.9"/>
    <s v="High"/>
    <n v="96.75"/>
    <s v="No"/>
    <s v=""/>
    <s v="Yes"/>
    <s v="Multiple"/>
    <n v="0.75"/>
    <n v="8.5"/>
    <n v="0"/>
    <s v="No"/>
    <n v="1"/>
    <n v="8"/>
    <s v="Bags"/>
    <n v="1.92"/>
    <n v="1"/>
    <n v="0"/>
    <s v="Bags"/>
    <n v="0"/>
    <n v="1"/>
    <n v="1"/>
    <s v="Bags"/>
    <n v="0.24"/>
    <x v="1"/>
    <s v="No"/>
    <s v="No"/>
    <s v="No"/>
    <s v="Yes"/>
    <n v="2"/>
    <n v="3"/>
    <s v="uuid:4320cd48-6f79-41b2-ba4d-f7312511bc9e/secG-G2"/>
    <s v="uuid:4320cd48-6f79-41b2-ba4d-f7312511bc9e/secG-G5"/>
    <n v="-4.2564525604248047"/>
    <n v="35.521675109863281"/>
    <n v="1622.199951171875"/>
    <n v="10"/>
    <n v="1705231439"/>
    <s v="uuid:4320cd48-6f79-41b2-ba4d-f7312511bc9e"/>
    <d v="2017-07-07T09:17:24"/>
    <d v="2017-06-16T11:03:49"/>
    <d v="2017-07-07T09:14:55"/>
    <d v="2017-01-18T00:00:00"/>
    <m/>
    <n v="5.6288888888888886"/>
    <n v="6.0066666666666668"/>
    <n v="4.6545777777777779"/>
    <n v="4.4284444444444446"/>
    <m/>
    <n v="1"/>
    <m/>
    <s v="Plains"/>
    <n v="1.7775242328600001"/>
    <s v="Very gentle"/>
    <s v="Flat"/>
    <n v="-0.45320102572400001"/>
    <n v="11.0366611481"/>
    <n v="444.63520316124055"/>
    <n v="593.92402714543437"/>
    <n v="1.8720000000000001"/>
    <n v="2.4180000000000001"/>
    <n v="-0.54600000000000004"/>
    <n v="4.5415111111111113"/>
    <n v="5.8177777777777777"/>
    <n v="1.2762666666666664"/>
    <n v="675.83999999999992"/>
    <n v="163.68"/>
    <n v="0"/>
    <n v="839.52"/>
    <n v="63.699999999999996"/>
    <n v="775.81999999999994"/>
  </r>
  <r>
    <s v="Michael"/>
    <n v="17"/>
    <s v="Lindael Paulo"/>
    <s v="Lindael Paulo"/>
    <s v="SABILO"/>
    <s v="Sabilo"/>
    <n v="0"/>
    <s v="Homefield"/>
    <s v="Feed livestock"/>
    <s v="OffField feed"/>
    <n v="0"/>
    <m/>
    <m/>
    <s v=""/>
    <m/>
    <n v="1"/>
    <s v="Last year"/>
    <n v="9"/>
    <n v="1.5"/>
    <s v="Fields about 1 km away from my village"/>
    <m/>
    <s v="This field"/>
    <m/>
    <m/>
    <s v="Labour"/>
    <x v="0"/>
    <s v="Own animals"/>
    <n v="0"/>
    <s v=""/>
    <m/>
    <s v=""/>
    <s v=""/>
    <s v="Yes"/>
    <s v="No"/>
    <m/>
    <n v="0"/>
    <s v=""/>
    <m/>
    <m/>
    <s v=""/>
    <s v=""/>
    <n v="1"/>
    <n v="0"/>
    <s v="10"/>
    <x v="3"/>
    <n v="2"/>
    <s v="Yes"/>
    <n v="3"/>
    <s v="Yes"/>
    <n v="2"/>
    <n v="7"/>
    <s v="Yes"/>
    <s v="Tenure"/>
    <n v="10"/>
    <n v="10"/>
    <n v="20"/>
    <s v="Yes"/>
    <s v="Yes"/>
    <s v="Yes"/>
    <s v="Yes"/>
    <s v="Yes"/>
    <s v="Yes"/>
    <n v="8"/>
    <s v="Free range"/>
    <n v="12"/>
    <s v="Free range"/>
    <n v="8"/>
    <s v="Free range"/>
    <n v="9"/>
    <s v="Free range"/>
    <n v="12"/>
    <s v="Zero grazing"/>
    <n v="2"/>
    <n v="14.58"/>
    <s v="High"/>
    <n v="7"/>
    <n v="2"/>
    <n v="4"/>
    <n v="13"/>
    <n v="0"/>
    <n v="1"/>
    <n v="1"/>
    <s v=""/>
    <n v="151.1"/>
    <s v="High"/>
    <n v="165.68"/>
    <s v="No"/>
    <s v=""/>
    <s v="No"/>
    <s v=""/>
    <n v="0.75"/>
    <n v="2.5"/>
    <n v="0"/>
    <s v="Yes"/>
    <n v="1"/>
    <n v="16"/>
    <s v="Bags"/>
    <n v="3.84"/>
    <n v="1"/>
    <n v="0"/>
    <s v="Bags"/>
    <n v="0"/>
    <n v="1"/>
    <n v="0"/>
    <s v="Bags"/>
    <n v="0"/>
    <x v="1"/>
    <s v="No"/>
    <s v="No"/>
    <s v="No"/>
    <s v="No"/>
    <n v="1"/>
    <n v="1"/>
    <s v="uuid:f5ed25ca-b1be-43f1-9d2b-2b497909719b/secG-G2"/>
    <s v="uuid:f5ed25ca-b1be-43f1-9d2b-2b497909719b/secG-G5"/>
    <n v="-4.3426685333251953"/>
    <n v="35.492160797119141"/>
    <n v="1616.0999755859375"/>
    <n v="15"/>
    <n v="1705231439"/>
    <s v="uuid:f5ed25ca-b1be-43f1-9d2b-2b497909719b"/>
    <d v="2017-06-22T07:01:12"/>
    <d v="2017-06-07T12:48:48"/>
    <d v="2017-06-22T06:52:16"/>
    <d v="2017-02-04T00:00:00"/>
    <m/>
    <n v="2.7817777777777781"/>
    <n v="4.9313333333333329"/>
    <n v="3.0338333333333338"/>
    <n v="3.0338333333333338"/>
    <m/>
    <n v="1"/>
    <m/>
    <s v="Midslope ridges"/>
    <n v="3.07292437553"/>
    <s v="Gentle"/>
    <s v="Ridge"/>
    <n v="1.26899504662"/>
    <n v="7.5729436874399996"/>
    <n v="425.96863985475915"/>
    <n v="122.37268220726635"/>
    <n v="1.462"/>
    <n v="1.8169999999999999"/>
    <n v="-0.35499999999999998"/>
    <n v="3.0338333333333338"/>
    <n v="3.8565555555555555"/>
    <n v="0.82272222222222169"/>
    <n v="1351.6799999999998"/>
    <n v="0"/>
    <n v="0"/>
    <n v="1351.6799999999998"/>
    <n v="63.699999999999996"/>
    <n v="1287.9799999999998"/>
  </r>
  <r>
    <s v="Inot Songoyani"/>
    <n v="5"/>
    <s v="Huseni Saidi Haray"/>
    <s v=""/>
    <e v="#N/A"/>
    <s v="Orngadida"/>
    <n v="1"/>
    <s v="outfield"/>
    <s v="Feed livestock"/>
    <s v="OffField feed"/>
    <n v="0"/>
    <m/>
    <m/>
    <s v=""/>
    <m/>
    <n v="1"/>
    <s v="Last year"/>
    <n v="20"/>
    <n v="1"/>
    <s v="Other fields in my home village"/>
    <m/>
    <s v="This field"/>
    <m/>
    <n v="5000"/>
    <s v=""/>
    <x v="0"/>
    <s v="Own animals"/>
    <n v="0"/>
    <s v=""/>
    <m/>
    <s v=""/>
    <s v=""/>
    <s v="No"/>
    <s v="No"/>
    <s v=""/>
    <n v="0"/>
    <s v=""/>
    <m/>
    <m/>
    <s v=""/>
    <s v=""/>
    <n v="1"/>
    <n v="0"/>
    <s v="10"/>
    <x v="3"/>
    <n v="2"/>
    <s v="Yes"/>
    <n v="1"/>
    <s v="Yes"/>
    <n v="2"/>
    <n v="8"/>
    <s v="No"/>
    <s v=""/>
    <m/>
    <n v="9"/>
    <n v="9"/>
    <s v="Yes"/>
    <s v="Yes"/>
    <s v="No"/>
    <s v="Yes"/>
    <s v="No"/>
    <s v="No"/>
    <n v="14"/>
    <s v="Both"/>
    <n v="6"/>
    <s v="Free range"/>
    <m/>
    <s v=""/>
    <n v="3"/>
    <s v="Free range"/>
    <m/>
    <s v=""/>
    <m/>
    <n v="14.9"/>
    <s v="High"/>
    <n v="4"/>
    <n v="2"/>
    <n v="7"/>
    <n v="13"/>
    <n v="0"/>
    <n v="1"/>
    <n v="1"/>
    <s v=""/>
    <n v="136.1"/>
    <s v="High"/>
    <n v="151"/>
    <s v="No"/>
    <s v=""/>
    <s v="Yes"/>
    <s v="Casual"/>
    <n v="0.25"/>
    <m/>
    <n v="0.25"/>
    <s v="No"/>
    <n v="1"/>
    <n v="15"/>
    <s v="Bags"/>
    <n v="3.5999999999999996"/>
    <m/>
    <n v="999"/>
    <s v="Bags"/>
    <m/>
    <n v="1"/>
    <n v="4"/>
    <s v="Bags"/>
    <n v="0.96"/>
    <x v="0"/>
    <s v="No"/>
    <s v="No"/>
    <s v="No"/>
    <s v="No"/>
    <n v="0"/>
    <n v="3"/>
    <s v="uuid:eaabe75c-55ce-4728-ac7b-4715433bea56/secG-G2"/>
    <s v="uuid:eaabe75c-55ce-4728-ac7b-4715433bea56/secG-G5"/>
    <n v="-4.2934598922729492"/>
    <n v="35.852897644042969"/>
    <n v="1280.0999755859375"/>
    <n v="5"/>
    <n v="1705231439"/>
    <s v="uuid:eaabe75c-55ce-4728-ac7b-4715433bea56"/>
    <d v="2017-06-07T14:17:11"/>
    <d v="2017-06-06T11:58:55"/>
    <d v="2017-06-06T17:09:28"/>
    <d v="2014-03-25T00:00:00"/>
    <m/>
    <m/>
    <m/>
    <m/>
    <m/>
    <m/>
    <n v="1"/>
    <m/>
    <s v="Plains"/>
    <n v="1.3508191108700001"/>
    <s v="Very gentle"/>
    <s v="Flat"/>
    <n v="0.45321798324599999"/>
    <n v="8.6629858016999997"/>
    <m/>
    <m/>
    <m/>
    <m/>
    <m/>
    <m/>
    <m/>
    <m/>
    <n v="1267.1999999999998"/>
    <n v="654.72"/>
    <n v="0"/>
    <n v="1921.9199999999998"/>
    <n v="63.699999999999996"/>
    <n v="1858.2199999999998"/>
  </r>
  <r>
    <s v="Michael"/>
    <n v="50"/>
    <s v="Augustine Ama"/>
    <s v="Augustino Ama"/>
    <s v="MANDI"/>
    <s v="Samatsi"/>
    <n v="0"/>
    <s v="Homefield"/>
    <s v="Feed livestock"/>
    <s v="OffField feed"/>
    <n v="0"/>
    <m/>
    <m/>
    <s v=""/>
    <m/>
    <n v="1"/>
    <s v="Last year"/>
    <n v="6"/>
    <n v="1.2000000476837158"/>
    <s v="Other fields in my home village"/>
    <m/>
    <s v="This field"/>
    <m/>
    <n v="10000"/>
    <s v=""/>
    <x v="0"/>
    <s v="Own animals"/>
    <n v="0"/>
    <s v=""/>
    <m/>
    <s v=""/>
    <s v=""/>
    <s v="Yes"/>
    <s v="No"/>
    <m/>
    <n v="0"/>
    <s v=""/>
    <m/>
    <m/>
    <s v=""/>
    <s v=""/>
    <n v="1"/>
    <n v="0"/>
    <s v="10"/>
    <x v="3"/>
    <n v="2"/>
    <s v="Yes"/>
    <n v="4"/>
    <s v="Yes"/>
    <n v="1"/>
    <n v="3"/>
    <s v="Yes"/>
    <s v="Rent"/>
    <n v="9"/>
    <n v="7"/>
    <n v="16"/>
    <s v="Yes"/>
    <s v="Yes"/>
    <s v="Yes"/>
    <s v="Yes"/>
    <s v="Yes"/>
    <s v="No"/>
    <n v="9"/>
    <s v="Both"/>
    <n v="12"/>
    <s v="Free range"/>
    <n v="10"/>
    <s v="Free range"/>
    <n v="22"/>
    <s v="Free range"/>
    <n v="11"/>
    <s v="Free range"/>
    <m/>
    <n v="15.8"/>
    <s v="High"/>
    <n v="5"/>
    <n v="2"/>
    <n v="2"/>
    <n v="9"/>
    <n v="0"/>
    <n v="1"/>
    <n v="1"/>
    <m/>
    <n v="106.1"/>
    <s v="High"/>
    <n v="121.9"/>
    <s v="Yes"/>
    <s v="Carte"/>
    <s v="Yes"/>
    <s v="Multiple"/>
    <n v="0.25"/>
    <n v="8.25"/>
    <n v="0"/>
    <s v="Yes"/>
    <n v="1"/>
    <n v="9"/>
    <s v="Bags"/>
    <n v="2.16"/>
    <n v="1"/>
    <n v="0.75"/>
    <s v="Bags"/>
    <n v="0.18"/>
    <m/>
    <n v="999"/>
    <s v="Bags"/>
    <m/>
    <x v="1"/>
    <s v="No"/>
    <s v="Yes"/>
    <s v="No"/>
    <s v="Yes"/>
    <n v="3"/>
    <n v="2"/>
    <s v="uuid:d5992e30-edd0-41a3-bf20-9cf5decc52e6/secG-G2"/>
    <s v="uuid:d5992e30-edd0-41a3-bf20-9cf5decc52e6/secG-G5"/>
    <n v="-4.3397197723388672"/>
    <n v="35.431865692138672"/>
    <n v="1596"/>
    <n v="5"/>
    <n v="1705231439"/>
    <s v="uuid:d5992e30-edd0-41a3-bf20-9cf5decc52e6"/>
    <d v="2017-07-07T09:09:40"/>
    <d v="2017-06-22T09:33:19"/>
    <d v="2017-06-22T10:21:16"/>
    <d v="2017-02-28T00:00:00"/>
    <m/>
    <n v="3.604285714285715"/>
    <n v="2.5697222222222225"/>
    <n v="3.9713888888888893"/>
    <n v="2.6030952380952384"/>
    <m/>
    <s v="FALSEE"/>
    <m/>
    <s v="Plains"/>
    <n v="2.5459241867100002"/>
    <s v="Gentle"/>
    <s v="Flat"/>
    <n v="-0.27191722393000001"/>
    <n v="11.442844390899999"/>
    <n v="588.81602542495318"/>
    <n v="213.43832041219258"/>
    <n v="1.3049999999999999"/>
    <n v="0.95499999999999996"/>
    <n v="0.35"/>
    <n v="3.287242063492064"/>
    <n v="3.0870039682539687"/>
    <n v="-0.20023809523809533"/>
    <n v="760.32"/>
    <n v="0"/>
    <n v="143.1"/>
    <n v="903.42000000000007"/>
    <n v="63.699999999999996"/>
    <n v="839.72"/>
  </r>
  <r>
    <s v="Inot Songoyani"/>
    <n v="12"/>
    <s v="Eduward Tarmo Yuructa endanoga"/>
    <s v="Eduward Tarmo Yuructa "/>
    <s v="ENDANOGA"/>
    <s v="Endanoga"/>
    <n v="2"/>
    <s v="outfield"/>
    <s v="Feed livestock"/>
    <s v="InField feed"/>
    <n v="0"/>
    <m/>
    <m/>
    <s v=""/>
    <m/>
    <n v="1"/>
    <s v="Every year"/>
    <n v="12"/>
    <n v="5"/>
    <s v="Other fields in my home village"/>
    <m/>
    <s v="Other, Specify"/>
    <n v="333"/>
    <m/>
    <s v="Free"/>
    <x v="1"/>
    <s v=""/>
    <n v="0"/>
    <s v=""/>
    <m/>
    <s v=""/>
    <s v=""/>
    <s v="No"/>
    <s v="No"/>
    <s v=""/>
    <n v="0"/>
    <s v=""/>
    <m/>
    <m/>
    <s v=""/>
    <s v=""/>
    <n v="1"/>
    <n v="0"/>
    <s v="10"/>
    <x v="3"/>
    <n v="2"/>
    <s v="Yes"/>
    <n v="4"/>
    <s v="Yes"/>
    <n v="3"/>
    <n v="4.75"/>
    <s v="Yes"/>
    <s v="Rent"/>
    <n v="3"/>
    <n v="8.75"/>
    <n v="11.75"/>
    <s v="Yes"/>
    <s v="Yes"/>
    <s v="Yes"/>
    <s v="Yes"/>
    <s v="No"/>
    <s v="No"/>
    <n v="16"/>
    <s v="Both"/>
    <n v="4"/>
    <s v="Both"/>
    <n v="20"/>
    <s v="Both"/>
    <n v="12"/>
    <s v="Both"/>
    <m/>
    <s v=""/>
    <m/>
    <n v="17.799999999999997"/>
    <s v="High"/>
    <n v="3"/>
    <n v="1"/>
    <n v="5"/>
    <n v="9"/>
    <n v="0"/>
    <n v="1"/>
    <n v="1"/>
    <s v=""/>
    <n v="132.35"/>
    <s v="High"/>
    <n v="150.15"/>
    <s v="Yes"/>
    <s v="Karate, duduba"/>
    <s v="No"/>
    <s v=""/>
    <n v="0.25"/>
    <n v="2"/>
    <n v="0"/>
    <s v="Yes"/>
    <n v="1"/>
    <n v="3.5"/>
    <s v="Bags"/>
    <n v="0.84000000000000008"/>
    <m/>
    <n v="999"/>
    <s v="Bags"/>
    <m/>
    <n v="1"/>
    <n v="3"/>
    <s v="Bags"/>
    <n v="0.72"/>
    <x v="0"/>
    <s v="No"/>
    <s v="Yes"/>
    <s v="No"/>
    <s v="No"/>
    <n v="1"/>
    <n v="5"/>
    <s v="uuid:de823ca2-acfb-498f-902b-e279459ba0a8/secG-G2"/>
    <s v="uuid:de823ca2-acfb-498f-902b-e279459ba0a8/secG-G5"/>
    <n v="-4.2597823143005371"/>
    <n v="35.859699249267578"/>
    <n v="1312.5"/>
    <n v="5"/>
    <n v="1705231439"/>
    <s v="uuid:de823ca2-acfb-498f-902b-e279459ba0a8"/>
    <d v="2017-06-07T14:56:26"/>
    <d v="2017-06-07T13:27:50"/>
    <d v="2017-06-07T14:55:44"/>
    <d v="2017-02-28T00:00:00"/>
    <m/>
    <n v="3.6173429951690821"/>
    <n v="3.9817971014492755"/>
    <n v="2.0398550724637681"/>
    <m/>
    <m/>
    <n v="1"/>
    <m/>
    <s v="Plains"/>
    <n v="2.3941514491999998"/>
    <s v="Gentle"/>
    <s v="Flat"/>
    <n v="-0.362559139729"/>
    <n v="10.828481674200001"/>
    <m/>
    <n v="270.93539991438399"/>
    <m/>
    <n v="1.2869999999999999"/>
    <m/>
    <n v="2.0398550724637681"/>
    <n v="3.799570048309179"/>
    <n v="1.7597149758454109"/>
    <n v="295.68"/>
    <n v="491.03999999999996"/>
    <n v="0"/>
    <n v="786.72"/>
    <n v="0"/>
    <n v="786.72"/>
  </r>
  <r>
    <s v="Michael"/>
    <n v="53"/>
    <s v="Simon Joseph"/>
    <s v="Simon Joseph"/>
    <s v="MANDI"/>
    <s v="Samatsi"/>
    <n v="0"/>
    <s v="Homefield"/>
    <s v="Feed livestock"/>
    <s v="OffField feed"/>
    <n v="0"/>
    <m/>
    <m/>
    <s v=""/>
    <m/>
    <n v="1"/>
    <s v="Last year"/>
    <n v="9"/>
    <n v="3"/>
    <s v="Other fields in my home village"/>
    <m/>
    <s v="This field"/>
    <m/>
    <n v="13000"/>
    <s v="Labour"/>
    <x v="0"/>
    <s v="Own animals"/>
    <n v="0"/>
    <s v=""/>
    <m/>
    <s v=""/>
    <s v=""/>
    <s v="Yes"/>
    <s v="No"/>
    <m/>
    <n v="0"/>
    <s v=""/>
    <m/>
    <m/>
    <s v=""/>
    <s v=""/>
    <n v="1"/>
    <n v="0"/>
    <s v="10"/>
    <x v="3"/>
    <n v="2"/>
    <s v="Yes"/>
    <n v="3"/>
    <s v="Yes"/>
    <n v="5"/>
    <n v="3"/>
    <s v="Yes"/>
    <s v="Rent"/>
    <n v="6.5"/>
    <n v="6"/>
    <n v="12.5"/>
    <s v="Yes"/>
    <s v="Yes"/>
    <s v="Yes"/>
    <s v="Yes"/>
    <s v="No"/>
    <s v="Yes"/>
    <n v="18"/>
    <s v="Free range"/>
    <n v="8"/>
    <s v="Free range"/>
    <n v="10"/>
    <s v="Free range"/>
    <n v="12"/>
    <s v="Free range"/>
    <m/>
    <s v=""/>
    <n v="1"/>
    <n v="20.5"/>
    <s v="High"/>
    <n v="1"/>
    <n v="1"/>
    <n v="5"/>
    <n v="7"/>
    <n v="0"/>
    <n v="1"/>
    <n v="2"/>
    <m/>
    <n v="91.4"/>
    <s v="High"/>
    <n v="111.9"/>
    <s v="Yes"/>
    <s v="Ninja, supercron"/>
    <s v="Yes"/>
    <s v="Casual"/>
    <n v="0.25"/>
    <n v="5"/>
    <n v="0"/>
    <s v="Yes"/>
    <n v="1"/>
    <n v="5"/>
    <s v="Bags"/>
    <n v="1.2"/>
    <n v="1"/>
    <n v="0"/>
    <s v="Bags"/>
    <n v="0"/>
    <m/>
    <n v="999"/>
    <s v="Bags"/>
    <m/>
    <x v="0"/>
    <s v="Yes"/>
    <s v="No"/>
    <s v="No"/>
    <s v="Yes"/>
    <n v="2"/>
    <n v="4"/>
    <s v="uuid:601170c9-5402-4a16-ac6f-59221b4e4701/secG-G2"/>
    <s v="uuid:601170c9-5402-4a16-ac6f-59221b4e4701/secG-G5"/>
    <n v="-4.341313362121582"/>
    <n v="35.419746398925781"/>
    <n v="1642.9000244140625"/>
    <n v="5"/>
    <n v="1705231439"/>
    <s v="uuid:601170c9-5402-4a16-ac6f-59221b4e4701"/>
    <d v="2017-07-07T09:09:46"/>
    <d v="2017-06-22T12:40:08"/>
    <d v="2017-06-22T13:24:13"/>
    <d v="2017-02-02T00:00:00"/>
    <m/>
    <n v="5.0933874239350914"/>
    <n v="3.3317647058823532"/>
    <n v="5.4970833333333324"/>
    <n v="3.3915517241379307"/>
    <m/>
    <s v="FALSEE"/>
    <m/>
    <s v="Plains"/>
    <n v="2.0972545146899999"/>
    <s v="Gentle"/>
    <s v="Flat"/>
    <n v="9.0650379657699995E-2"/>
    <n v="8.3043279647800006"/>
    <n v="253.01896277748352"/>
    <n v="176.41126787692033"/>
    <n v="1.343"/>
    <n v="1.06"/>
    <n v="0.28299999999999992"/>
    <n v="4.4443175287356311"/>
    <n v="4.2125760649087223"/>
    <n v="-0.23174146382690886"/>
    <n v="422.4"/>
    <n v="0"/>
    <n v="0"/>
    <n v="422.4"/>
    <n v="63.699999999999996"/>
    <n v="358.7"/>
  </r>
  <r>
    <s v="Inot Songoyani"/>
    <n v="132"/>
    <s v="Layda Bura katuwe"/>
    <s v="Layda Bura Katuwe"/>
    <s v="AYAMANGO"/>
    <s v="Ayamango"/>
    <n v="0"/>
    <s v="Homefield"/>
    <s v="Feed livestock"/>
    <s v="InField feed"/>
    <n v="0"/>
    <m/>
    <m/>
    <s v=""/>
    <m/>
    <n v="1"/>
    <s v="Every year"/>
    <n v="50"/>
    <s v="Variable"/>
    <s v="Other fields in my home village"/>
    <m/>
    <s v="My 'home field' away from here"/>
    <m/>
    <n v="10000"/>
    <s v=""/>
    <x v="1"/>
    <s v=""/>
    <n v="0"/>
    <s v=""/>
    <m/>
    <s v=""/>
    <s v=""/>
    <s v="Yes"/>
    <s v="No"/>
    <s v=""/>
    <n v="0"/>
    <s v=""/>
    <m/>
    <m/>
    <s v=""/>
    <s v=""/>
    <n v="1"/>
    <n v="0"/>
    <s v="10"/>
    <x v="3"/>
    <n v="2"/>
    <s v="Yes"/>
    <n v="2.5"/>
    <s v="Yes"/>
    <n v="2"/>
    <n v="5"/>
    <s v="No"/>
    <s v=""/>
    <m/>
    <n v="7.5"/>
    <n v="7.5"/>
    <s v="Yes"/>
    <s v="Yes"/>
    <s v="Yes"/>
    <s v="Yes"/>
    <s v="No"/>
    <s v="No"/>
    <n v="20"/>
    <s v="Both"/>
    <n v="15"/>
    <s v="Both"/>
    <n v="20"/>
    <s v="Both"/>
    <n v="2"/>
    <s v="Both"/>
    <m/>
    <s v=""/>
    <m/>
    <n v="21.9"/>
    <s v="High"/>
    <n v="5"/>
    <n v="1"/>
    <n v="0"/>
    <n v="6"/>
    <n v="0"/>
    <n v="1"/>
    <n v="2"/>
    <s v=""/>
    <n v="113.9"/>
    <s v="High"/>
    <n v="135.80000000000001"/>
    <s v="Yes"/>
    <s v="Karate"/>
    <s v="Yes"/>
    <s v="Casual"/>
    <n v="0.25"/>
    <n v="0.25"/>
    <m/>
    <s v="No"/>
    <n v="1"/>
    <n v="18"/>
    <s v="Bags"/>
    <n v="4.32"/>
    <m/>
    <n v="999"/>
    <s v="Bags"/>
    <m/>
    <n v="2"/>
    <n v="12"/>
    <s v="Bags"/>
    <n v="1.44"/>
    <x v="0"/>
    <s v="No"/>
    <s v="No"/>
    <s v="No"/>
    <s v="No"/>
    <n v="0"/>
    <n v="2"/>
    <s v="uuid:3444ba8c-7372-43da-94c5-f002a2d94354/secG-G2"/>
    <s v="uuid:3444ba8c-7372-43da-94c5-f002a2d94354/secG-G5"/>
    <n v="-4.2328548431396484"/>
    <n v="35.877830505371094"/>
    <n v="1275.9000244140625"/>
    <n v="5"/>
    <n v="1706031849"/>
    <s v="uuid:3444ba8c-7372-43da-94c5-f002a2d94354"/>
    <d v="2017-06-21T19:46:33"/>
    <d v="2017-06-21T13:43:33"/>
    <d v="2017-06-21T13:57:12"/>
    <d v="2017-02-09T00:00:00"/>
    <m/>
    <n v="5.3837398373983749"/>
    <n v="6.2647154471544715"/>
    <n v="9.188075396825397"/>
    <n v="9.0029563492063502"/>
    <n v="6"/>
    <s v="FALSEE"/>
    <m/>
    <s v="Plains"/>
    <n v="2.2400188445999998"/>
    <s v="Gentle"/>
    <s v="Flat"/>
    <n v="0.18129228055499999"/>
    <n v="8.0240240096999997"/>
    <n v="109.51937816509624"/>
    <m/>
    <n v="0.85299999999999998"/>
    <m/>
    <m/>
    <n v="9.0955158730158736"/>
    <n v="5.8242276422764228"/>
    <n v="-3.2712882307394509"/>
    <n v="1520.64"/>
    <n v="982.07999999999993"/>
    <n v="0"/>
    <n v="2502.7200000000003"/>
    <n v="0"/>
    <n v="2502.7200000000003"/>
  </r>
  <r>
    <s v="Inot Songoyani"/>
    <n v="193"/>
    <s v="Hayma Hiiti Farayo"/>
    <s v="Hayma Hiiti Farayo"/>
    <s v="ENDANOGA"/>
    <s v="Endanoga"/>
    <n v="0"/>
    <s v="Homefield"/>
    <s v="Feed livestock"/>
    <s v="OffField feed"/>
    <n v="0"/>
    <m/>
    <m/>
    <s v=""/>
    <m/>
    <n v="1"/>
    <s v="Every year"/>
    <n v="18"/>
    <s v="Variable"/>
    <s v="Other fields in my home village"/>
    <m/>
    <s v="My 'home field' away from here"/>
    <m/>
    <n v="6000"/>
    <s v=""/>
    <x v="0"/>
    <s v="Own animals"/>
    <n v="0"/>
    <s v=""/>
    <m/>
    <s v=""/>
    <s v=""/>
    <s v="Yes"/>
    <s v="No"/>
    <s v=""/>
    <n v="0"/>
    <s v=""/>
    <m/>
    <m/>
    <s v=""/>
    <s v=""/>
    <n v="1"/>
    <n v="0"/>
    <s v="10"/>
    <x v="3"/>
    <n v="2"/>
    <s v="Yes"/>
    <n v="4.5"/>
    <s v="Yes"/>
    <n v="4"/>
    <n v="7"/>
    <s v="No"/>
    <s v=""/>
    <m/>
    <n v="11.5"/>
    <n v="11.5"/>
    <s v="Yes"/>
    <s v="Yes"/>
    <s v="Yes"/>
    <s v="Yes"/>
    <s v="No"/>
    <s v="No"/>
    <n v="25"/>
    <s v="Both"/>
    <n v="7"/>
    <s v="Both"/>
    <n v="12"/>
    <s v="Both"/>
    <n v="4"/>
    <s v="Both"/>
    <m/>
    <s v=""/>
    <m/>
    <n v="26.22"/>
    <s v="High"/>
    <n v="3"/>
    <n v="3"/>
    <n v="7"/>
    <n v="13"/>
    <n v="0"/>
    <n v="0"/>
    <n v="2"/>
    <s v=""/>
    <n v="173.1"/>
    <s v="High"/>
    <n v="199.32"/>
    <s v="No"/>
    <s v=""/>
    <s v="Yes"/>
    <s v="Casual"/>
    <n v="0.25"/>
    <n v="4.25"/>
    <m/>
    <s v="Yes"/>
    <n v="4.5"/>
    <n v="32"/>
    <s v="Bags"/>
    <n v="1.7066666666666668"/>
    <m/>
    <n v="999"/>
    <s v="Bags"/>
    <m/>
    <n v="4.5"/>
    <n v="6"/>
    <s v="Bags"/>
    <n v="0.32"/>
    <x v="1"/>
    <s v="Yes"/>
    <s v="Yes"/>
    <s v="Yes"/>
    <s v="Yes"/>
    <n v="5"/>
    <n v="3"/>
    <s v="uuid:5f9e6b1c-8fb0-4dbc-9bbd-621ed66bc6d1/secG-G2"/>
    <s v="uuid:5f9e6b1c-8fb0-4dbc-9bbd-621ed66bc6d1/secG-G5"/>
    <n v="-4.2804141044616699"/>
    <n v="35.863021850585938"/>
    <n v="1295.300048828125"/>
    <n v="5"/>
    <n v="1706031849"/>
    <s v="uuid:5f9e6b1c-8fb0-4dbc-9bbd-621ed66bc6d1"/>
    <d v="2017-07-24T08:38:33"/>
    <d v="2017-07-08T15:09:46"/>
    <d v="2017-07-08T15:18:29"/>
    <d v="2017-02-23T00:00:00"/>
    <m/>
    <n v="5.3421280602636543"/>
    <n v="4.7811111111111115"/>
    <n v="3.7775111111111119"/>
    <n v="4.6106666666666669"/>
    <m/>
    <n v="1"/>
    <m/>
    <s v="Plains"/>
    <n v="1.96835184097"/>
    <s v="Very gentle"/>
    <s v="Flat"/>
    <n v="-0.18127532303300001"/>
    <n v="11.303222656299999"/>
    <n v="1042.9127802766411"/>
    <n v="1233.7944739423046"/>
    <n v="1.504"/>
    <n v="2.4780000000000002"/>
    <n v="-0.9740000000000002"/>
    <n v="4.1940888888888894"/>
    <n v="5.0616195856873833"/>
    <n v="0.86753069679849393"/>
    <n v="600.74666666666667"/>
    <n v="218.24"/>
    <n v="0"/>
    <n v="818.98666666666668"/>
    <n v="63.699999999999996"/>
    <n v="755.28666666666663"/>
  </r>
  <r>
    <s v="Michael"/>
    <n v="80"/>
    <s v="Tanasia Uche"/>
    <s v="Atanasia Uche"/>
    <s v="MANDI"/>
    <s v="Samatsi"/>
    <n v="0.30000001192092896"/>
    <s v="Midfield"/>
    <s v="Feed livestock"/>
    <s v="OffField feed"/>
    <n v="0"/>
    <m/>
    <m/>
    <s v=""/>
    <m/>
    <n v="1"/>
    <s v="This season"/>
    <n v="4"/>
    <n v="2"/>
    <s v="Other fields in my home village"/>
    <m/>
    <s v="My 'home field' away from here"/>
    <m/>
    <n v="15000"/>
    <s v=""/>
    <x v="0"/>
    <s v="Own animals"/>
    <n v="0"/>
    <s v=""/>
    <m/>
    <s v=""/>
    <s v=""/>
    <s v="Yes"/>
    <s v="No"/>
    <m/>
    <n v="0"/>
    <s v=""/>
    <m/>
    <m/>
    <s v=""/>
    <s v=""/>
    <n v="1"/>
    <n v="0"/>
    <s v="10"/>
    <x v="3"/>
    <n v="2"/>
    <s v="Yes"/>
    <n v="1"/>
    <s v="Yes"/>
    <n v="4"/>
    <n v="5"/>
    <s v="Yes"/>
    <s v="Rent"/>
    <n v="8"/>
    <n v="6"/>
    <n v="14"/>
    <s v="Yes"/>
    <s v="Yes"/>
    <s v="Yes"/>
    <s v="Yes"/>
    <s v="Yes"/>
    <s v="No"/>
    <n v="20"/>
    <s v="Both"/>
    <n v="50"/>
    <s v="Free range"/>
    <n v="20"/>
    <s v="Free range"/>
    <n v="20"/>
    <s v="Free range"/>
    <n v="1"/>
    <s v="Zero grazing"/>
    <m/>
    <n v="27.5"/>
    <s v="High"/>
    <n v="1"/>
    <n v="2"/>
    <n v="3"/>
    <n v="6"/>
    <n v="0"/>
    <n v="1"/>
    <n v="1"/>
    <m/>
    <n v="91.1"/>
    <s v="High"/>
    <n v="118.6"/>
    <s v="Yes"/>
    <s v="Burnerforce"/>
    <s v="Yes"/>
    <s v="Multiple"/>
    <n v="0.25"/>
    <n v="7.25"/>
    <n v="0"/>
    <s v="Yes"/>
    <n v="1"/>
    <n v="15"/>
    <s v="Bags"/>
    <n v="3.5999999999999996"/>
    <n v="1"/>
    <n v="3"/>
    <s v="Bags"/>
    <n v="0.72"/>
    <n v="1"/>
    <n v="0"/>
    <s v="Bags"/>
    <n v="0"/>
    <x v="0"/>
    <s v="Yes"/>
    <s v="No"/>
    <s v="No"/>
    <s v="No"/>
    <n v="1"/>
    <n v="4"/>
    <s v="uuid:e57aba3f-0932-4a03-81b8-d50c3f951898/secG-G2"/>
    <s v="uuid:e57aba3f-0932-4a03-81b8-d50c3f951898/secG-G5"/>
    <n v="-4.331390380859375"/>
    <n v="35.444061279296875"/>
    <n v="1547.800048828125"/>
    <n v="10"/>
    <n v="1705231439"/>
    <s v="uuid:e57aba3f-0932-4a03-81b8-d50c3f951898"/>
    <d v="2017-07-07T09:17:28"/>
    <d v="2017-06-21T10:51:19"/>
    <d v="2017-07-07T09:11:34"/>
    <d v="2017-02-09T00:00:00"/>
    <m/>
    <n v="3.4831746031746036"/>
    <n v="2.5119047619047619"/>
    <n v="2.3957142857142864"/>
    <n v="2.180714285714286"/>
    <m/>
    <n v="1"/>
    <m/>
    <s v="Plains"/>
    <n v="0"/>
    <s v="Depression"/>
    <s v="Flat"/>
    <n v="8.4776775111099995E-6"/>
    <n v="11.4374370575"/>
    <n v="306.64434920787807"/>
    <m/>
    <n v="1.712"/>
    <m/>
    <m/>
    <n v="2.288214285714286"/>
    <n v="2.9975396825396827"/>
    <n v="0.70932539682539675"/>
    <n v="1267.1999999999998"/>
    <n v="0"/>
    <n v="572.4"/>
    <n v="1839.6"/>
    <n v="63.699999999999996"/>
    <n v="1775.8999999999999"/>
  </r>
  <r>
    <s v="Michael"/>
    <n v="56"/>
    <s v="Lukas Ngwandu"/>
    <s v="Lukas Ngwandu"/>
    <s v="MANDI"/>
    <s v="Samatsi"/>
    <n v="0"/>
    <s v="Homefield"/>
    <s v="Feed livestock"/>
    <s v="OffField feed"/>
    <n v="0"/>
    <m/>
    <m/>
    <s v=""/>
    <m/>
    <n v="1"/>
    <s v="Last year"/>
    <n v="9"/>
    <n v="2"/>
    <s v="Other fields in my home village"/>
    <m/>
    <s v="This field"/>
    <m/>
    <n v="7000"/>
    <s v=""/>
    <x v="0"/>
    <s v="Own animals"/>
    <n v="0"/>
    <s v=""/>
    <m/>
    <s v=""/>
    <s v=""/>
    <s v="Yes"/>
    <s v="No"/>
    <m/>
    <n v="0"/>
    <s v=""/>
    <m/>
    <m/>
    <s v=""/>
    <s v=""/>
    <n v="1"/>
    <n v="0"/>
    <s v="10"/>
    <x v="3"/>
    <n v="2"/>
    <s v="Yes"/>
    <n v="4"/>
    <s v="Yes"/>
    <n v="3"/>
    <n v="17"/>
    <s v="No"/>
    <s v=""/>
    <m/>
    <n v="21"/>
    <n v="21"/>
    <s v="Yes"/>
    <s v="Yes"/>
    <s v="Yes"/>
    <s v="Yes"/>
    <s v="No"/>
    <s v="No"/>
    <n v="30"/>
    <s v="Free range"/>
    <n v="10"/>
    <s v="Free range"/>
    <n v="5"/>
    <s v="Free range"/>
    <n v="10"/>
    <s v="Free range"/>
    <m/>
    <s v=""/>
    <m/>
    <n v="32.049999999999997"/>
    <s v="High"/>
    <n v="3"/>
    <n v="1"/>
    <n v="4"/>
    <n v="8"/>
    <n v="0"/>
    <n v="1"/>
    <n v="1"/>
    <m/>
    <n v="316.10000000000002"/>
    <s v="High"/>
    <n v="348.15"/>
    <s v="Yes"/>
    <s v="Sicrone,Ninja "/>
    <s v="Yes"/>
    <s v="Casual"/>
    <n v="2.25"/>
    <n v="14.75"/>
    <n v="0"/>
    <s v="Yes"/>
    <n v="1"/>
    <n v="10"/>
    <s v="Bags"/>
    <n v="2.4"/>
    <n v="1"/>
    <n v="1"/>
    <s v="Bags"/>
    <n v="0.24"/>
    <n v="1"/>
    <n v="0"/>
    <s v="Bags"/>
    <n v="0"/>
    <x v="1"/>
    <s v="Yes"/>
    <s v="Yes"/>
    <s v="Yes"/>
    <s v="Yes"/>
    <n v="5"/>
    <n v="6"/>
    <s v="uuid:5540b164-0885-440c-9742-6aa2db6cf1c5/secG-G2"/>
    <s v="uuid:5540b164-0885-440c-9742-6aa2db6cf1c5/secG-G5"/>
    <n v="-4.3269343376159668"/>
    <n v="35.441261291503906"/>
    <n v="1566"/>
    <n v="5"/>
    <n v="1705231439"/>
    <s v="uuid:5540b164-0885-440c-9742-6aa2db6cf1c5"/>
    <d v="2017-07-07T09:09:49"/>
    <d v="2017-06-22T14:40:03"/>
    <d v="2017-06-22T15:01:12"/>
    <d v="2017-01-24T00:00:00"/>
    <m/>
    <n v="2.9527272727272726"/>
    <n v="4.6157575757575753"/>
    <n v="1.7051282051282051"/>
    <n v="1.6239316239316239"/>
    <m/>
    <n v="1"/>
    <m/>
    <s v="Plains"/>
    <n v="0"/>
    <s v="Depression"/>
    <s v="Flat"/>
    <n v="8.4776775111099995E-6"/>
    <n v="11.4374370575"/>
    <n v="311.75152886791551"/>
    <n v="187.90242211200467"/>
    <n v="1.323"/>
    <n v="1.554"/>
    <n v="-0.23100000000000009"/>
    <n v="1.6645299145299144"/>
    <n v="3.7842424242424242"/>
    <n v="2.1197125097125098"/>
    <n v="844.8"/>
    <n v="0"/>
    <n v="190.79999999999998"/>
    <n v="1035.5999999999999"/>
    <n v="63.699999999999996"/>
    <n v="971.89999999999986"/>
  </r>
  <r>
    <s v="Inot Songoyani"/>
    <n v="108"/>
    <s v="Daho Slaa Baa"/>
    <s v="Daho Slaa Baa"/>
    <s v="SELOTO"/>
    <s v="Seloto"/>
    <n v="1.5"/>
    <s v="outfield"/>
    <s v="Feed livestock"/>
    <s v="OffField feed"/>
    <n v="0"/>
    <m/>
    <m/>
    <s v=""/>
    <m/>
    <n v="1"/>
    <s v="Every year"/>
    <n v="1"/>
    <s v="Variable"/>
    <s v="Other fields in my home village"/>
    <m/>
    <s v="My 'home field' away from here"/>
    <m/>
    <m/>
    <s v="Free"/>
    <x v="1"/>
    <s v=""/>
    <n v="0"/>
    <s v=""/>
    <m/>
    <s v=""/>
    <s v=""/>
    <s v="Yes"/>
    <s v="No"/>
    <s v=""/>
    <n v="0"/>
    <s v=""/>
    <m/>
    <m/>
    <s v=""/>
    <s v=""/>
    <n v="1"/>
    <n v="0"/>
    <s v="10"/>
    <x v="3"/>
    <n v="2"/>
    <s v="Yes"/>
    <n v="1"/>
    <s v="Yes"/>
    <n v="2"/>
    <n v="8"/>
    <s v="Yes"/>
    <s v="Rent"/>
    <n v="0.5"/>
    <n v="9"/>
    <n v="9.5"/>
    <s v="Yes"/>
    <s v="No"/>
    <s v="Yes"/>
    <s v="No"/>
    <s v="No"/>
    <s v="No"/>
    <n v="32"/>
    <s v="Zero grazing"/>
    <m/>
    <s v=""/>
    <n v="20"/>
    <s v="Zero grazing"/>
    <m/>
    <s v=""/>
    <m/>
    <s v=""/>
    <m/>
    <n v="32.200000000000003"/>
    <s v="High"/>
    <n v="1"/>
    <n v="1"/>
    <n v="6"/>
    <n v="8"/>
    <n v="0"/>
    <n v="1"/>
    <n v="2"/>
    <m/>
    <n v="136.4"/>
    <s v="High"/>
    <n v="168.6"/>
    <s v="No"/>
    <s v=""/>
    <s v="Yes"/>
    <s v="Casual"/>
    <n v="0.25"/>
    <n v="2.75"/>
    <n v="0"/>
    <s v="Yes"/>
    <n v="0.5"/>
    <n v="4"/>
    <s v="Bags"/>
    <n v="1.92"/>
    <n v="0.5"/>
    <n v="999"/>
    <s v="Bags"/>
    <m/>
    <n v="0.5"/>
    <n v="1"/>
    <s v="Gorogoro"/>
    <n v="8.0159999999999995E-2"/>
    <x v="0"/>
    <s v="No"/>
    <s v="No"/>
    <s v="No"/>
    <s v="No"/>
    <n v="0"/>
    <n v="3"/>
    <s v="uuid:1758969f-1d4e-4549-bd8a-759ea32ba308/secG-G2"/>
    <s v="uuid:1758969f-1d4e-4549-bd8a-759ea32ba308/secG-G5"/>
    <n v="-4.2652149200439453"/>
    <n v="35.521144866943359"/>
    <n v="1631.0999755859375"/>
    <n v="5"/>
    <n v="1706031849"/>
    <s v="uuid:1758969f-1d4e-4549-bd8a-759ea32ba308"/>
    <d v="2017-06-17T09:54:36"/>
    <d v="2017-06-15T11:31:40"/>
    <d v="2017-06-15T12:04:39"/>
    <d v="2017-01-15T00:00:00"/>
    <m/>
    <m/>
    <m/>
    <m/>
    <m/>
    <m/>
    <n v="1"/>
    <m/>
    <s v="Plains"/>
    <n v="3.20911693573"/>
    <s v="Gentle"/>
    <s v="Flat"/>
    <n v="-9.0633422136300004E-2"/>
    <n v="10.287559509299999"/>
    <n v="241.00471607792554"/>
    <m/>
    <m/>
    <m/>
    <m/>
    <m/>
    <m/>
    <m/>
    <n v="675.83999999999992"/>
    <n v="54.669119999999999"/>
    <n v="0"/>
    <n v="730.50911999999994"/>
    <n v="0"/>
    <n v="730.50911999999994"/>
  </r>
  <r>
    <s v="Ezekiel Mngumi"/>
    <n v="92"/>
    <s v="Isaka Zebedayo"/>
    <s v="Isaka Zebedayo"/>
    <s v="SABILO"/>
    <s v="Sabilo"/>
    <n v="0"/>
    <s v="Homefield"/>
    <s v="Feed livestock"/>
    <s v="InField feed"/>
    <n v="0"/>
    <m/>
    <m/>
    <s v=""/>
    <m/>
    <n v="1"/>
    <s v="Last year"/>
    <n v="60"/>
    <n v="4"/>
    <s v="Other fields in my home village"/>
    <m/>
    <s v="My 'home field' away from here"/>
    <m/>
    <n v="10000"/>
    <s v=""/>
    <x v="0"/>
    <s v="Own animals"/>
    <n v="0"/>
    <s v=""/>
    <m/>
    <s v=""/>
    <s v=""/>
    <s v="Yes"/>
    <s v="No"/>
    <m/>
    <n v="0"/>
    <s v=""/>
    <m/>
    <m/>
    <s v=""/>
    <s v=""/>
    <n v="1"/>
    <n v="0"/>
    <s v="10"/>
    <x v="3"/>
    <n v="2"/>
    <s v="Yes"/>
    <n v="8"/>
    <s v="Yes"/>
    <n v="4"/>
    <n v="9"/>
    <s v="Yes"/>
    <s v="Rent"/>
    <n v="3"/>
    <n v="17"/>
    <n v="20"/>
    <s v="Yes"/>
    <s v="Yes"/>
    <s v="Yes"/>
    <s v="Yes"/>
    <s v="No"/>
    <s v="Yes"/>
    <n v="45"/>
    <s v="Free range"/>
    <n v="8"/>
    <s v="Free range"/>
    <n v="10"/>
    <s v="Free range"/>
    <n v="9"/>
    <s v="Free range"/>
    <m/>
    <s v=""/>
    <n v="2"/>
    <n v="47.599999999999994"/>
    <s v="High"/>
    <n v="3"/>
    <n v="1"/>
    <n v="5"/>
    <n v="9"/>
    <n v="0"/>
    <n v="1"/>
    <n v="1"/>
    <m/>
    <n v="256.10000000000002"/>
    <s v="High"/>
    <n v="303.7"/>
    <s v="Yes"/>
    <s v="Carate kong fu"/>
    <s v="Yes"/>
    <s v="Casual"/>
    <n v="6.6700000762939453"/>
    <n v="106.66816894500001"/>
    <n v="0"/>
    <s v="Yes"/>
    <n v="1"/>
    <n v="6.6700000762939453"/>
    <s v="Bags"/>
    <n v="1.6008000183105471"/>
    <n v="1"/>
    <n v="1.5"/>
    <s v="Bags"/>
    <n v="0.36"/>
    <n v="1"/>
    <n v="0"/>
    <s v="Bags"/>
    <n v="0"/>
    <x v="0"/>
    <s v="No"/>
    <s v="No"/>
    <s v="No"/>
    <s v="Yes"/>
    <n v="1"/>
    <n v="4"/>
    <s v="uuid:e1f1ea0a-89d1-4042-9e61-697dc7e22c1e/secG-G2"/>
    <s v="uuid:e1f1ea0a-89d1-4042-9e61-697dc7e22c1e/secG-G5"/>
    <n v="-4.3602652549743652"/>
    <n v="35.487712860107422"/>
    <n v="1703.699951171875"/>
    <n v="15"/>
    <n v="1705231439"/>
    <s v="uuid:e1f1ea0a-89d1-4042-9e61-697dc7e22c1e"/>
    <d v="2017-07-11T08:17:14"/>
    <d v="2017-06-09T12:53:50"/>
    <d v="2017-07-07T11:10:32"/>
    <d v="2017-02-06T00:00:00"/>
    <m/>
    <n v="4.5277777777777786"/>
    <n v="3.6431196581196583"/>
    <n v="3.4035672514619888"/>
    <n v="4.0140350877192983"/>
    <m/>
    <n v="1"/>
    <m/>
    <s v="Plains"/>
    <n v="1.79088056087"/>
    <s v="Very gentle"/>
    <s v="Flat"/>
    <n v="9.0650379657699995E-2"/>
    <n v="8.58259773254"/>
    <n v="127.47513527697215"/>
    <n v="230.79980993851393"/>
    <n v="1.611"/>
    <n v="1.825"/>
    <n v="-0.21399999999999997"/>
    <n v="3.7088011695906435"/>
    <n v="4.0854487179487187"/>
    <n v="0.37664754835807512"/>
    <n v="563.48160644531254"/>
    <n v="0"/>
    <n v="286.2"/>
    <n v="849.68160644531258"/>
    <n v="63.699999999999996"/>
    <n v="785.98160644531254"/>
  </r>
  <r>
    <s v="Inot Songoyani"/>
    <n v="188"/>
    <s v="Safari Baghayo Mjungu"/>
    <s v="Safari Baghayo Mjungu"/>
    <s v="ENDANOGA"/>
    <s v="Endanoga"/>
    <n v="0"/>
    <s v="Homefield"/>
    <s v="Feed livestock"/>
    <s v="InField feed"/>
    <n v="0"/>
    <m/>
    <m/>
    <s v=""/>
    <m/>
    <n v="1"/>
    <s v="Every year"/>
    <n v="12"/>
    <n v="1"/>
    <s v="Other fields in my home village"/>
    <m/>
    <s v="My 'home field' away from here"/>
    <m/>
    <m/>
    <s v=""/>
    <x v="0"/>
    <s v="Own animals"/>
    <n v="0"/>
    <s v=""/>
    <m/>
    <s v=""/>
    <s v=""/>
    <s v="Yes"/>
    <s v="No"/>
    <s v=""/>
    <n v="0"/>
    <s v=""/>
    <m/>
    <m/>
    <s v=""/>
    <s v=""/>
    <n v="1"/>
    <n v="0"/>
    <s v="10"/>
    <x v="3"/>
    <n v="2"/>
    <s v="Yes"/>
    <n v="5"/>
    <s v="Yes"/>
    <n v="1"/>
    <n v="2"/>
    <s v="Yes"/>
    <s v="Rent"/>
    <n v="12"/>
    <n v="7"/>
    <n v="19"/>
    <s v="Yes"/>
    <s v="Yes"/>
    <s v="Yes"/>
    <s v="Yes"/>
    <s v="No"/>
    <s v="Yes"/>
    <n v="60"/>
    <s v="Free range"/>
    <n v="100"/>
    <s v="Free range"/>
    <n v="30"/>
    <s v="Free range"/>
    <n v="60"/>
    <s v="Free range"/>
    <m/>
    <s v=""/>
    <n v="2"/>
    <n v="77.099999999999994"/>
    <s v="High"/>
    <n v="3"/>
    <n v="1"/>
    <n v="5"/>
    <n v="9"/>
    <n v="0"/>
    <n v="1"/>
    <n v="1"/>
    <s v=""/>
    <n v="106.1"/>
    <s v="High"/>
    <n v="183.2"/>
    <s v="No"/>
    <s v=""/>
    <s v="Yes"/>
    <s v="Casual"/>
    <n v="1.25"/>
    <n v="3"/>
    <m/>
    <s v="Yes"/>
    <n v="4.25"/>
    <n v="28"/>
    <s v="Bags"/>
    <n v="1.5811764705882354"/>
    <m/>
    <n v="999"/>
    <s v="Bags"/>
    <m/>
    <n v="4.25"/>
    <n v="3"/>
    <s v="Bags"/>
    <n v="0.16941176470588235"/>
    <x v="1"/>
    <s v="Yes"/>
    <s v="Yes"/>
    <s v="Yes"/>
    <s v="Yes"/>
    <n v="5"/>
    <n v="3"/>
    <s v="uuid:16b76259-f95c-4518-9970-a683daa7dd18/secG-G2"/>
    <s v="uuid:16b76259-f95c-4518-9970-a683daa7dd18/secG-G5"/>
    <n v="-4.2555704116821289"/>
    <n v="35.879535675048828"/>
    <n v="1262"/>
    <n v="5"/>
    <n v="1706031849"/>
    <s v="uuid:16b76259-f95c-4518-9970-a683daa7dd18"/>
    <d v="2017-07-24T08:38:27"/>
    <d v="2017-07-08T10:43:42"/>
    <d v="2017-07-08T11:02:33"/>
    <d v="2017-03-03T00:00:00"/>
    <m/>
    <n v="4.8857142857142852"/>
    <n v="4.8428571428571434"/>
    <n v="2.0777777777777784"/>
    <n v="1.6730158730158731"/>
    <m/>
    <n v="1"/>
    <m/>
    <s v="Plains"/>
    <n v="1.0975884199099999"/>
    <s v="Very gentle"/>
    <s v="Flat"/>
    <n v="9.0650379657699995E-2"/>
    <n v="9.8140182495099992"/>
    <n v="224.66245065830302"/>
    <n v="247.34017383070125"/>
    <n v="1.3480000000000001"/>
    <n v="1.139"/>
    <n v="0.20900000000000007"/>
    <n v="1.8753968253968258"/>
    <n v="4.8642857142857139"/>
    <n v="2.988888888888888"/>
    <n v="556.57411764705887"/>
    <n v="115.53882352941176"/>
    <n v="0"/>
    <n v="672.1129411764706"/>
    <n v="63.699999999999996"/>
    <n v="608.41294117647055"/>
  </r>
  <r>
    <s v="Inot"/>
    <n v="83"/>
    <s v="Salimu Shabani Salimu"/>
    <s v="Salimu Shabani Salimu"/>
    <e v="#N/A"/>
    <s v="Orngadida"/>
    <n v="0"/>
    <s v="Homefield"/>
    <s v="Feed livestock"/>
    <s v="OffField feed"/>
    <n v="1"/>
    <n v="1"/>
    <n v="3000"/>
    <s v=""/>
    <n v="1"/>
    <n v="1"/>
    <s v="Last year"/>
    <n v="6"/>
    <n v="0.27000001072883606"/>
    <s v="Other fields in my home village"/>
    <m/>
    <s v="This field"/>
    <m/>
    <n v="3000"/>
    <s v=""/>
    <x v="0"/>
    <s v="Purchase"/>
    <n v="0"/>
    <s v=""/>
    <m/>
    <s v=""/>
    <s v=""/>
    <s v="No"/>
    <s v="No"/>
    <m/>
    <n v="1"/>
    <n v="888"/>
    <n v="5"/>
    <n v="6"/>
    <n v="3000"/>
    <s v=""/>
    <n v="2"/>
    <n v="1"/>
    <s v="21"/>
    <x v="3"/>
    <n v="2"/>
    <s v="Yes"/>
    <n v="0.75"/>
    <s v="Yes"/>
    <n v="2"/>
    <n v="2.75"/>
    <s v="Yes"/>
    <s v="Ft"/>
    <n v="2"/>
    <n v="3.5"/>
    <n v="5.5"/>
    <s v="Yes"/>
    <s v="Yes"/>
    <s v="Yes"/>
    <s v="No"/>
    <s v="No"/>
    <s v="No"/>
    <n v="3"/>
    <s v="Zero grazing"/>
    <n v="2"/>
    <s v="Zero grazing"/>
    <n v="20"/>
    <s v="Free range"/>
    <m/>
    <s v=""/>
    <m/>
    <s v=""/>
    <m/>
    <n v="3.4000000000000004"/>
    <s v="Low"/>
    <n v="1"/>
    <n v="1"/>
    <n v="7"/>
    <n v="9"/>
    <n v="0"/>
    <n v="0"/>
    <n v="1"/>
    <m/>
    <n v="52.8"/>
    <s v="Medium"/>
    <n v="56.2"/>
    <s v="Yes"/>
    <s v="Karate duduba , ninja"/>
    <s v="No"/>
    <s v=""/>
    <n v="0.25"/>
    <m/>
    <n v="0.75"/>
    <s v="No"/>
    <n v="1"/>
    <n v="16"/>
    <s v="Bags"/>
    <n v="3.84"/>
    <m/>
    <n v="999"/>
    <s v="Bags"/>
    <m/>
    <n v="1"/>
    <n v="5.1999998092651367"/>
    <s v="Bags"/>
    <n v="1.2479999542236329"/>
    <x v="0"/>
    <s v="No"/>
    <s v="No"/>
    <s v="No"/>
    <s v="No"/>
    <n v="0"/>
    <n v="4"/>
    <s v="uuid:200bffa7-7869-4c33-a899-5509626b7ab6/secG-G2"/>
    <s v="uuid:200bffa7-7869-4c33-a899-5509626b7ab6/secG-G5"/>
    <n v="-4.3094668388366699"/>
    <n v="35.865596771240234"/>
    <n v="1239.300048828125"/>
    <n v="5"/>
    <n v="1705231439"/>
    <s v="uuid:200bffa7-7869-4c33-a899-5509626b7ab6"/>
    <d v="2017-07-11T08:17:08"/>
    <d v="2017-06-02T14:13:40"/>
    <d v="2017-07-11T08:16:32"/>
    <d v="2017-02-23T00:00:00"/>
    <m/>
    <m/>
    <m/>
    <m/>
    <m/>
    <m/>
    <n v="1"/>
    <m/>
    <s v="Plains"/>
    <n v="0.85303092002900005"/>
    <s v="Very gentle"/>
    <s v="Upper slope"/>
    <n v="0.54385989904400001"/>
    <n v="8.6651210784899995"/>
    <m/>
    <m/>
    <m/>
    <m/>
    <m/>
    <m/>
    <m/>
    <m/>
    <n v="1351.6799999999998"/>
    <n v="851.1359687805176"/>
    <n v="0"/>
    <n v="2202.8159687805173"/>
    <n v="63.699999999999996"/>
    <n v="2139.1159687805175"/>
  </r>
  <r>
    <s v="Michael"/>
    <n v="74"/>
    <s v="Paulo Nada"/>
    <s v="Paulo Nada"/>
    <s v="Endanachan"/>
    <s v="Orngadida"/>
    <n v="0"/>
    <s v="Homefield"/>
    <s v="Feed livestock"/>
    <s v="InField feed"/>
    <n v="1"/>
    <n v="4.5"/>
    <m/>
    <s v="Exchange_Manure"/>
    <n v="0.20000000298023224"/>
    <n v="1"/>
    <s v="Last year"/>
    <n v="6"/>
    <n v="0.5"/>
    <s v="Other fields in my home village"/>
    <m/>
    <s v="Other, Specify"/>
    <n v="999"/>
    <n v="13000"/>
    <s v=""/>
    <x v="0"/>
    <s v="Own animals"/>
    <n v="0"/>
    <s v=""/>
    <m/>
    <s v=""/>
    <s v=""/>
    <s v="Yes"/>
    <s v="No"/>
    <m/>
    <n v="1"/>
    <n v="2"/>
    <n v="1"/>
    <n v="4"/>
    <s v=""/>
    <s v="Crop residues"/>
    <n v="2"/>
    <n v="1"/>
    <s v="21"/>
    <x v="3"/>
    <n v="2"/>
    <s v="No"/>
    <m/>
    <s v="Yes"/>
    <n v="1"/>
    <n v="2"/>
    <s v="No"/>
    <s v=""/>
    <m/>
    <n v="2"/>
    <n v="2"/>
    <s v="Yes"/>
    <s v="No"/>
    <s v="Yes"/>
    <s v="Yes"/>
    <s v="No"/>
    <s v="No"/>
    <n v="5"/>
    <s v="Free range"/>
    <m/>
    <s v=""/>
    <n v="7"/>
    <s v="Free range"/>
    <n v="3"/>
    <s v="Free range"/>
    <m/>
    <s v=""/>
    <m/>
    <n v="5.37"/>
    <s v="Low"/>
    <n v="1"/>
    <n v="1"/>
    <n v="3"/>
    <n v="5"/>
    <n v="0"/>
    <n v="0"/>
    <n v="1"/>
    <m/>
    <n v="30.3"/>
    <s v="Medium"/>
    <n v="35.67"/>
    <s v="Yes"/>
    <s v="Diazone, Dume,Carte"/>
    <s v="Yes"/>
    <s v="Tractor"/>
    <n v="0.75"/>
    <n v="1.25"/>
    <n v="0"/>
    <s v="Yes"/>
    <n v="1"/>
    <n v="14"/>
    <s v="Bags"/>
    <n v="3.3600000000000003"/>
    <m/>
    <n v="999"/>
    <s v="Bags"/>
    <m/>
    <n v="1"/>
    <n v="1"/>
    <s v="Bags"/>
    <n v="0.24"/>
    <x v="1"/>
    <s v="No"/>
    <s v="Yes"/>
    <s v="No"/>
    <s v="Yes"/>
    <n v="3"/>
    <n v="3"/>
    <s v="uuid:81b8e14d-cab8-474c-9ca0-76c3a7b4df16/secG-G2"/>
    <s v="uuid:81b8e14d-cab8-474c-9ca0-76c3a7b4df16/secG-G5"/>
    <n v="-4.3456454277038574"/>
    <n v="35.705318450927734"/>
    <n v="1358"/>
    <n v="10"/>
    <n v="1705231439"/>
    <s v="uuid:81b8e14d-cab8-474c-9ca0-76c3a7b4df16"/>
    <d v="2017-07-07T09:17:27"/>
    <d v="2017-06-17T15:14:55"/>
    <d v="2017-07-07T09:13:05"/>
    <d v="2017-12-27T00:00:00"/>
    <m/>
    <n v="5.9519323671497597"/>
    <n v="5.7777294685990341"/>
    <n v="3.2716666666666665"/>
    <m/>
    <m/>
    <n v="1"/>
    <m/>
    <s v="Plains"/>
    <n v="1.7505050897600001"/>
    <s v="Very gentle"/>
    <s v="Flat"/>
    <n v="0.27193418145199999"/>
    <n v="8.9792985916100001"/>
    <n v="369.95031282762386"/>
    <n v="272.41952044370817"/>
    <n v="1.171"/>
    <n v="0.97299999999999998"/>
    <n v="0.19800000000000006"/>
    <n v="3.2716666666666665"/>
    <n v="5.8648309178743965"/>
    <n v="2.59316425120773"/>
    <n v="1182.72"/>
    <n v="163.68"/>
    <n v="0"/>
    <n v="1346.4"/>
    <n v="63.699999999999996"/>
    <n v="1282.7"/>
  </r>
  <r>
    <s v="Michael"/>
    <n v="76"/>
    <s v="Imanueli Gewe"/>
    <s v="Imanueli Gewe"/>
    <s v="Endanachan"/>
    <s v="Orngadida"/>
    <n v="35"/>
    <s v="outfield"/>
    <s v="Gives away"/>
    <s v="OffField feed"/>
    <n v="1"/>
    <n v="12"/>
    <m/>
    <s v="Exchange_Farm security"/>
    <n v="0.14000000059604645"/>
    <n v="1"/>
    <s v="This season"/>
    <n v="9"/>
    <n v="0.10000000149011612"/>
    <s v="Other fields in my home village"/>
    <m/>
    <s v="My 'home field' away from here"/>
    <m/>
    <n v="7000"/>
    <s v=""/>
    <x v="0"/>
    <s v="Purchase"/>
    <n v="0"/>
    <s v=""/>
    <m/>
    <s v=""/>
    <s v=""/>
    <s v="Yes"/>
    <s v="No"/>
    <m/>
    <n v="1"/>
    <n v="2"/>
    <n v="1"/>
    <n v="24"/>
    <n v="10000"/>
    <s v=""/>
    <n v="2"/>
    <n v="1"/>
    <s v="21"/>
    <x v="3"/>
    <n v="2"/>
    <s v="Yes"/>
    <n v="0.25"/>
    <s v="Yes"/>
    <n v="5"/>
    <n v="15"/>
    <s v="No"/>
    <s v=""/>
    <m/>
    <n v="15.25"/>
    <n v="15.25"/>
    <s v="Yes"/>
    <s v="Yes"/>
    <s v="No"/>
    <s v="Yes"/>
    <s v="No"/>
    <s v="No"/>
    <n v="16"/>
    <s v="Free range"/>
    <n v="5"/>
    <s v="Free range"/>
    <m/>
    <s v=""/>
    <n v="3"/>
    <s v="Free range"/>
    <m/>
    <s v=""/>
    <m/>
    <n v="16.8"/>
    <s v="High"/>
    <n v="1"/>
    <n v="1"/>
    <n v="5"/>
    <n v="7"/>
    <n v="0"/>
    <n v="0"/>
    <n v="1"/>
    <m/>
    <n v="229.05"/>
    <s v="High"/>
    <n v="245.85"/>
    <s v="Yes"/>
    <s v="Carte"/>
    <s v="Yes"/>
    <s v="Multiple"/>
    <n v="6"/>
    <n v="9"/>
    <n v="0"/>
    <s v="No"/>
    <n v="1"/>
    <n v="16"/>
    <s v="Bags"/>
    <n v="3.84"/>
    <n v="1"/>
    <n v="0.5"/>
    <s v="Bags"/>
    <n v="0.12"/>
    <n v="1"/>
    <n v="4"/>
    <s v="Bags"/>
    <n v="0.96"/>
    <x v="1"/>
    <s v="Yes"/>
    <s v="Yes"/>
    <s v="Yes"/>
    <s v="Yes"/>
    <n v="5"/>
    <n v="5"/>
    <s v="uuid:c9de5daa-0ac5-4455-8a3c-83e75c2aad73/secG-G2"/>
    <s v="uuid:c9de5daa-0ac5-4455-8a3c-83e75c2aad73/secG-G5"/>
    <n v="-4.3533873558044434"/>
    <n v="35.696643829345703"/>
    <n v="1402.5999755859375"/>
    <n v="10"/>
    <n v="1705231439"/>
    <s v="uuid:c9de5daa-0ac5-4455-8a3c-83e75c2aad73"/>
    <d v="2017-07-07T09:17:26"/>
    <d v="2017-06-17T14:09:29"/>
    <d v="2017-07-07T09:13:22"/>
    <d v="2017-01-03T00:00:00"/>
    <m/>
    <n v="7.5034343434343445"/>
    <n v="7.2737373737373732"/>
    <n v="4.4421568627450982"/>
    <n v="4.6739215686274509"/>
    <m/>
    <n v="1"/>
    <m/>
    <s v="Valleys"/>
    <n v="6.8519463539099998"/>
    <s v="Moderate"/>
    <s v="Midslope"/>
    <n v="8.4776775111099995E-6"/>
    <n v="8.0385475158700004"/>
    <n v="504.54756103433351"/>
    <n v="577.32487118986876"/>
    <n v="1.2410000000000001"/>
    <n v="1.405"/>
    <n v="-0.16399999999999992"/>
    <n v="4.558039215686275"/>
    <n v="7.3885858585858593"/>
    <n v="2.8305466428995842"/>
    <n v="1351.6799999999998"/>
    <n v="654.72"/>
    <n v="95.399999999999991"/>
    <n v="2101.7999999999997"/>
    <n v="63.699999999999996"/>
    <n v="2038.0999999999997"/>
  </r>
  <r>
    <s v="Inot Songoyani"/>
    <n v="199"/>
    <s v="Hamisi Omary Ladia"/>
    <s v="Hamisi Omary Lagia"/>
    <s v="TSAMASI"/>
    <s v="Samatsi"/>
    <n v="0"/>
    <s v="Homefield"/>
    <s v="Feed livestock"/>
    <s v="OffField feed"/>
    <n v="0"/>
    <m/>
    <m/>
    <s v=""/>
    <m/>
    <n v="0"/>
    <s v=""/>
    <m/>
    <m/>
    <s v=""/>
    <m/>
    <s v=""/>
    <m/>
    <m/>
    <s v=""/>
    <x v="0"/>
    <s v="Purchase"/>
    <n v="0"/>
    <s v=""/>
    <m/>
    <s v=""/>
    <s v=""/>
    <s v="No"/>
    <s v="No"/>
    <s v=""/>
    <n v="1"/>
    <n v="1"/>
    <n v="1"/>
    <n v="5"/>
    <n v="20000"/>
    <s v=""/>
    <n v="1"/>
    <n v="0"/>
    <s v="10"/>
    <x v="3"/>
    <n v="2"/>
    <s v="Yes"/>
    <n v="1"/>
    <s v="Yes"/>
    <n v="1"/>
    <n v="1"/>
    <s v="No"/>
    <s v=""/>
    <m/>
    <n v="2"/>
    <n v="2"/>
    <s v="No"/>
    <s v="No"/>
    <s v="No"/>
    <s v="No"/>
    <s v="No"/>
    <s v="No"/>
    <m/>
    <s v=""/>
    <m/>
    <s v=""/>
    <m/>
    <s v=""/>
    <m/>
    <s v=""/>
    <m/>
    <s v=""/>
    <m/>
    <n v="0"/>
    <s v="very low"/>
    <n v="1"/>
    <n v="2"/>
    <n v="0"/>
    <n v="3"/>
    <n v="0"/>
    <n v="0"/>
    <n v="0"/>
    <s v=""/>
    <n v="30"/>
    <s v="Medium"/>
    <n v="30"/>
    <s v="No"/>
    <s v=""/>
    <s v="No"/>
    <s v=""/>
    <n v="0.25"/>
    <n v="0.75"/>
    <m/>
    <s v="No"/>
    <n v="1"/>
    <n v="1"/>
    <s v="Bags"/>
    <n v="0.24"/>
    <m/>
    <n v="999"/>
    <s v="Bags"/>
    <m/>
    <n v="1"/>
    <n v="3"/>
    <s v="Gorogoro"/>
    <n v="0.12023999999999997"/>
    <x v="1"/>
    <s v="No"/>
    <s v="No"/>
    <s v="No"/>
    <s v="No"/>
    <n v="1"/>
    <n v="2"/>
    <s v="uuid:576bd490-54f6-49e1-984c-5ecba1c24485/secG-G2"/>
    <s v="uuid:576bd490-54f6-49e1-984c-5ecba1c24485/secG-G5"/>
    <n v="-4.2895827293395996"/>
    <n v="35.82958984375"/>
    <n v="1256.199951171875"/>
    <n v="5"/>
    <n v="1706031849"/>
    <s v="uuid:576bd490-54f6-49e1-984c-5ecba1c24485"/>
    <d v="2017-08-01T21:48:09"/>
    <d v="2017-07-22T10:30:57"/>
    <d v="2017-07-22T10:47:05"/>
    <d v="2017-02-06T00:00:00"/>
    <m/>
    <n v="4.1560286738351246"/>
    <n v="2.9449318996415772"/>
    <n v="4.7574603174603176"/>
    <n v="5.4317460317460311"/>
    <m/>
    <s v="FALSEE"/>
    <m/>
    <s v="Valleys"/>
    <n v="3.9993274211899998"/>
    <s v="Gentle"/>
    <s v="Flat"/>
    <n v="8.4776775111099995E-6"/>
    <n v="9.0250988006600004"/>
    <n v="1026.1932158679701"/>
    <n v="1020.6200277317463"/>
    <n v="1.722"/>
    <n v="1.748"/>
    <n v="-2.6000000000000023E-2"/>
    <n v="5.0946031746031739"/>
    <n v="3.5504802867383507"/>
    <n v="-1.5441228878648232"/>
    <n v="84.47999999999999"/>
    <n v="82.003679999999974"/>
    <n v="0"/>
    <n v="166.48367999999996"/>
    <n v="63.699999999999996"/>
    <n v="102.78367999999998"/>
  </r>
  <r>
    <s v="Evaline K Kaaya"/>
    <n v="243"/>
    <s v="Pascal Tsingay Sule"/>
    <s v="Pascal Singay Sule"/>
    <s v="ENDANOGA"/>
    <s v="Endanoga"/>
    <n v="0"/>
    <s v="Homefield"/>
    <s v="Feed livestock"/>
    <s v="OffField feed"/>
    <n v="0"/>
    <m/>
    <m/>
    <s v=""/>
    <m/>
    <n v="0"/>
    <s v=""/>
    <m/>
    <m/>
    <s v=""/>
    <m/>
    <s v=""/>
    <m/>
    <m/>
    <s v=""/>
    <x v="0"/>
    <s v="Own animals"/>
    <n v="0"/>
    <s v=""/>
    <m/>
    <s v=""/>
    <s v=""/>
    <s v="Yes"/>
    <s v="No"/>
    <s v=""/>
    <n v="1"/>
    <n v="3"/>
    <n v="1"/>
    <n v="1"/>
    <s v=""/>
    <s v="Free"/>
    <n v="1"/>
    <n v="0"/>
    <s v="10"/>
    <x v="3"/>
    <n v="2"/>
    <s v="Yes"/>
    <n v="0.5"/>
    <s v="No"/>
    <m/>
    <m/>
    <s v="Yes"/>
    <s v="Rent"/>
    <n v="0.5"/>
    <n v="0.5"/>
    <n v="1"/>
    <s v="No"/>
    <s v="No"/>
    <s v="Yes"/>
    <s v="No"/>
    <s v="No"/>
    <s v="No"/>
    <m/>
    <s v=""/>
    <m/>
    <s v=""/>
    <n v="4"/>
    <s v="Zero grazing"/>
    <m/>
    <s v=""/>
    <m/>
    <s v=""/>
    <m/>
    <n v="0.04"/>
    <s v="very low"/>
    <n v="1"/>
    <n v="1"/>
    <n v="1"/>
    <n v="3"/>
    <n v="0"/>
    <n v="0"/>
    <n v="0"/>
    <s v=""/>
    <n v="7.5"/>
    <s v="Low"/>
    <n v="7.54"/>
    <s v="Yes"/>
    <s v="Super crone"/>
    <s v="Yes"/>
    <s v="Casual"/>
    <n v="0.5"/>
    <n v="0"/>
    <n v="1"/>
    <s v="No"/>
    <n v="0.5"/>
    <n v="3"/>
    <s v="Bags"/>
    <n v="1.4400000000000002"/>
    <m/>
    <m/>
    <s v="Bags"/>
    <m/>
    <n v="0.5"/>
    <n v="2"/>
    <s v="Bags"/>
    <n v="0.96"/>
    <x v="1"/>
    <s v="No"/>
    <s v="No"/>
    <s v="No"/>
    <s v="No"/>
    <n v="1"/>
    <n v="3"/>
    <s v="uuid:a7a25be6-a44d-48f5-b34c-464d83691568/secG-G2"/>
    <s v="uuid:a7a25be6-a44d-48f5-b34c-464d83691568/secG-G5"/>
    <n v="-4.2654929161071777"/>
    <n v="35.845199584960938"/>
    <n v="1373.9000244140625"/>
    <n v="5"/>
    <n v="1706031849"/>
    <s v="uuid:a7a25be6-a44d-48f5-b34c-464d83691568"/>
    <d v="2017-08-31T14:11:26"/>
    <d v="2017-06-09T12:22:01"/>
    <d v="2017-08-31T14:07:06"/>
    <d v="2017-02-22T00:00:00"/>
    <m/>
    <n v="5.8806100217864925"/>
    <n v="5.307189542483659"/>
    <n v="5.9933333333333332"/>
    <n v="5.3186274509803919"/>
    <m/>
    <s v="FALSEE"/>
    <m/>
    <s v="Plains"/>
    <n v="3.1718769073500002"/>
    <s v="Gentle"/>
    <s v="Flat"/>
    <n v="9.0650379657699995E-2"/>
    <n v="12.1861162186"/>
    <n v="209.90886554915275"/>
    <n v="145.7711374982276"/>
    <n v="1.0009999999999999"/>
    <n v="0.93300000000000005"/>
    <n v="6.7999999999999838E-2"/>
    <n v="5.655980392156863"/>
    <n v="5.5938997821350753"/>
    <n v="-6.2080610021787663E-2"/>
    <n v="506.88000000000005"/>
    <n v="654.72"/>
    <n v="0"/>
    <n v="1161.6000000000001"/>
    <n v="63.699999999999996"/>
    <n v="1097.9000000000001"/>
  </r>
  <r>
    <s v="Inot Songoyani"/>
    <n v="166"/>
    <s v="Ally Abdilah Abdala"/>
    <s v="Ally Abdilah Abdala"/>
    <s v="DURU"/>
    <s v="Duru"/>
    <n v="0"/>
    <s v="Homefield"/>
    <s v="Feed livestock"/>
    <s v="OffField feed"/>
    <n v="0"/>
    <m/>
    <m/>
    <s v=""/>
    <m/>
    <n v="0"/>
    <s v=""/>
    <m/>
    <m/>
    <s v=""/>
    <m/>
    <s v=""/>
    <m/>
    <m/>
    <s v=""/>
    <x v="0"/>
    <s v="Free"/>
    <n v="0"/>
    <s v=""/>
    <m/>
    <s v=""/>
    <s v=""/>
    <s v="No"/>
    <s v="No"/>
    <s v=""/>
    <n v="1"/>
    <s v="1 2 3 4 5 888"/>
    <n v="5"/>
    <n v="5"/>
    <s v=""/>
    <s v="Free"/>
    <n v="1"/>
    <n v="0"/>
    <s v="10"/>
    <x v="3"/>
    <n v="2"/>
    <s v="No"/>
    <m/>
    <s v="Yes"/>
    <n v="1"/>
    <n v="0.25"/>
    <s v="No"/>
    <s v=""/>
    <m/>
    <n v="0.25"/>
    <n v="0.25"/>
    <s v="No"/>
    <s v="No"/>
    <s v="Yes"/>
    <s v="No"/>
    <s v="No"/>
    <s v="No"/>
    <m/>
    <s v=""/>
    <m/>
    <s v=""/>
    <n v="7"/>
    <s v="Zero grazing"/>
    <m/>
    <s v=""/>
    <m/>
    <s v=""/>
    <m/>
    <n v="7.0000000000000007E-2"/>
    <s v="very low"/>
    <n v="1"/>
    <n v="0"/>
    <n v="0"/>
    <n v="1"/>
    <n v="0"/>
    <n v="0"/>
    <n v="0"/>
    <s v=""/>
    <n v="3.75"/>
    <s v="Low"/>
    <n v="3.82"/>
    <s v="No"/>
    <s v=""/>
    <s v="No"/>
    <s v=""/>
    <n v="0.125"/>
    <n v="0.125"/>
    <m/>
    <s v="Yes"/>
    <n v="0.25"/>
    <n v="5.5"/>
    <s v="Gorogoro"/>
    <n v="0.88175999999999999"/>
    <m/>
    <n v="999"/>
    <s v="Gorogoro"/>
    <m/>
    <n v="0.25"/>
    <n v="0.5"/>
    <s v="Gorogoro"/>
    <n v="8.0159999999999995E-2"/>
    <x v="1"/>
    <s v="Yes"/>
    <s v="Yes"/>
    <s v="Yes"/>
    <s v="Yes"/>
    <n v="5"/>
    <n v="2"/>
    <s v="uuid:932054d1-7888-49bd-914a-71c3e1aa4daa/secG-G2"/>
    <s v="uuid:932054d1-7888-49bd-914a-71c3e1aa4daa/secG-G5"/>
    <n v="-4.319150447845459"/>
    <n v="35.604507446289063"/>
    <n v="1590.5999755859375"/>
    <n v="5"/>
    <n v="1706031849"/>
    <s v="uuid:932054d1-7888-49bd-914a-71c3e1aa4daa"/>
    <d v="2017-07-05T10:22:56"/>
    <d v="2017-07-03T13:00:15"/>
    <d v="2017-07-03T13:10:41"/>
    <d v="2017-01-29T00:00:00"/>
    <m/>
    <n v="4.0569841269841271"/>
    <n v="6.8059788359788369"/>
    <n v="4.4190828924162258"/>
    <n v="4.1530511463844801"/>
    <m/>
    <n v="1"/>
    <m/>
    <s v="Open slopes"/>
    <n v="12.976887702899999"/>
    <s v="Strong"/>
    <s v="Midslope"/>
    <n v="-0.27191722393000001"/>
    <n v="7.2643718719499999"/>
    <n v="274.18974685744104"/>
    <n v="154.49878104285798"/>
    <n v="1.1240000000000001"/>
    <n v="1.07"/>
    <n v="5.4000000000000048E-2"/>
    <n v="4.2860670194003525"/>
    <n v="5.431481481481482"/>
    <n v="1.1454144620811295"/>
    <n v="310.37952000000001"/>
    <n v="54.669119999999999"/>
    <n v="0"/>
    <n v="365.04864000000003"/>
    <n v="63.699999999999996"/>
    <n v="301.34864000000005"/>
  </r>
  <r>
    <s v="Evaline K Kaaya"/>
    <n v="246"/>
    <s v="Omary Dodo Tekway"/>
    <s v="Omary Dodo Tekway"/>
    <s v="ENDANOGA"/>
    <s v="Endanoga"/>
    <n v="0"/>
    <s v="Homefield"/>
    <s v="Bury"/>
    <s v="Bury"/>
    <n v="0"/>
    <m/>
    <m/>
    <s v=""/>
    <m/>
    <n v="0"/>
    <s v=""/>
    <m/>
    <m/>
    <s v=""/>
    <m/>
    <s v=""/>
    <m/>
    <m/>
    <s v=""/>
    <x v="0"/>
    <s v="Purchase"/>
    <n v="0"/>
    <s v=""/>
    <m/>
    <s v=""/>
    <s v=""/>
    <s v="No"/>
    <s v="No"/>
    <s v=""/>
    <n v="1"/>
    <n v="888"/>
    <n v="5"/>
    <n v="2"/>
    <n v="35000"/>
    <s v=""/>
    <n v="1"/>
    <n v="0"/>
    <s v="10"/>
    <x v="3"/>
    <n v="2"/>
    <s v="Yes"/>
    <n v="2.5"/>
    <s v="No"/>
    <m/>
    <m/>
    <s v="Yes"/>
    <s v="Rent"/>
    <n v="1.5"/>
    <n v="2.5"/>
    <n v="4"/>
    <s v="No"/>
    <s v="No"/>
    <s v="Yes"/>
    <s v="No"/>
    <s v="No"/>
    <s v="No"/>
    <m/>
    <s v=""/>
    <m/>
    <s v=""/>
    <n v="10"/>
    <s v="Zero grazing"/>
    <m/>
    <s v=""/>
    <m/>
    <s v=""/>
    <m/>
    <n v="0.1"/>
    <s v="very low"/>
    <n v="2"/>
    <n v="2"/>
    <n v="2"/>
    <n v="6"/>
    <n v="0"/>
    <n v="0"/>
    <n v="0"/>
    <s v=""/>
    <n v="37.5"/>
    <s v="Medium"/>
    <n v="37.6"/>
    <s v="Yes"/>
    <s v="Super crone"/>
    <s v="Yes"/>
    <s v="Casual"/>
    <n v="1"/>
    <n v="0"/>
    <n v="1.25"/>
    <s v="No"/>
    <n v="1.25"/>
    <n v="15"/>
    <s v="Bags"/>
    <n v="2.88"/>
    <m/>
    <m/>
    <s v="Bags"/>
    <m/>
    <n v="1.25"/>
    <n v="4"/>
    <s v="Bags"/>
    <n v="0.76800000000000002"/>
    <x v="1"/>
    <s v="Yes"/>
    <s v="Yes"/>
    <s v="Yes"/>
    <s v="Yes"/>
    <n v="5"/>
    <n v="3"/>
    <s v="uuid:3632d6d7-efd2-41a2-bdc4-db27023f1c71/secG-G2"/>
    <s v="uuid:3632d6d7-efd2-41a2-bdc4-db27023f1c71/secG-G5"/>
    <n v="-4.2683243751525879"/>
    <n v="35.845981597900391"/>
    <n v="1378.199951171875"/>
    <n v="5"/>
    <n v="1706031849"/>
    <s v="uuid:3632d6d7-efd2-41a2-bdc4-db27023f1c71"/>
    <d v="2017-08-31T14:11:29"/>
    <d v="2017-06-09T14:15:15"/>
    <d v="2017-08-31T14:08:06"/>
    <d v="2017-02-02T00:00:00"/>
    <m/>
    <n v="5.4784722222222237"/>
    <n v="5.0368402777777783"/>
    <n v="4.2137948717948728"/>
    <n v="3.6386837606837608"/>
    <m/>
    <n v="1"/>
    <m/>
    <s v="Plains"/>
    <n v="3.4858486652399998"/>
    <s v="Gentle"/>
    <s v="Flat"/>
    <n v="8.4776775111099995E-6"/>
    <n v="11.2769908905"/>
    <n v="457.07052649984234"/>
    <n v="299.14396544609201"/>
    <n v="1.796"/>
    <n v="1.903"/>
    <n v="-0.10699999999999998"/>
    <n v="3.9262393162393168"/>
    <n v="5.257656250000001"/>
    <n v="1.3314169337606843"/>
    <n v="1013.76"/>
    <n v="523.77600000000007"/>
    <n v="0"/>
    <n v="1537.5360000000001"/>
    <n v="63.699999999999996"/>
    <n v="1473.836"/>
  </r>
  <r>
    <s v="Evaline K Kaaya"/>
    <n v="247"/>
    <s v="Magdalena Petro Lagwe"/>
    <s v="Magdalena Petro Lagwe"/>
    <s v="ENDANOGA"/>
    <s v="Endanoga"/>
    <n v="0"/>
    <s v="Homefield"/>
    <s v="Bury"/>
    <s v="Bury"/>
    <n v="0"/>
    <m/>
    <m/>
    <s v=""/>
    <m/>
    <n v="0"/>
    <s v=""/>
    <m/>
    <m/>
    <s v=""/>
    <m/>
    <s v=""/>
    <m/>
    <m/>
    <s v=""/>
    <x v="0"/>
    <s v="Purchase"/>
    <n v="0"/>
    <s v=""/>
    <m/>
    <s v=""/>
    <s v=""/>
    <s v="No"/>
    <s v="No"/>
    <s v=""/>
    <n v="1"/>
    <n v="3"/>
    <n v="1"/>
    <n v="6"/>
    <n v="5000"/>
    <s v=""/>
    <n v="1"/>
    <n v="0"/>
    <s v="10"/>
    <x v="3"/>
    <n v="2"/>
    <s v="Yes"/>
    <n v="0.75"/>
    <s v="Yes"/>
    <n v="1"/>
    <n v="1"/>
    <s v="No"/>
    <s v=""/>
    <m/>
    <n v="1.75"/>
    <n v="1.75"/>
    <s v="No"/>
    <s v="Yes"/>
    <s v="No"/>
    <s v="No"/>
    <s v="No"/>
    <s v="No"/>
    <m/>
    <s v=""/>
    <n v="3"/>
    <s v="Zero grazing"/>
    <m/>
    <s v=""/>
    <m/>
    <s v=""/>
    <m/>
    <s v=""/>
    <m/>
    <n v="0.30000000000000004"/>
    <s v="very low"/>
    <n v="1"/>
    <n v="1"/>
    <n v="1"/>
    <n v="3"/>
    <n v="0"/>
    <n v="0"/>
    <n v="0"/>
    <s v=""/>
    <n v="26.25"/>
    <s v="Medium"/>
    <n v="26.55"/>
    <s v="Yes"/>
    <s v="Super crone"/>
    <s v="Yes"/>
    <s v="Casual"/>
    <n v="0.25"/>
    <n v="0"/>
    <n v="1"/>
    <s v="Yes"/>
    <n v="1.5"/>
    <n v="3"/>
    <s v="Gorogoro"/>
    <n v="8.0159999999999995E-2"/>
    <m/>
    <m/>
    <s v="Bags"/>
    <m/>
    <n v="1.5"/>
    <n v="5"/>
    <s v="Bags"/>
    <n v="0.79999999999999993"/>
    <x v="0"/>
    <s v="Yes"/>
    <s v="No"/>
    <s v="No"/>
    <s v="No"/>
    <n v="1"/>
    <n v="2"/>
    <s v="uuid:1b9beef5-6964-447a-bcaa-fc1686e9a674/secG-G2"/>
    <s v="uuid:1b9beef5-6964-447a-bcaa-fc1686e9a674/secG-G5"/>
    <n v="-4.2666792869567871"/>
    <n v="35.846050262451172"/>
    <n v="1378.9000244140625"/>
    <n v="5"/>
    <n v="1706031849"/>
    <s v="uuid:1b9beef5-6964-447a-bcaa-fc1686e9a674"/>
    <d v="2017-08-31T14:11:31"/>
    <d v="2017-06-09T14:51:49"/>
    <d v="2017-08-31T14:08:22"/>
    <d v="2017-02-23T00:00:00"/>
    <m/>
    <n v="5.483109243697478"/>
    <n v="4.5225210084033618"/>
    <n v="4.3584362139917694"/>
    <n v="4.3279149519890261"/>
    <m/>
    <n v="1"/>
    <m/>
    <s v="Plains"/>
    <n v="3.4926533699000002"/>
    <s v="Gentle"/>
    <s v="Flat"/>
    <n v="0.27193418145199999"/>
    <n v="11.186497688299999"/>
    <n v="360.60633680956835"/>
    <n v="376.8985322662075"/>
    <n v="1.8540000000000001"/>
    <n v="1.7549999999999999"/>
    <n v="9.9000000000000199E-2"/>
    <n v="4.3431755829903977"/>
    <n v="5.0028151260504199"/>
    <n v="0.65963954306002215"/>
    <n v="28.21632"/>
    <n v="545.59999999999991"/>
    <n v="0"/>
    <n v="573.81631999999991"/>
    <n v="63.699999999999996"/>
    <n v="510.11631999999992"/>
  </r>
  <r>
    <s v="Inot Songoyani"/>
    <n v="134"/>
    <s v="Paskali Zakayo Barie"/>
    <s v="Paskali Zakayo Barie"/>
    <s v="AYAMANGO"/>
    <s v="Ayamango"/>
    <n v="1"/>
    <s v="outfield"/>
    <s v="Feed livestock"/>
    <s v="OffField feed"/>
    <n v="0"/>
    <m/>
    <m/>
    <s v=""/>
    <m/>
    <n v="0"/>
    <s v=""/>
    <m/>
    <m/>
    <s v=""/>
    <m/>
    <m/>
    <m/>
    <m/>
    <s v=""/>
    <x v="1"/>
    <s v=""/>
    <n v="0"/>
    <s v=""/>
    <m/>
    <s v=""/>
    <s v=""/>
    <s v="No"/>
    <s v="No"/>
    <s v=""/>
    <n v="1"/>
    <n v="888"/>
    <n v="5"/>
    <n v="30"/>
    <n v="5000"/>
    <s v=""/>
    <n v="1"/>
    <n v="0"/>
    <s v="10"/>
    <x v="3"/>
    <n v="2"/>
    <s v="Yes"/>
    <n v="0.125"/>
    <s v="Yes"/>
    <n v="1"/>
    <n v="7"/>
    <s v="Yes"/>
    <s v="Rent"/>
    <n v="17"/>
    <n v="7.125"/>
    <n v="24.125"/>
    <s v="Yes"/>
    <s v="No"/>
    <s v="Yes"/>
    <s v="No"/>
    <s v="No"/>
    <s v="No"/>
    <n v="4"/>
    <s v="Both"/>
    <m/>
    <s v=""/>
    <n v="13"/>
    <s v="Both"/>
    <m/>
    <s v=""/>
    <m/>
    <s v=""/>
    <m/>
    <n v="4.13"/>
    <s v="Low"/>
    <n v="1"/>
    <n v="1"/>
    <n v="3"/>
    <n v="5"/>
    <n v="0"/>
    <n v="1"/>
    <n v="1"/>
    <s v=""/>
    <n v="107.97499999999999"/>
    <s v="High"/>
    <n v="112.105"/>
    <s v="Yes"/>
    <s v="Karate"/>
    <s v="Yes"/>
    <s v="Casual"/>
    <n v="1"/>
    <n v="1"/>
    <m/>
    <s v="Yes"/>
    <n v="1"/>
    <n v="3"/>
    <s v="Bags"/>
    <n v="0.72000000000000008"/>
    <m/>
    <n v="999"/>
    <s v="Bags"/>
    <m/>
    <n v="1"/>
    <n v="1.5"/>
    <s v="Bags"/>
    <n v="0.36"/>
    <x v="0"/>
    <s v="No"/>
    <s v="No"/>
    <s v="No"/>
    <s v="No"/>
    <n v="0"/>
    <n v="4"/>
    <s v="uuid:c06e86e3-5935-4b73-b44b-0b073f2843f2/secG-G2"/>
    <s v="uuid:c06e86e3-5935-4b73-b44b-0b073f2843f2/secG-G5"/>
    <n v="-4.2300820350646973"/>
    <n v="35.874034881591797"/>
    <n v="1280.800048828125"/>
    <n v="5"/>
    <n v="1706031849"/>
    <s v="uuid:c06e86e3-5935-4b73-b44b-0b073f2843f2"/>
    <d v="2017-06-21T19:46:42"/>
    <d v="2017-06-21T14:53:50"/>
    <d v="2017-06-21T15:07:55"/>
    <d v="2017-02-04T00:00:00"/>
    <m/>
    <n v="7.1865365365365355"/>
    <n v="4.32027027027027"/>
    <n v="2.2675052410901468"/>
    <n v="3.1777777777777776"/>
    <m/>
    <n v="1"/>
    <m/>
    <s v="Plains"/>
    <n v="2.8894991874699998"/>
    <s v="Gentle"/>
    <s v="Flat"/>
    <n v="8.4776775111099995E-6"/>
    <n v="8.6223344802900002"/>
    <n v="177.84000152369043"/>
    <n v="342.93046156074189"/>
    <n v="1.1919999999999999"/>
    <n v="1.3620000000000001"/>
    <n v="-0.17000000000000015"/>
    <n v="2.722641509433962"/>
    <n v="5.7534034034034027"/>
    <n v="3.0307618939694407"/>
    <n v="253.44000000000003"/>
    <n v="245.51999999999998"/>
    <n v="0"/>
    <n v="498.96000000000004"/>
    <n v="0"/>
    <n v="498.96000000000004"/>
  </r>
  <r>
    <s v="Inot Songoyani"/>
    <n v="198"/>
    <s v="Maneno Malimu Simba"/>
    <s v="Maneno Malimu Simba"/>
    <s v="TSAMASI"/>
    <s v="Samatsi"/>
    <n v="0"/>
    <s v="Homefield"/>
    <s v="Feed livestock"/>
    <s v="OffField feed"/>
    <n v="0"/>
    <m/>
    <m/>
    <s v=""/>
    <m/>
    <n v="0"/>
    <s v=""/>
    <m/>
    <m/>
    <s v=""/>
    <m/>
    <s v=""/>
    <m/>
    <m/>
    <s v=""/>
    <x v="1"/>
    <s v=""/>
    <n v="0"/>
    <s v=""/>
    <m/>
    <s v=""/>
    <s v=""/>
    <s v="Yes"/>
    <s v="No"/>
    <s v=""/>
    <n v="1"/>
    <n v="3"/>
    <n v="1"/>
    <n v="1"/>
    <n v="2500"/>
    <s v=""/>
    <n v="1"/>
    <n v="0"/>
    <s v="10"/>
    <x v="3"/>
    <n v="2"/>
    <s v="Yes"/>
    <n v="0.5"/>
    <s v="Yes"/>
    <n v="2"/>
    <n v="2.25"/>
    <s v="No"/>
    <s v=""/>
    <m/>
    <n v="2.75"/>
    <n v="2.75"/>
    <s v="Yes"/>
    <s v="Yes"/>
    <s v="Yes"/>
    <s v="No"/>
    <s v="No"/>
    <s v="No"/>
    <n v="4"/>
    <s v="Both"/>
    <n v="5"/>
    <s v="Both"/>
    <n v="9"/>
    <s v="Both"/>
    <m/>
    <s v=""/>
    <m/>
    <s v=""/>
    <m/>
    <n v="4.59"/>
    <s v="Low"/>
    <n v="2"/>
    <n v="1"/>
    <n v="1"/>
    <n v="4"/>
    <n v="0"/>
    <n v="0"/>
    <n v="1"/>
    <s v=""/>
    <n v="41.55"/>
    <s v="Medium"/>
    <n v="46.14"/>
    <s v="No"/>
    <s v=""/>
    <s v="Yes"/>
    <s v="Casual"/>
    <n v="0.5"/>
    <n v="1"/>
    <m/>
    <s v="No"/>
    <n v="1.25"/>
    <n v="2"/>
    <s v="Bags"/>
    <n v="0.38400000000000001"/>
    <m/>
    <n v="999"/>
    <s v="Bags"/>
    <m/>
    <n v="1.25"/>
    <n v="3"/>
    <s v="Gorogoro"/>
    <n v="9.6191999999999972E-2"/>
    <x v="0"/>
    <s v="No"/>
    <s v="Yes"/>
    <s v="No"/>
    <s v="No"/>
    <n v="1"/>
    <n v="3"/>
    <s v="uuid:b40e5b36-d344-4758-afca-f2eec5c5f754/secG-G2"/>
    <s v="uuid:b40e5b36-d344-4758-afca-f2eec5c5f754/secG-G5"/>
    <n v="-4.2869071960449219"/>
    <n v="35.829563140869141"/>
    <n v="1325.800048828125"/>
    <n v="5"/>
    <n v="1706031849"/>
    <s v="uuid:b40e5b36-d344-4758-afca-f2eec5c5f754"/>
    <d v="2017-08-01T21:46:54"/>
    <d v="2017-07-22T09:58:19"/>
    <d v="2017-07-22T10:15:50"/>
    <d v="2017-02-24T00:00:00"/>
    <m/>
    <n v="4.2727063162747818"/>
    <n v="4.9256569847856166"/>
    <n v="4.8115491009681888"/>
    <n v="6.1301290917473494"/>
    <m/>
    <s v="FALSEE"/>
    <m/>
    <s v="Plains"/>
    <n v="1.97740852833"/>
    <s v="Very gentle"/>
    <s v="Flat"/>
    <n v="-0.45320102572400001"/>
    <n v="9.6855897903399999"/>
    <n v="1072.1720179918159"/>
    <n v="357.4106395211204"/>
    <n v="1.6439999999999999"/>
    <n v="1.7869999999999999"/>
    <n v="-0.14300000000000002"/>
    <n v="5.4708390963577695"/>
    <n v="4.5991816505301992"/>
    <n v="-0.87165744582757032"/>
    <n v="135.16800000000001"/>
    <n v="65.602943999999979"/>
    <n v="0"/>
    <n v="200.77094399999999"/>
    <n v="0"/>
    <n v="200.77094399999999"/>
  </r>
  <r>
    <s v="Inot Songoyani"/>
    <n v="11"/>
    <s v="Bathelomeo Akonaay Panga"/>
    <s v="Bathelomeo Akonaay Panga"/>
    <s v="ORNGADIDA"/>
    <s v="Orngadida"/>
    <n v="0"/>
    <s v="Homefield"/>
    <s v="Bury"/>
    <s v="Bury"/>
    <n v="0"/>
    <m/>
    <m/>
    <s v=""/>
    <m/>
    <n v="0"/>
    <s v=""/>
    <m/>
    <s v="Variable"/>
    <s v="Other fields in my home village"/>
    <m/>
    <s v="Other, Specify"/>
    <n v="999"/>
    <m/>
    <s v=""/>
    <x v="0"/>
    <s v="Purchase"/>
    <n v="0"/>
    <s v=""/>
    <m/>
    <s v=""/>
    <s v=""/>
    <s v="No"/>
    <s v="No"/>
    <s v=""/>
    <n v="1"/>
    <s v="2 3"/>
    <n v="2"/>
    <n v="2"/>
    <s v=""/>
    <s v="Crop residues"/>
    <n v="1"/>
    <n v="0"/>
    <s v="10"/>
    <x v="3"/>
    <n v="2"/>
    <s v="Yes"/>
    <n v="0.75"/>
    <s v="Yes"/>
    <n v="2"/>
    <n v="5"/>
    <s v="No"/>
    <s v=""/>
    <m/>
    <n v="5.75"/>
    <n v="5.75"/>
    <s v="Yes"/>
    <s v="No"/>
    <s v="Yes"/>
    <s v="No"/>
    <s v="No"/>
    <s v="No"/>
    <n v="4"/>
    <s v="Both"/>
    <m/>
    <s v=""/>
    <n v="68"/>
    <s v="Both"/>
    <m/>
    <s v=""/>
    <m/>
    <s v=""/>
    <m/>
    <n v="4.68"/>
    <s v="Low"/>
    <n v="1"/>
    <n v="4"/>
    <n v="8"/>
    <n v="13"/>
    <n v="0"/>
    <n v="0"/>
    <n v="0"/>
    <s v=""/>
    <n v="86.25"/>
    <s v="High"/>
    <n v="90.93"/>
    <s v="No"/>
    <s v=""/>
    <s v="No"/>
    <s v=""/>
    <n v="0.25"/>
    <m/>
    <n v="0.25"/>
    <s v="Yes"/>
    <n v="1"/>
    <n v="13"/>
    <s v="Bags"/>
    <n v="3.12"/>
    <m/>
    <n v="999"/>
    <s v="Bags"/>
    <m/>
    <n v="1"/>
    <n v="1"/>
    <s v="Bags"/>
    <n v="0.24"/>
    <x v="0"/>
    <s v="No"/>
    <s v="No"/>
    <s v="No"/>
    <s v="No"/>
    <n v="0"/>
    <n v="3"/>
    <s v="uuid:c366fdc2-2417-4223-853c-424d959f89e9/secG-G2"/>
    <s v="uuid:c366fdc2-2417-4223-853c-424d959f89e9/secG-G5"/>
    <n v="-4.3042616844177246"/>
    <n v="35.875431060791016"/>
    <n v="1258.800048828125"/>
    <n v="5"/>
    <n v="1705231439"/>
    <s v="uuid:c366fdc2-2417-4223-853c-424d959f89e9"/>
    <d v="2017-06-07T14:19:56"/>
    <d v="2017-06-06T14:52:08"/>
    <d v="2017-06-06T15:08:29"/>
    <d v="2017-02-07T00:00:00"/>
    <m/>
    <n v="4.4172016460905352"/>
    <n v="4.0088888888888894"/>
    <n v="2.8333333333333335"/>
    <n v="3.9666666666666668"/>
    <m/>
    <n v="1"/>
    <m/>
    <s v="Plains"/>
    <n v="0.83179336786299995"/>
    <s v="Very gentle"/>
    <s v="Flat"/>
    <n v="-9.0633422136300004E-2"/>
    <n v="7.9720454215999998"/>
    <n v="414.51708608833121"/>
    <n v="22.271874101146533"/>
    <n v="1.339"/>
    <n v="1.365"/>
    <n v="-2.6000000000000023E-2"/>
    <n v="3.4000000000000004"/>
    <n v="4.2130452674897123"/>
    <n v="0.81304526748971195"/>
    <n v="1098.24"/>
    <n v="163.68"/>
    <n v="0"/>
    <n v="1261.92"/>
    <n v="63.699999999999996"/>
    <n v="1198.22"/>
  </r>
  <r>
    <s v="Micheal"/>
    <n v="66"/>
    <s v="Joshua Dobe"/>
    <s v="Joshua Dobe"/>
    <s v="Endanachan"/>
    <s v="Orngadida"/>
    <n v="0"/>
    <s v="Homefield"/>
    <s v="Feed livestock"/>
    <s v="InField feed"/>
    <n v="0"/>
    <m/>
    <m/>
    <s v=""/>
    <m/>
    <n v="0"/>
    <s v=""/>
    <m/>
    <s v="Variable"/>
    <s v="Other fields in my home village"/>
    <m/>
    <s v="This field"/>
    <m/>
    <m/>
    <s v=""/>
    <x v="0"/>
    <s v="Own animals"/>
    <n v="0"/>
    <s v=""/>
    <m/>
    <s v=""/>
    <s v=""/>
    <s v="Yes"/>
    <s v="No"/>
    <m/>
    <n v="1"/>
    <n v="3"/>
    <n v="1"/>
    <n v="2"/>
    <n v="10000"/>
    <s v=""/>
    <n v="1"/>
    <n v="0"/>
    <s v="10"/>
    <x v="3"/>
    <n v="2"/>
    <s v="Yes"/>
    <n v="0.25"/>
    <s v="Yes"/>
    <n v="2"/>
    <n v="4"/>
    <s v="Yes"/>
    <s v="Rent"/>
    <n v="4.25"/>
    <n v="4.25"/>
    <n v="8.5"/>
    <s v="Yes"/>
    <s v="No"/>
    <s v="Yes"/>
    <s v="No"/>
    <s v="No"/>
    <s v="No"/>
    <n v="6"/>
    <s v="Free range"/>
    <m/>
    <s v=""/>
    <n v="6"/>
    <s v="Free range"/>
    <m/>
    <s v=""/>
    <m/>
    <s v=""/>
    <m/>
    <n v="6.06"/>
    <s v="Low"/>
    <n v="1"/>
    <n v="1"/>
    <n v="3"/>
    <n v="5"/>
    <n v="0"/>
    <n v="0"/>
    <n v="0"/>
    <m/>
    <n v="63.75"/>
    <s v="High"/>
    <n v="69.81"/>
    <s v="Yes"/>
    <s v="Kung Fu"/>
    <s v="No"/>
    <s v=""/>
    <n v="0.25"/>
    <n v="3.75"/>
    <n v="0"/>
    <s v="Yes"/>
    <n v="1"/>
    <n v="12"/>
    <s v="Bags"/>
    <n v="2.8800000000000003"/>
    <m/>
    <n v="999"/>
    <s v="Bags"/>
    <m/>
    <n v="1"/>
    <n v="4"/>
    <s v="Bags"/>
    <n v="0.96"/>
    <x v="1"/>
    <s v="Yes"/>
    <s v="Yes"/>
    <s v="Yes"/>
    <s v="Yes"/>
    <n v="5"/>
    <n v="2"/>
    <s v="uuid:a22d50df-ac1f-4062-8a07-b3d2c74bafbd/secG-G2"/>
    <s v="uuid:a22d50df-ac1f-4062-8a07-b3d2c74bafbd/secG-G5"/>
    <n v="-4.355586051940918"/>
    <n v="35.701301574707031"/>
    <n v="1409.0999755859375"/>
    <n v="10"/>
    <n v="1705231439"/>
    <s v="uuid:a22d50df-ac1f-4062-8a07-b3d2c74bafbd"/>
    <d v="2017-07-07T09:17:23"/>
    <d v="2017-06-15T17:00:45"/>
    <d v="2017-07-07T09:15:38"/>
    <d v="2017-01-30T00:00:00"/>
    <m/>
    <n v="6.3372222222222225"/>
    <n v="6.1338888888888894"/>
    <n v="5.0789473684210531"/>
    <n v="4.8757894736842102"/>
    <m/>
    <n v="1"/>
    <m/>
    <s v="Plains"/>
    <n v="4.12190485001"/>
    <s v="Gentle"/>
    <s v="Flat"/>
    <n v="-9.0633422136300004E-2"/>
    <n v="7.5884537696800001"/>
    <n v="390.91281359849768"/>
    <n v="256.84934752251172"/>
    <n v="1.399"/>
    <n v="0.91500000000000004"/>
    <n v="0.48399999999999999"/>
    <n v="4.9773684210526312"/>
    <n v="6.235555555555556"/>
    <n v="1.2581871345029247"/>
    <n v="1013.7600000000001"/>
    <n v="654.72"/>
    <n v="0"/>
    <n v="1668.48"/>
    <n v="63.699999999999996"/>
    <n v="1604.78"/>
  </r>
  <r>
    <s v="Inot Songoyani"/>
    <n v="232"/>
    <s v="MUSTAFA HASSANI ALLY"/>
    <s v="Mustafa Hassani Ally"/>
    <s v="TSAMASI"/>
    <s v="Samatsi"/>
    <n v="0"/>
    <s v="Homefield"/>
    <s v="Feed livestock"/>
    <s v="OffField feed"/>
    <n v="0"/>
    <m/>
    <m/>
    <s v=""/>
    <m/>
    <n v="0"/>
    <s v=""/>
    <m/>
    <m/>
    <s v=""/>
    <m/>
    <s v=""/>
    <m/>
    <m/>
    <s v=""/>
    <x v="0"/>
    <s v="Own animals"/>
    <n v="0"/>
    <s v=""/>
    <m/>
    <s v=""/>
    <s v=""/>
    <s v="Yes"/>
    <s v="No"/>
    <s v=""/>
    <n v="1"/>
    <n v="3"/>
    <n v="1"/>
    <n v="8"/>
    <s v=""/>
    <s v="Transportation"/>
    <n v="1"/>
    <n v="0"/>
    <s v="10"/>
    <x v="3"/>
    <n v="2"/>
    <s v="Yes"/>
    <n v="4"/>
    <s v="Yes"/>
    <n v="3"/>
    <n v="4.25"/>
    <s v="No"/>
    <s v=""/>
    <m/>
    <n v="8.25"/>
    <n v="8.25"/>
    <s v="Yes"/>
    <s v="Yes"/>
    <s v="Yes"/>
    <s v="No"/>
    <s v="No"/>
    <s v="No"/>
    <n v="10"/>
    <s v="Both"/>
    <n v="6"/>
    <s v="Both"/>
    <n v="15"/>
    <s v="Both"/>
    <m/>
    <s v=""/>
    <m/>
    <s v=""/>
    <m/>
    <n v="10.75"/>
    <s v="Medium"/>
    <n v="2"/>
    <n v="2"/>
    <n v="6"/>
    <n v="10"/>
    <n v="0"/>
    <n v="1"/>
    <n v="1"/>
    <s v=""/>
    <n v="124.85"/>
    <s v="High"/>
    <n v="135.6"/>
    <s v="No"/>
    <s v=""/>
    <s v="Yes"/>
    <s v="Casual"/>
    <n v="0.25"/>
    <n v="3.75"/>
    <m/>
    <s v="Yes"/>
    <n v="4"/>
    <n v="50"/>
    <s v="Bags"/>
    <n v="3"/>
    <m/>
    <n v="999"/>
    <s v="Bags"/>
    <m/>
    <n v="4"/>
    <n v="8"/>
    <s v="Bags"/>
    <n v="0.48"/>
    <x v="0"/>
    <s v="Yes"/>
    <s v="No"/>
    <s v="Yes"/>
    <s v="No"/>
    <n v="2"/>
    <n v="2"/>
    <s v="uuid:cdc2ef68-bf8b-495d-9e19-4c6c80a24af4/secG-G2"/>
    <s v="uuid:cdc2ef68-bf8b-495d-9e19-4c6c80a24af4/secG-G5"/>
    <n v="-4.2912087440490723"/>
    <n v="35.824909210205078"/>
    <n v="1325.199951171875"/>
    <n v="5"/>
    <n v="1706031849"/>
    <s v="uuid:cdc2ef68-bf8b-495d-9e19-4c6c80a24af4"/>
    <d v="2017-08-04T00:20:36"/>
    <d v="2017-07-24T15:02:52"/>
    <d v="2017-08-03T23:52:33"/>
    <d v="2017-03-03T00:00:00"/>
    <m/>
    <m/>
    <m/>
    <m/>
    <m/>
    <m/>
    <n v="1"/>
    <m/>
    <s v="Valleys"/>
    <n v="1.7505050897600001"/>
    <s v="Very gentle"/>
    <s v="Flat"/>
    <n v="0.45321798324599999"/>
    <n v="10.6540765762"/>
    <n v="332.0746750701914"/>
    <n v="853.42438364503391"/>
    <n v="1.117"/>
    <n v="1.712"/>
    <n v="-0.59499999999999997"/>
    <m/>
    <m/>
    <m/>
    <n v="1056"/>
    <n v="327.36"/>
    <n v="0"/>
    <n v="1383.3600000000001"/>
    <n v="63.699999999999996"/>
    <n v="1319.66"/>
  </r>
  <r>
    <s v="Inot Songoyani"/>
    <n v="151"/>
    <s v="Marki Tiodori Stanslaus"/>
    <s v="Marki Tiodori Stanslaus"/>
    <s v="HALLU"/>
    <s v="Hallu"/>
    <n v="0"/>
    <s v="Homefield"/>
    <s v="Feed livestock"/>
    <s v="OffField feed"/>
    <n v="0"/>
    <m/>
    <m/>
    <s v=""/>
    <m/>
    <n v="0"/>
    <s v=""/>
    <m/>
    <m/>
    <s v=""/>
    <m/>
    <s v=""/>
    <m/>
    <m/>
    <s v=""/>
    <x v="0"/>
    <s v="Own animals"/>
    <n v="0"/>
    <s v=""/>
    <m/>
    <s v=""/>
    <s v=""/>
    <s v="Yes"/>
    <s v="No"/>
    <s v=""/>
    <n v="1"/>
    <n v="4"/>
    <n v="1"/>
    <n v="8"/>
    <n v="5000"/>
    <m/>
    <n v="1"/>
    <n v="0"/>
    <s v="10"/>
    <x v="3"/>
    <n v="2"/>
    <s v="Yes"/>
    <n v="0.75"/>
    <s v="Yes"/>
    <n v="2"/>
    <n v="8"/>
    <s v="No"/>
    <s v=""/>
    <m/>
    <n v="8.75"/>
    <n v="8.75"/>
    <s v="Yes"/>
    <s v="Yes"/>
    <s v="Yes"/>
    <s v="Yes"/>
    <s v="No"/>
    <s v="No"/>
    <n v="12"/>
    <s v="Both"/>
    <n v="8"/>
    <s v="Both"/>
    <n v="1"/>
    <s v="Both"/>
    <n v="8"/>
    <s v="Both"/>
    <m/>
    <s v=""/>
    <m/>
    <n v="13.610000000000001"/>
    <s v="Medium"/>
    <n v="1"/>
    <n v="2"/>
    <n v="6"/>
    <n v="9"/>
    <n v="0"/>
    <n v="1"/>
    <n v="0"/>
    <s v=""/>
    <n v="132.05000000000001"/>
    <s v="High"/>
    <n v="145.66"/>
    <s v="No"/>
    <s v=""/>
    <s v="Yes"/>
    <s v="Casual"/>
    <n v="0.25"/>
    <n v="0.125"/>
    <m/>
    <s v="Yes"/>
    <n v="0.375"/>
    <n v="6"/>
    <s v="Bags"/>
    <n v="3.8400000000000003"/>
    <m/>
    <n v="999"/>
    <s v="Bags"/>
    <m/>
    <n v="0.375"/>
    <n v="3"/>
    <s v="Bags"/>
    <n v="1.92"/>
    <x v="0"/>
    <s v="Yes"/>
    <s v="No"/>
    <s v="No"/>
    <s v="No"/>
    <n v="1"/>
    <n v="2"/>
    <s v="uuid:a5489a15-dedb-4543-adf3-45c1118e38b0/secG-G2"/>
    <s v="uuid:a5489a15-dedb-4543-adf3-45c1118e38b0/secG-G5"/>
    <n v="-4.2970290184020996"/>
    <n v="35.890232086181641"/>
    <n v="1214.300048828125"/>
    <n v="5"/>
    <n v="1706031849"/>
    <s v="uuid:a5489a15-dedb-4543-adf3-45c1118e38b0"/>
    <d v="2017-06-27T15:19:37"/>
    <d v="2017-06-23T14:59:20"/>
    <d v="2017-06-23T15:18:36"/>
    <d v="2017-02-22T00:00:00"/>
    <m/>
    <n v="4.8813771517996871"/>
    <n v="5.0391236306729272"/>
    <n v="3.760879120879121"/>
    <n v="3.6397557997557994"/>
    <m/>
    <n v="1"/>
    <m/>
    <s v="Plains"/>
    <n v="0.66437512636200002"/>
    <s v="Very gentle"/>
    <s v="Flat"/>
    <n v="-0.27191722393000001"/>
    <n v="9.5276403427100007"/>
    <n v="130.30322297000242"/>
    <m/>
    <n v="1.0940000000000001"/>
    <n v="2.153"/>
    <n v="-1.0589999999999999"/>
    <n v="3.7003174603174602"/>
    <n v="4.9602503912363076"/>
    <n v="1.2599329309188474"/>
    <n v="1351.68"/>
    <n v="1309.44"/>
    <n v="0"/>
    <n v="2661.12"/>
    <n v="63.699999999999996"/>
    <n v="2597.42"/>
  </r>
  <r>
    <s v="Inot Songoyani"/>
    <n v="144"/>
    <s v="Silvini Jabu Bombo"/>
    <s v="Silvini Jabu Bombo"/>
    <s v="AYAMANGO"/>
    <s v="Ayamango"/>
    <n v="0"/>
    <s v="Homefield"/>
    <s v="Feed livestock"/>
    <s v="InField feed"/>
    <n v="0"/>
    <m/>
    <m/>
    <s v=""/>
    <m/>
    <n v="0"/>
    <s v=""/>
    <m/>
    <m/>
    <s v=""/>
    <m/>
    <s v=""/>
    <m/>
    <m/>
    <s v=""/>
    <x v="1"/>
    <s v=""/>
    <n v="0"/>
    <s v=""/>
    <m/>
    <s v=""/>
    <s v=""/>
    <s v="Yes"/>
    <s v="No"/>
    <s v=""/>
    <n v="1"/>
    <n v="4"/>
    <n v="1"/>
    <n v="6"/>
    <s v=""/>
    <s v="Free"/>
    <n v="1"/>
    <n v="0"/>
    <s v="10"/>
    <x v="3"/>
    <n v="2"/>
    <s v="Yes"/>
    <n v="2"/>
    <s v="Yes"/>
    <n v="2"/>
    <n v="12"/>
    <s v="No"/>
    <s v=""/>
    <m/>
    <n v="14"/>
    <n v="14"/>
    <s v="Yes"/>
    <s v="Yes"/>
    <s v="Yes"/>
    <s v="No"/>
    <s v="No"/>
    <s v="No"/>
    <n v="20"/>
    <s v="Both"/>
    <n v="6"/>
    <s v="Free range"/>
    <n v="2"/>
    <s v="Both"/>
    <m/>
    <s v=""/>
    <m/>
    <s v=""/>
    <m/>
    <n v="20.62"/>
    <s v="High"/>
    <n v="1"/>
    <n v="1"/>
    <n v="5"/>
    <n v="7"/>
    <n v="0"/>
    <n v="0"/>
    <n v="2"/>
    <s v=""/>
    <n v="210.6"/>
    <s v="High"/>
    <n v="231.22"/>
    <s v="No"/>
    <s v=""/>
    <s v="Yes"/>
    <s v="Casual"/>
    <n v="0.375"/>
    <n v="0.375"/>
    <m/>
    <s v="No"/>
    <n v="0.75"/>
    <n v="4"/>
    <s v="Bags"/>
    <n v="1.28"/>
    <m/>
    <n v="999"/>
    <s v="Bags"/>
    <m/>
    <n v="0.75"/>
    <n v="2"/>
    <s v="Bags"/>
    <n v="0.64"/>
    <x v="0"/>
    <s v="No"/>
    <s v="No"/>
    <s v="No"/>
    <s v="No"/>
    <n v="0"/>
    <n v="3"/>
    <s v="uuid:1aaafa33-7731-4947-9543-b03ad8c01f76/secG-G2"/>
    <s v="uuid:1aaafa33-7731-4947-9543-b03ad8c01f76/secG-G5"/>
    <n v="-4.2444968223571777"/>
    <n v="35.890701293945313"/>
    <n v="1201.4000244140625"/>
    <n v="5"/>
    <n v="1706031849"/>
    <s v="uuid:1aaafa33-7731-4947-9543-b03ad8c01f76"/>
    <d v="2017-06-23T11:53:58"/>
    <d v="2017-06-22T11:48:57"/>
    <d v="2017-06-22T12:02:20"/>
    <d v="2017-02-14T00:00:00"/>
    <m/>
    <n v="5.3983333333333325"/>
    <n v="6.3379166666666666"/>
    <n v="4.4112820512820505"/>
    <n v="5.1897435897435891"/>
    <m/>
    <n v="1"/>
    <m/>
    <s v="Plains"/>
    <n v="0.93315756320999999"/>
    <s v="Very gentle"/>
    <s v="Flat"/>
    <n v="9.0650379657699995E-2"/>
    <n v="10.5559015274"/>
    <n v="484.20066962021053"/>
    <n v="371.34360986167974"/>
    <n v="2.056"/>
    <n v="1.704"/>
    <n v="0.35200000000000009"/>
    <n v="4.8005128205128198"/>
    <n v="5.8681249999999991"/>
    <n v="1.0676121794871793"/>
    <n v="450.56"/>
    <n v="436.48"/>
    <n v="0"/>
    <n v="887.04"/>
    <n v="0"/>
    <n v="887.04"/>
  </r>
  <r>
    <s v="Michael"/>
    <n v="58"/>
    <s v="Michael Bado"/>
    <s v="Michael Bado"/>
    <s v="MANDI"/>
    <s v="Samatsi"/>
    <n v="2"/>
    <s v="outfield"/>
    <s v="Feed livestock"/>
    <s v="OffField feed"/>
    <n v="0"/>
    <m/>
    <m/>
    <s v=""/>
    <m/>
    <n v="1"/>
    <s v="This season"/>
    <n v="2"/>
    <n v="1"/>
    <s v="Other fields in my home village"/>
    <m/>
    <s v="My 'home field' away from here"/>
    <m/>
    <n v="15000"/>
    <s v=""/>
    <x v="0"/>
    <s v="Own animals"/>
    <n v="0"/>
    <s v=""/>
    <m/>
    <s v=""/>
    <s v=""/>
    <s v="Yes"/>
    <s v="No"/>
    <m/>
    <n v="1"/>
    <n v="2"/>
    <n v="1"/>
    <n v="5"/>
    <n v="5000"/>
    <s v=""/>
    <n v="2"/>
    <n v="0"/>
    <s v="20"/>
    <x v="4"/>
    <n v="3"/>
    <s v="Yes"/>
    <n v="1"/>
    <s v="Yes"/>
    <n v="2"/>
    <n v="3"/>
    <s v="Yes"/>
    <s v="Rent"/>
    <n v="3.5"/>
    <n v="4"/>
    <n v="7.5"/>
    <s v="Yes"/>
    <s v="Yes"/>
    <s v="Yes"/>
    <s v="No"/>
    <s v="No"/>
    <s v="No"/>
    <n v="2"/>
    <s v="Zero grazing"/>
    <n v="5"/>
    <s v="Zero grazing"/>
    <n v="15"/>
    <s v="Free range"/>
    <m/>
    <s v=""/>
    <m/>
    <s v=""/>
    <m/>
    <n v="2.65"/>
    <s v="Low"/>
    <n v="2"/>
    <n v="2"/>
    <n v="0"/>
    <n v="4"/>
    <n v="0"/>
    <n v="0"/>
    <n v="1"/>
    <m/>
    <n v="60.3"/>
    <s v="High"/>
    <n v="62.95"/>
    <s v="Yes"/>
    <s v="Ninja,Profecnol"/>
    <s v="Yes"/>
    <s v="Multiple"/>
    <n v="0.25"/>
    <n v="2.25"/>
    <n v="0"/>
    <s v="Yes"/>
    <n v="1"/>
    <n v="20"/>
    <s v="Bags"/>
    <n v="4.8"/>
    <n v="1"/>
    <n v="2"/>
    <s v="Bags"/>
    <n v="0.48"/>
    <m/>
    <n v="999"/>
    <s v="Bags"/>
    <m/>
    <x v="1"/>
    <s v="No"/>
    <s v="Yes"/>
    <s v="No"/>
    <s v="Yes"/>
    <n v="3"/>
    <n v="3"/>
    <s v="uuid:50d6580d-8562-4988-bca0-686a9666b7ad/secG-G2"/>
    <s v="uuid:50d6580d-8562-4988-bca0-686a9666b7ad/secG-G5"/>
    <n v="-4.3318023681640625"/>
    <n v="35.450305938720703"/>
    <n v="1565.4000244140625"/>
    <n v="5"/>
    <n v="1705231439"/>
    <s v="uuid:50d6580d-8562-4988-bca0-686a9666b7ad"/>
    <d v="2017-07-07T09:09:51"/>
    <d v="2017-06-22T15:21:08"/>
    <d v="2017-06-22T15:41:36"/>
    <d v="2017-02-10T00:00:00"/>
    <m/>
    <n v="3.8153846153846156"/>
    <n v="5.3743589743589739"/>
    <n v="4.0177777777777779"/>
    <n v="2.7936111111111108"/>
    <m/>
    <n v="1"/>
    <m/>
    <s v="Plains"/>
    <n v="0"/>
    <s v="Depression"/>
    <s v="Flat"/>
    <n v="8.4776775111099995E-6"/>
    <n v="11.4374370575"/>
    <n v="491.77961188423967"/>
    <n v="371.7608898733568"/>
    <n v="1.6890000000000001"/>
    <n v="1.772"/>
    <n v="-8.2999999999999963E-2"/>
    <n v="3.4056944444444444"/>
    <n v="4.5948717948717945"/>
    <n v="1.1891773504273502"/>
    <n v="1689.6"/>
    <n v="0"/>
    <n v="381.59999999999997"/>
    <n v="2071.1999999999998"/>
    <n v="63.699999999999996"/>
    <n v="2007.4999999999998"/>
  </r>
  <r>
    <s v="Evaline K Kaaya"/>
    <n v="244"/>
    <s v="Christina Paulo Moringa"/>
    <s v="Christina Paulo Moringe"/>
    <s v="ENDANOGA"/>
    <s v="Endanoga"/>
    <n v="0"/>
    <s v="Homefield"/>
    <s v="Feed livestock"/>
    <s v="OffField feed"/>
    <n v="0"/>
    <m/>
    <m/>
    <s v=""/>
    <m/>
    <n v="1"/>
    <s v="Every year"/>
    <n v="4"/>
    <n v="5"/>
    <s v="Fields more than 3 km away from my village"/>
    <n v="5"/>
    <s v="This field"/>
    <m/>
    <n v="15000"/>
    <s v=""/>
    <x v="0"/>
    <s v="Own animals and purchase"/>
    <n v="0"/>
    <s v=""/>
    <m/>
    <s v=""/>
    <s v=""/>
    <s v="Yes"/>
    <s v="No"/>
    <s v=""/>
    <n v="1"/>
    <n v="4"/>
    <n v="1"/>
    <n v="7"/>
    <s v=""/>
    <s v="Maize"/>
    <n v="2"/>
    <n v="0"/>
    <s v="20"/>
    <x v="4"/>
    <n v="3"/>
    <s v="Yes"/>
    <n v="1"/>
    <s v="No"/>
    <m/>
    <m/>
    <s v="No"/>
    <s v=""/>
    <m/>
    <n v="1"/>
    <n v="1"/>
    <s v="Yes"/>
    <s v="No"/>
    <s v="Yes"/>
    <s v="No"/>
    <s v="No"/>
    <s v="No"/>
    <n v="3"/>
    <s v="Free range"/>
    <m/>
    <s v=""/>
    <n v="7"/>
    <s v="Zero grazing"/>
    <m/>
    <s v=""/>
    <m/>
    <s v=""/>
    <m/>
    <n v="3.07"/>
    <s v="Low"/>
    <n v="1"/>
    <n v="1"/>
    <n v="2"/>
    <n v="4"/>
    <n v="0"/>
    <n v="0"/>
    <n v="1"/>
    <s v=""/>
    <n v="15.3"/>
    <s v="Medium"/>
    <n v="18.37"/>
    <s v="No"/>
    <s v=""/>
    <s v="No"/>
    <s v=""/>
    <n v="0.25"/>
    <n v="0"/>
    <n v="0.75"/>
    <s v="No"/>
    <n v="1"/>
    <n v="7"/>
    <s v="Bags"/>
    <n v="1.6800000000000002"/>
    <m/>
    <m/>
    <s v="Bags"/>
    <m/>
    <n v="1"/>
    <n v="4"/>
    <s v="Bags"/>
    <n v="0.96"/>
    <x v="1"/>
    <s v="Yes"/>
    <s v="Yes"/>
    <s v="Yes"/>
    <s v="Yes"/>
    <n v="5"/>
    <n v="3"/>
    <s v="uuid:f577fe1a-29b5-45d5-ba53-cf848ea8c476/secG-G2"/>
    <s v="uuid:f577fe1a-29b5-45d5-ba53-cf848ea8c476/secG-G5"/>
    <n v="-4.2666606903076172"/>
    <n v="35.845355987548828"/>
    <n v="1384.0999755859375"/>
    <n v="5"/>
    <n v="1706031849"/>
    <s v="uuid:f577fe1a-29b5-45d5-ba53-cf848ea8c476"/>
    <d v="2017-08-31T14:11:27"/>
    <d v="2017-06-09T12:46:50"/>
    <d v="2017-08-31T14:07:26"/>
    <d v="2017-02-27T00:00:00"/>
    <m/>
    <n v="6.8459854014598545"/>
    <n v="7.1246715328467145"/>
    <n v="5.959342891278375"/>
    <n v="5.0858422939068104"/>
    <m/>
    <n v="1"/>
    <m/>
    <s v="Plains"/>
    <n v="2.9485585689499998"/>
    <s v="Gentle"/>
    <s v="Flat"/>
    <n v="9.0650379657699995E-2"/>
    <n v="11.392010688799999"/>
    <n v="211.3031639850426"/>
    <n v="515.26022300899206"/>
    <n v="1.7030000000000001"/>
    <n v="1.7410000000000001"/>
    <n v="-3.8000000000000034E-2"/>
    <n v="5.5225925925925932"/>
    <n v="6.985328467153284"/>
    <n v="1.4627358745606909"/>
    <n v="591.36"/>
    <n v="654.72"/>
    <n v="0"/>
    <n v="1246.08"/>
    <n v="63.699999999999996"/>
    <n v="1182.3799999999999"/>
  </r>
  <r>
    <s v="Inot Songoyani"/>
    <n v="110"/>
    <s v="Francis Maiko Bura"/>
    <s v="Francis Maiko Bura"/>
    <e v="#N/A"/>
    <s v="Seloto"/>
    <n v="1.25"/>
    <s v="outfield"/>
    <s v="Feed livestock"/>
    <s v="OffField feed"/>
    <n v="0"/>
    <m/>
    <m/>
    <s v=""/>
    <m/>
    <n v="1"/>
    <s v="3 years ago"/>
    <n v="2"/>
    <n v="2"/>
    <s v="Other fields in my home village"/>
    <m/>
    <s v="This field"/>
    <m/>
    <m/>
    <s v="Free"/>
    <x v="0"/>
    <s v="Own animals"/>
    <n v="0"/>
    <s v=""/>
    <m/>
    <s v=""/>
    <s v=""/>
    <s v="Yes"/>
    <s v="Yes"/>
    <s v="Shed"/>
    <n v="1"/>
    <n v="4"/>
    <n v="1"/>
    <n v="10"/>
    <n v="7000"/>
    <s v=""/>
    <n v="2"/>
    <n v="0"/>
    <s v="20"/>
    <x v="4"/>
    <n v="3"/>
    <s v="Yes"/>
    <n v="0.25"/>
    <s v="Yes"/>
    <n v="1"/>
    <n v="2.5"/>
    <s v="Yes"/>
    <s v="Rent"/>
    <n v="2"/>
    <n v="2.75"/>
    <n v="4.75"/>
    <s v="Yes"/>
    <s v="Yes"/>
    <s v="Yes"/>
    <s v="Yes"/>
    <s v="Yes"/>
    <s v="No"/>
    <n v="2"/>
    <s v="Zero grazing"/>
    <n v="6"/>
    <s v="Zero grazing"/>
    <n v="8"/>
    <s v="Zero grazing"/>
    <n v="1"/>
    <s v="Zero grazing"/>
    <n v="1"/>
    <s v="Zero grazing"/>
    <m/>
    <n v="3.08"/>
    <s v="Low"/>
    <n v="1"/>
    <n v="1"/>
    <n v="6"/>
    <n v="8"/>
    <n v="0"/>
    <n v="0"/>
    <n v="0"/>
    <m/>
    <n v="41.25"/>
    <s v="Medium"/>
    <n v="44.33"/>
    <s v="No"/>
    <s v=""/>
    <s v="Yes"/>
    <s v="Casual"/>
    <n v="0.75"/>
    <n v="0.25"/>
    <n v="0"/>
    <s v="No"/>
    <n v="0.5"/>
    <n v="9"/>
    <s v="Bags"/>
    <n v="4.32"/>
    <n v="2.5"/>
    <n v="8"/>
    <s v="Gorogoro"/>
    <n v="0.12825599999999998"/>
    <n v="2.5"/>
    <n v="1"/>
    <s v="Bags"/>
    <n v="9.6000000000000002E-2"/>
    <x v="0"/>
    <s v="No"/>
    <s v="Yes"/>
    <s v="No"/>
    <s v="No"/>
    <n v="1"/>
    <n v="3"/>
    <s v="uuid:12a43db4-d789-46f4-ba91-deb024c9a219/secG-G2"/>
    <s v="uuid:12a43db4-d789-46f4-ba91-deb024c9a219/secG-G5"/>
    <n v="-4.2602229118347168"/>
    <n v="35.519145965576172"/>
    <n v="1629.699951171875"/>
    <n v="5"/>
    <n v="1706031849"/>
    <s v="uuid:12a43db4-d789-46f4-ba91-deb024c9a219"/>
    <d v="2017-06-17T09:54:36"/>
    <d v="2017-06-15T12:26:39"/>
    <d v="2017-06-15T13:06:45"/>
    <d v="2017-01-04T00:00:00"/>
    <m/>
    <m/>
    <m/>
    <m/>
    <m/>
    <m/>
    <n v="1"/>
    <m/>
    <s v="Plains"/>
    <n v="2.6196329593700001"/>
    <s v="Gentle"/>
    <s v="Flat"/>
    <n v="0.18129228055499999"/>
    <n v="9.7167339325000004"/>
    <m/>
    <m/>
    <m/>
    <m/>
    <m/>
    <m/>
    <m/>
    <m/>
    <n v="1520.64"/>
    <n v="65.472000000000008"/>
    <n v="101.96351999999999"/>
    <n v="1688.0755200000001"/>
    <n v="63.699999999999996"/>
    <n v="1624.3755200000001"/>
  </r>
  <r>
    <s v="Michael"/>
    <n v="73"/>
    <s v="Stefano Nada"/>
    <s v="Stefano Nada"/>
    <s v="Endanachan"/>
    <s v="Orngadida"/>
    <n v="0.10000000149011612"/>
    <s v="Midfield"/>
    <s v="Feed livestock"/>
    <s v="OffField feed"/>
    <n v="0"/>
    <m/>
    <m/>
    <s v=""/>
    <m/>
    <n v="1"/>
    <s v="Last year"/>
    <n v="3"/>
    <n v="0.10000000149011612"/>
    <s v="Other fields in my home village"/>
    <m/>
    <s v="My 'home field' away from here"/>
    <m/>
    <m/>
    <s v="Labour"/>
    <x v="0"/>
    <s v="Own animals"/>
    <n v="0"/>
    <s v=""/>
    <m/>
    <s v=""/>
    <s v=""/>
    <s v="Yes"/>
    <s v="No"/>
    <m/>
    <n v="1"/>
    <n v="2"/>
    <n v="1"/>
    <n v="2"/>
    <n v="5000"/>
    <s v=""/>
    <n v="2"/>
    <n v="0"/>
    <s v="20"/>
    <x v="4"/>
    <n v="3"/>
    <s v="Yes"/>
    <n v="1"/>
    <s v="Yes"/>
    <n v="1"/>
    <n v="3"/>
    <s v="No"/>
    <s v=""/>
    <m/>
    <n v="4"/>
    <n v="4"/>
    <s v="Yes"/>
    <s v="Yes"/>
    <s v="Yes"/>
    <s v="No"/>
    <s v="No"/>
    <s v="No"/>
    <n v="4"/>
    <s v="Zero grazing"/>
    <n v="4"/>
    <s v="Free range"/>
    <n v="4"/>
    <s v="Free range"/>
    <m/>
    <s v=""/>
    <m/>
    <s v=""/>
    <m/>
    <n v="4.4400000000000004"/>
    <s v="Low"/>
    <n v="1"/>
    <n v="5"/>
    <n v="5"/>
    <n v="11"/>
    <n v="0"/>
    <n v="0"/>
    <n v="0"/>
    <m/>
    <n v="60"/>
    <s v="High"/>
    <n v="64.44"/>
    <s v="Yes"/>
    <s v="Carte, Ninja"/>
    <s v="No"/>
    <s v=""/>
    <n v="0.75"/>
    <n v="0.75"/>
    <n v="1.75"/>
    <s v="Yes"/>
    <n v="1"/>
    <n v="12"/>
    <s v="Bags"/>
    <n v="2.8800000000000003"/>
    <m/>
    <n v="999"/>
    <s v="Bags"/>
    <m/>
    <n v="1"/>
    <n v="4.5"/>
    <s v="Bags"/>
    <n v="1.08"/>
    <x v="1"/>
    <s v="Yes"/>
    <s v="Yes"/>
    <s v="Yes"/>
    <s v="Yes"/>
    <n v="5"/>
    <n v="2"/>
    <s v="uuid:5f11da2c-acd2-4c42-8443-1cffc808f655/secG-G2"/>
    <s v="uuid:5f11da2c-acd2-4c42-8443-1cffc808f655/secG-G5"/>
    <n v="-4.3438310623168945"/>
    <n v="35.712303161621094"/>
    <n v="1349.9000244140625"/>
    <n v="10"/>
    <n v="1705231439"/>
    <s v="uuid:5f11da2c-acd2-4c42-8443-1cffc808f655"/>
    <d v="2017-07-07T09:17:25"/>
    <d v="2017-06-17T11:18:14"/>
    <d v="2017-07-07T09:14:02"/>
    <d v="2017-01-30T00:00:00"/>
    <m/>
    <n v="5.6747008547008546"/>
    <n v="5.5152991452991449"/>
    <n v="3.4000000000000008"/>
    <n v="3.6000000000000005"/>
    <m/>
    <n v="1"/>
    <m/>
    <s v="Plains"/>
    <n v="1.0303390026100001"/>
    <s v="Very gentle"/>
    <s v="Toeslope"/>
    <n v="-0.54384291171999999"/>
    <n v="10.306281089800001"/>
    <n v="608.20410565118891"/>
    <n v="395.02965944063055"/>
    <n v="0.61199999999999999"/>
    <n v="1.0549999999999999"/>
    <n v="-0.44299999999999995"/>
    <n v="3.5000000000000009"/>
    <n v="5.5949999999999998"/>
    <n v="2.0949999999999989"/>
    <n v="1013.7600000000001"/>
    <n v="736.56000000000006"/>
    <n v="0"/>
    <n v="1750.3200000000002"/>
    <n v="63.699999999999996"/>
    <n v="1686.6200000000001"/>
  </r>
  <r>
    <s v="Michael"/>
    <n v="64"/>
    <s v="Adilahi Juma"/>
    <s v="Abdilah Juma"/>
    <s v="Endanachan"/>
    <s v="Endanachan"/>
    <n v="0"/>
    <s v="Homefield"/>
    <s v="Feed livestock"/>
    <s v="InField feed"/>
    <n v="0"/>
    <m/>
    <m/>
    <s v=""/>
    <m/>
    <n v="1"/>
    <s v="This season"/>
    <n v="6"/>
    <n v="0.10000000149011612"/>
    <s v="Other fields in my home village"/>
    <m/>
    <s v="This field"/>
    <m/>
    <n v="13000"/>
    <s v=""/>
    <x v="0"/>
    <s v="Own animals"/>
    <n v="0"/>
    <s v=""/>
    <m/>
    <s v=""/>
    <s v=""/>
    <s v="Yes"/>
    <s v="No"/>
    <m/>
    <n v="1"/>
    <n v="2"/>
    <n v="1"/>
    <n v="10"/>
    <n v="10000"/>
    <s v=""/>
    <n v="2"/>
    <n v="0"/>
    <s v="20"/>
    <x v="4"/>
    <n v="3"/>
    <s v="Yes"/>
    <n v="3"/>
    <s v="Yes"/>
    <n v="1"/>
    <n v="1"/>
    <s v="Yes"/>
    <s v="Rent"/>
    <n v="5.5"/>
    <n v="4"/>
    <n v="9.5"/>
    <s v="Yes"/>
    <s v="Yes"/>
    <s v="Yes"/>
    <s v="No"/>
    <s v="No"/>
    <s v="No"/>
    <n v="6"/>
    <s v="Both"/>
    <n v="5"/>
    <s v="Free range"/>
    <n v="20"/>
    <s v="Free range"/>
    <m/>
    <s v=""/>
    <m/>
    <s v=""/>
    <m/>
    <n v="6.7"/>
    <s v="Medium"/>
    <n v="2"/>
    <n v="3"/>
    <n v="3"/>
    <n v="8"/>
    <n v="0"/>
    <n v="0"/>
    <n v="1"/>
    <m/>
    <n v="60.3"/>
    <s v="High"/>
    <n v="67"/>
    <s v="Yes"/>
    <s v="Select. Plus,dudu bar"/>
    <s v="Yes"/>
    <s v="Multiple"/>
    <n v="0.25"/>
    <n v="5.25"/>
    <n v="0"/>
    <s v="Yes"/>
    <n v="1"/>
    <n v="4"/>
    <s v="Bags"/>
    <n v="0.96"/>
    <m/>
    <n v="999"/>
    <s v="Bags"/>
    <m/>
    <n v="1"/>
    <n v="3"/>
    <s v="Bags"/>
    <n v="0.72"/>
    <x v="0"/>
    <s v="Yes"/>
    <s v="No"/>
    <s v="No"/>
    <s v="Yes"/>
    <n v="2"/>
    <n v="4"/>
    <s v="uuid:89332d73-308b-4fdb-8a9b-845bcb1e583d/secG-G2"/>
    <s v="uuid:89332d73-308b-4fdb-8a9b-845bcb1e583d/secG-G5"/>
    <n v="-4.3273377418518066"/>
    <n v="35.708187103271484"/>
    <n v="1350.800048828125"/>
    <n v="10"/>
    <n v="1705231439"/>
    <s v="uuid:89332d73-308b-4fdb-8a9b-845bcb1e583d"/>
    <d v="2017-07-07T09:17:22"/>
    <d v="2017-06-15T13:17:58"/>
    <d v="2017-07-07T09:16:03"/>
    <d v="2017-01-29T00:00:00"/>
    <m/>
    <n v="7.5886419753086418"/>
    <n v="5.5190123456790126"/>
    <n v="2.1743749999999999"/>
    <n v="2.6643749999999997"/>
    <m/>
    <n v="1"/>
    <m/>
    <s v="Plains"/>
    <n v="0.39381912350699999"/>
    <s v="Depression"/>
    <s v="Flat"/>
    <n v="0.27193418145199999"/>
    <n v="9.0892667770400006"/>
    <n v="72.990879761159732"/>
    <n v="185.34883228198595"/>
    <n v="0.90100000000000002"/>
    <n v="0.76300000000000001"/>
    <n v="0.13800000000000001"/>
    <n v="2.4193749999999996"/>
    <n v="6.5538271604938272"/>
    <n v="4.1344521604938276"/>
    <n v="337.91999999999996"/>
    <n v="491.03999999999996"/>
    <n v="0"/>
    <n v="828.95999999999992"/>
    <n v="63.699999999999996"/>
    <n v="765.25999999999988"/>
  </r>
  <r>
    <s v="Michael"/>
    <n v="32"/>
    <s v="Msafiri Jangwa"/>
    <s v="Msafiri Jangwa"/>
    <s v="Sangara"/>
    <s v="Samatsi"/>
    <n v="3"/>
    <s v="outfield"/>
    <s v="Feed livestock"/>
    <s v="OffField feed"/>
    <n v="0"/>
    <m/>
    <m/>
    <s v=""/>
    <m/>
    <n v="1"/>
    <s v="Last year"/>
    <n v="3"/>
    <n v="1"/>
    <s v="Other fields in my home village"/>
    <m/>
    <s v="My 'home field' away from here"/>
    <m/>
    <n v="10000"/>
    <s v=""/>
    <x v="0"/>
    <s v="Own animals"/>
    <n v="0"/>
    <s v=""/>
    <m/>
    <s v=""/>
    <s v=""/>
    <s v="Yes"/>
    <s v="No"/>
    <m/>
    <n v="1"/>
    <n v="3"/>
    <n v="1"/>
    <n v="8"/>
    <n v="10000"/>
    <s v=""/>
    <n v="2"/>
    <n v="0"/>
    <s v="20"/>
    <x v="4"/>
    <n v="3"/>
    <s v="Yes"/>
    <n v="2"/>
    <s v="No"/>
    <m/>
    <m/>
    <s v="Yes"/>
    <s v="Rent"/>
    <n v="3"/>
    <n v="2"/>
    <n v="5"/>
    <s v="Yes"/>
    <s v="Yes"/>
    <s v="Yes"/>
    <s v="Yes"/>
    <s v="No"/>
    <s v="No"/>
    <n v="3"/>
    <s v="Zero grazing"/>
    <n v="17"/>
    <s v="Free range"/>
    <n v="150"/>
    <s v="Free range"/>
    <n v="12"/>
    <s v="Free range"/>
    <m/>
    <s v=""/>
    <m/>
    <n v="7.4"/>
    <s v="Medium"/>
    <n v="1"/>
    <n v="1"/>
    <n v="5"/>
    <n v="7"/>
    <n v="0"/>
    <n v="0"/>
    <n v="1"/>
    <m/>
    <n v="30.3"/>
    <s v="Medium"/>
    <n v="37.700000000000003"/>
    <s v="Yes"/>
    <s v="Farmer thep, Carte"/>
    <s v="Yes"/>
    <s v="Multiple"/>
    <n v="0.5"/>
    <n v="2.5"/>
    <n v="0"/>
    <s v="Yes"/>
    <n v="1"/>
    <n v="14"/>
    <s v="Bags"/>
    <n v="3.3600000000000003"/>
    <n v="1"/>
    <n v="1"/>
    <s v="Bags"/>
    <n v="0.24"/>
    <n v="1"/>
    <n v="2"/>
    <s v="Bags"/>
    <n v="0.48"/>
    <x v="0"/>
    <s v="Yes"/>
    <s v="No"/>
    <s v="No"/>
    <s v="Yes"/>
    <n v="2"/>
    <n v="3"/>
    <s v="uuid:d55840e1-e98a-4a2f-940f-fe1a1e03049c/secG-G2"/>
    <s v="uuid:d55840e1-e98a-4a2f-940f-fe1a1e03049c/secG-G5"/>
    <n v="-4.2877979278564453"/>
    <n v="35.631793975830078"/>
    <n v="1414"/>
    <n v="10"/>
    <n v="1705231439"/>
    <s v="uuid:d55840e1-e98a-4a2f-940f-fe1a1e03049c"/>
    <d v="2017-06-22T07:01:21"/>
    <d v="2017-06-12T16:05:48"/>
    <d v="2017-06-22T06:56:11"/>
    <d v="2017-01-05T00:00:00"/>
    <m/>
    <m/>
    <m/>
    <m/>
    <m/>
    <m/>
    <n v="1"/>
    <m/>
    <s v="Valleys"/>
    <n v="5.3233847618099999"/>
    <s v="Moderate"/>
    <s v="Midslope"/>
    <n v="0.45321798324599999"/>
    <n v="9.8859062194800007"/>
    <m/>
    <m/>
    <m/>
    <m/>
    <m/>
    <m/>
    <m/>
    <m/>
    <n v="1182.72"/>
    <n v="327.36"/>
    <n v="190.79999999999998"/>
    <n v="1700.8799999999999"/>
    <n v="63.699999999999996"/>
    <n v="1637.1799999999998"/>
  </r>
  <r>
    <s v="Michael"/>
    <n v="71"/>
    <s v="Bilos Genda"/>
    <s v="Bilos Genda"/>
    <s v="SOLETO"/>
    <s v="Seloto"/>
    <n v="1.5"/>
    <s v="outfield"/>
    <s v="Feed livestock"/>
    <s v="OffField feed"/>
    <n v="0"/>
    <m/>
    <m/>
    <s v=""/>
    <m/>
    <n v="1"/>
    <s v="Last year"/>
    <n v="9"/>
    <n v="1.5"/>
    <s v="Other fields in my home village"/>
    <m/>
    <s v="My 'home field' away from here"/>
    <m/>
    <n v="10000"/>
    <s v=""/>
    <x v="0"/>
    <s v="Own animals"/>
    <n v="0"/>
    <s v=""/>
    <m/>
    <s v=""/>
    <s v=""/>
    <s v="Yes"/>
    <s v="No"/>
    <m/>
    <n v="1"/>
    <n v="2"/>
    <n v="1"/>
    <n v="7"/>
    <n v="8000"/>
    <s v=""/>
    <n v="2"/>
    <n v="0"/>
    <s v="20"/>
    <x v="4"/>
    <n v="3"/>
    <s v="Yes"/>
    <n v="1.5"/>
    <s v="Yes"/>
    <n v="4"/>
    <n v="4.5"/>
    <s v="Yes"/>
    <s v="Rent"/>
    <n v="8.5"/>
    <n v="6"/>
    <n v="14.5"/>
    <s v="Yes"/>
    <s v="Yes"/>
    <s v="Yes"/>
    <s v="Yes"/>
    <s v="Yes"/>
    <s v="No"/>
    <n v="7"/>
    <s v="Both"/>
    <n v="16"/>
    <s v="Free range"/>
    <n v="25"/>
    <s v="Free range"/>
    <n v="5"/>
    <s v="Free range"/>
    <n v="2"/>
    <s v="Zero grazing"/>
    <m/>
    <n v="9.9499999999999993"/>
    <s v="Medium"/>
    <n v="3"/>
    <n v="1"/>
    <n v="7"/>
    <n v="11"/>
    <n v="0"/>
    <n v="1"/>
    <n v="2"/>
    <m/>
    <n v="91.4"/>
    <s v="High"/>
    <n v="101.35"/>
    <s v="No"/>
    <s v=""/>
    <s v="No"/>
    <s v=""/>
    <n v="0.25"/>
    <n v="7.25"/>
    <n v="0"/>
    <s v="No"/>
    <n v="1"/>
    <n v="17"/>
    <s v="Bags"/>
    <n v="4.08"/>
    <n v="1"/>
    <n v="1"/>
    <s v="Bags"/>
    <n v="0.24"/>
    <n v="1"/>
    <n v="1.5"/>
    <s v="Bags"/>
    <n v="0.36"/>
    <x v="1"/>
    <s v="No"/>
    <s v="Yes"/>
    <s v="No"/>
    <s v="Yes"/>
    <n v="3"/>
    <n v="3"/>
    <s v="uuid:e23c4190-b9fd-4c53-acb8-aab0322c12fd/secG-G2"/>
    <s v="uuid:e23c4190-b9fd-4c53-acb8-aab0322c12fd/secG-G5"/>
    <n v="-4.2583160400390625"/>
    <n v="35.525661468505859"/>
    <n v="1591.4000244140625"/>
    <n v="10"/>
    <n v="1705231439"/>
    <s v="uuid:e23c4190-b9fd-4c53-acb8-aab0322c12fd"/>
    <d v="2017-07-07T09:17:24"/>
    <d v="2017-06-16T12:50:12"/>
    <d v="2017-07-07T09:14:36"/>
    <d v="2017-01-16T00:00:00"/>
    <m/>
    <n v="7.1306666666666665"/>
    <n v="5.4328888888888889"/>
    <n v="5.7633333333333336"/>
    <n v="5.9800000000000013"/>
    <m/>
    <n v="1"/>
    <m/>
    <s v="Plains"/>
    <n v="0.76454704999900003"/>
    <s v="Very gentle"/>
    <s v="Flat"/>
    <n v="0.18129228055499999"/>
    <n v="9.5179643631000008"/>
    <n v="367.29042955314293"/>
    <n v="319.58986341379625"/>
    <n v="1.5880000000000001"/>
    <n v="1.4410000000000001"/>
    <n v="0.14700000000000002"/>
    <n v="5.8716666666666679"/>
    <n v="6.2817777777777781"/>
    <n v="0.4101111111111102"/>
    <n v="1436.16"/>
    <n v="245.51999999999998"/>
    <n v="190.79999999999998"/>
    <n v="1872.48"/>
    <n v="63.699999999999996"/>
    <n v="1808.78"/>
  </r>
  <r>
    <s v="Evaline K Kaaya"/>
    <n v="251"/>
    <s v="Jumanne Ally Soghore"/>
    <s v="Jumanne Sochore"/>
    <s v="ENDANOGA"/>
    <s v="Endanoga"/>
    <n v="0"/>
    <s v="Homefield"/>
    <s v="Feed livestock"/>
    <s v="InField feed"/>
    <n v="0"/>
    <m/>
    <m/>
    <s v=""/>
    <m/>
    <n v="1"/>
    <s v="Every year"/>
    <n v="10"/>
    <n v="2"/>
    <s v="Other fields in my home village"/>
    <m/>
    <s v="This field"/>
    <m/>
    <n v="5000"/>
    <s v=""/>
    <x v="0"/>
    <s v="Own animals and purchase"/>
    <n v="0"/>
    <s v=""/>
    <m/>
    <s v=""/>
    <s v=""/>
    <s v="Yes"/>
    <s v="No"/>
    <s v=""/>
    <n v="1"/>
    <n v="5"/>
    <n v="1"/>
    <n v="5"/>
    <n v="5000"/>
    <s v=""/>
    <n v="2"/>
    <n v="0"/>
    <s v="20"/>
    <x v="4"/>
    <n v="3"/>
    <s v="Yes"/>
    <n v="2"/>
    <s v="Yes"/>
    <n v="4"/>
    <n v="10"/>
    <s v="Yes"/>
    <s v="Rent"/>
    <n v="12"/>
    <n v="12"/>
    <n v="24"/>
    <s v="Yes"/>
    <s v="Yes"/>
    <s v="Yes"/>
    <s v="Yes"/>
    <s v="No"/>
    <s v="No"/>
    <n v="10"/>
    <s v="Free range"/>
    <n v="4"/>
    <s v="Free range"/>
    <n v="10"/>
    <s v="Zero grazing"/>
    <n v="4"/>
    <s v="Free range"/>
    <m/>
    <s v=""/>
    <m/>
    <n v="10.9"/>
    <s v="Medium"/>
    <n v="1"/>
    <n v="1"/>
    <n v="6"/>
    <n v="8"/>
    <n v="0"/>
    <n v="0"/>
    <n v="1"/>
    <s v=""/>
    <n v="180.3"/>
    <s v="High"/>
    <n v="191.2"/>
    <s v="Yes"/>
    <s v="Karate"/>
    <s v="Yes"/>
    <s v="Casual"/>
    <n v="0.25"/>
    <n v="1"/>
    <n v="10.75"/>
    <s v="No"/>
    <n v="12"/>
    <n v="22"/>
    <s v="Bags"/>
    <n v="0.44"/>
    <n v="0.5"/>
    <n v="1"/>
    <s v="Bags"/>
    <n v="0.48"/>
    <n v="12"/>
    <n v="18"/>
    <s v="Bags"/>
    <n v="0.36000000000000004"/>
    <x v="1"/>
    <s v="No"/>
    <s v="No"/>
    <s v="No"/>
    <s v="Yes"/>
    <n v="2"/>
    <n v="5"/>
    <s v="uuid:f8b88bea-5d28-49a0-a71d-05b3c418f841/secG-G2"/>
    <s v="uuid:f8b88bea-5d28-49a0-a71d-05b3c418f841/secG-G5"/>
    <n v="-4.2766251564025879"/>
    <n v="35.858478546142578"/>
    <n v="1309.5999755859375"/>
    <n v="5"/>
    <n v="1706031849"/>
    <s v="uuid:f8b88bea-5d28-49a0-a71d-05b3c418f841"/>
    <d v="2017-08-31T14:11:35"/>
    <d v="2017-06-09T16:42:29"/>
    <d v="2017-08-31T14:09:32"/>
    <d v="2017-02-24T00:00:00"/>
    <m/>
    <n v="5.1629629629629621"/>
    <n v="6.3440329218106992"/>
    <n v="5.1388888888888893"/>
    <n v="6.4064814814814817"/>
    <m/>
    <s v="FALSEE"/>
    <m/>
    <s v="Plains"/>
    <n v="1.54433584213"/>
    <s v="Very gentle"/>
    <s v="Flat"/>
    <n v="-9.0633422136300004E-2"/>
    <n v="12.183077812200001"/>
    <n v="250.80185698562588"/>
    <m/>
    <n v="1.1040000000000001"/>
    <m/>
    <m/>
    <n v="5.7726851851851855"/>
    <n v="5.7534979423868311"/>
    <n v="-1.9187242798354376E-2"/>
    <n v="154.88"/>
    <n v="245.52000000000004"/>
    <n v="381.59999999999997"/>
    <n v="782"/>
    <n v="63.699999999999996"/>
    <n v="718.3"/>
  </r>
  <r>
    <s v="Michael"/>
    <n v="75"/>
    <s v="Paulo Joakim"/>
    <s v="Paulo Joakim"/>
    <s v="SABILO"/>
    <s v="Sabilo"/>
    <n v="0.20000000298023224"/>
    <s v="Midfield"/>
    <s v="Feed livestock"/>
    <s v="OffField feed"/>
    <n v="0"/>
    <m/>
    <m/>
    <s v=""/>
    <m/>
    <n v="1"/>
    <s v="Last year"/>
    <n v="12"/>
    <n v="1"/>
    <s v="Other fields in my home village"/>
    <m/>
    <s v="My 'home field' away from here"/>
    <m/>
    <n v="10000"/>
    <s v=""/>
    <x v="0"/>
    <s v="Own animals"/>
    <n v="0"/>
    <s v=""/>
    <m/>
    <s v=""/>
    <s v=""/>
    <s v="Yes"/>
    <s v="No"/>
    <m/>
    <n v="1"/>
    <n v="3"/>
    <n v="1"/>
    <n v="8"/>
    <n v="15000"/>
    <s v=""/>
    <n v="2"/>
    <n v="0"/>
    <s v="20"/>
    <x v="4"/>
    <n v="3"/>
    <s v="Yes"/>
    <n v="1.5"/>
    <s v="Yes"/>
    <n v="4"/>
    <n v="12"/>
    <s v="No"/>
    <s v=""/>
    <m/>
    <n v="13.5"/>
    <n v="13.5"/>
    <s v="Yes"/>
    <s v="Yes"/>
    <s v="Yes"/>
    <s v="Yes"/>
    <s v="No"/>
    <s v="No"/>
    <n v="10"/>
    <s v="Both"/>
    <n v="8"/>
    <s v="Free range"/>
    <n v="12"/>
    <s v="Free range"/>
    <n v="8"/>
    <s v="Free range"/>
    <m/>
    <s v=""/>
    <m/>
    <n v="11.72"/>
    <s v="Medium"/>
    <n v="2"/>
    <n v="1"/>
    <n v="4"/>
    <n v="7"/>
    <n v="0"/>
    <n v="1"/>
    <n v="1"/>
    <m/>
    <n v="203.6"/>
    <s v="High"/>
    <n v="215.32"/>
    <s v="Yes"/>
    <s v="Ninja, Super cross,Dudu pack"/>
    <s v="Yes"/>
    <s v="Multiple"/>
    <n v="1"/>
    <n v="11"/>
    <n v="0"/>
    <s v="Yes"/>
    <n v="1"/>
    <n v="20"/>
    <s v="Bags"/>
    <n v="4.8"/>
    <m/>
    <n v="999"/>
    <s v="Bags"/>
    <m/>
    <n v="1"/>
    <n v="1"/>
    <s v="Bags"/>
    <n v="0.24"/>
    <x v="0"/>
    <s v="Yes"/>
    <s v="No"/>
    <s v="No"/>
    <s v="No"/>
    <n v="1"/>
    <n v="4"/>
    <s v="uuid:b0eb20f5-8cdb-487a-884d-14c4ae616d2c/secG-G2"/>
    <s v="uuid:b0eb20f5-8cdb-487a-884d-14c4ae616d2c/secG-G5"/>
    <n v="-4.3557915687561035"/>
    <n v="35.483161926269531"/>
    <n v="1687.9000244140625"/>
    <n v="10"/>
    <n v="1705231439"/>
    <s v="uuid:b0eb20f5-8cdb-487a-884d-14c4ae616d2c"/>
    <d v="2017-07-07T09:17:27"/>
    <d v="2017-06-20T10:23:17"/>
    <d v="2017-07-07T09:12:48"/>
    <d v="2017-02-02T00:00:00"/>
    <m/>
    <n v="3.9925925925925929"/>
    <n v="3.9925925925925929"/>
    <n v="5.4618055555555562"/>
    <n v="3.3432870370370371"/>
    <m/>
    <s v="FALSEE"/>
    <s v="FP better than IP. IP affected by shade and Sisal fence"/>
    <s v="Open slopes"/>
    <n v="5.0304594039900001"/>
    <s v="Moderate"/>
    <s v="Midslope"/>
    <n v="-9.0633422136300004E-2"/>
    <n v="8.4956922531100005"/>
    <n v="19.048007545725081"/>
    <n v="279.83165599268091"/>
    <n v="1.4650000000000001"/>
    <n v="1.66"/>
    <n v="-0.19499999999999984"/>
    <n v="4.4025462962962969"/>
    <n v="3.9925925925925929"/>
    <n v="-0.40995370370370399"/>
    <n v="1689.6"/>
    <n v="163.68"/>
    <n v="0"/>
    <n v="1853.28"/>
    <n v="63.699999999999996"/>
    <n v="1789.58"/>
  </r>
  <r>
    <s v="Ezekiel Mngumi"/>
    <n v="84"/>
    <s v="Gabriel Siikay"/>
    <s v="Gabriel Sikai"/>
    <s v="SABILO"/>
    <s v="Sabilo"/>
    <n v="0"/>
    <s v="Homefield"/>
    <s v="Feed livestock"/>
    <s v="OffField feed"/>
    <n v="0"/>
    <m/>
    <m/>
    <s v=""/>
    <m/>
    <n v="1"/>
    <s v="Last year"/>
    <n v="6"/>
    <n v="1.5"/>
    <s v="Other fields in my home village"/>
    <m/>
    <s v="My 'home field' away from here"/>
    <m/>
    <m/>
    <s v="Labour"/>
    <x v="0"/>
    <s v="Own animals"/>
    <n v="0"/>
    <s v=""/>
    <m/>
    <s v=""/>
    <s v=""/>
    <s v="Yes"/>
    <s v="No"/>
    <m/>
    <n v="1"/>
    <n v="888"/>
    <n v="5"/>
    <n v="10"/>
    <s v=""/>
    <s v="Labour"/>
    <n v="2"/>
    <n v="0"/>
    <s v="20"/>
    <x v="4"/>
    <n v="3"/>
    <s v="Yes"/>
    <n v="0.75"/>
    <s v="Yes"/>
    <n v="3"/>
    <n v="6.5"/>
    <s v="Yes"/>
    <s v="Rent"/>
    <n v="0.5"/>
    <n v="7.25"/>
    <n v="7.75"/>
    <s v="Yes"/>
    <s v="Yes"/>
    <s v="Yes"/>
    <s v="Yes"/>
    <s v="No"/>
    <s v="No"/>
    <n v="12"/>
    <s v="Free range"/>
    <n v="2"/>
    <s v="Free range"/>
    <n v="12"/>
    <s v="Free range"/>
    <n v="6"/>
    <s v="Free range"/>
    <m/>
    <s v=""/>
    <m/>
    <n v="12.919999999999998"/>
    <s v="Medium"/>
    <n v="2"/>
    <n v="2"/>
    <n v="4"/>
    <n v="8"/>
    <n v="0"/>
    <n v="1"/>
    <n v="1"/>
    <m/>
    <n v="109.85"/>
    <s v="High"/>
    <n v="122.77"/>
    <s v="Yes"/>
    <s v="Snowcron"/>
    <s v="Yes"/>
    <s v="Casual"/>
    <n v="1"/>
    <n v="4"/>
    <n v="0"/>
    <s v="Yes"/>
    <n v="1"/>
    <n v="20"/>
    <s v="Bags"/>
    <n v="4.8"/>
    <m/>
    <n v="999"/>
    <s v="Bags"/>
    <m/>
    <n v="1"/>
    <n v="9.9999997764825821E-3"/>
    <s v="Bags"/>
    <n v="2.3999999463558195E-3"/>
    <x v="0"/>
    <s v="No"/>
    <s v="Yes"/>
    <s v="Yes"/>
    <s v="Yes"/>
    <n v="3"/>
    <n v="4"/>
    <s v="uuid:f9121779-ea03-40d3-bf45-3e03af428256/secG-G2"/>
    <s v="uuid:f9121779-ea03-40d3-bf45-3e03af428256/secG-G5"/>
    <n v="-4.3652324676513672"/>
    <n v="35.470294952392578"/>
    <n v="1703.4000244140625"/>
    <n v="15"/>
    <n v="1705231439"/>
    <s v="uuid:f9121779-ea03-40d3-bf45-3e03af428256"/>
    <d v="2017-07-11T08:17:10"/>
    <d v="2017-06-08T10:47:54"/>
    <d v="2017-07-11T08:15:58"/>
    <d v="2017-06-04T00:00:00"/>
    <m/>
    <n v="2.6315789473684212"/>
    <n v="2.0526315789473686"/>
    <n v="2.411578947368421"/>
    <n v="2.4392982456140353"/>
    <m/>
    <s v="FALSEE"/>
    <m/>
    <s v="Plains"/>
    <n v="0.15447062253999999"/>
    <s v="Depression"/>
    <s v="Flat"/>
    <n v="-0.18127532303300001"/>
    <n v="12.658034324600001"/>
    <n v="236.42062888236151"/>
    <n v="290.75363350755663"/>
    <n v="1.599"/>
    <n v="2.3410000000000002"/>
    <n v="-0.74200000000000021"/>
    <n v="2.4254385964912282"/>
    <n v="2.3421052631578947"/>
    <n v="-8.3333333333333481E-2"/>
    <n v="1689.6"/>
    <n v="1.6367999634146688"/>
    <n v="0"/>
    <n v="1691.2367999634146"/>
    <n v="63.699999999999996"/>
    <n v="1627.5367999634145"/>
  </r>
  <r>
    <s v="Inot Songoyani"/>
    <n v="218"/>
    <s v="HASANI GUNDA"/>
    <s v="Hassani Gunda"/>
    <s v="ORNGADIDA"/>
    <s v="Orngadida"/>
    <n v="3"/>
    <s v="outfield"/>
    <s v="Feed livestock"/>
    <s v="OffField feed"/>
    <n v="0"/>
    <m/>
    <m/>
    <s v=""/>
    <m/>
    <n v="1"/>
    <s v="Every year"/>
    <n v="16"/>
    <s v="Variable"/>
    <s v="Other fields in my home village"/>
    <m/>
    <s v="My 'home field' away from here"/>
    <m/>
    <n v="5000"/>
    <s v=""/>
    <x v="0"/>
    <s v="Own animals"/>
    <n v="0"/>
    <s v=""/>
    <m/>
    <s v=""/>
    <s v=""/>
    <s v="Yes"/>
    <s v="No"/>
    <s v=""/>
    <n v="1"/>
    <n v="5"/>
    <n v="1"/>
    <n v="24"/>
    <s v=""/>
    <s v="Transportation"/>
    <n v="2"/>
    <n v="0"/>
    <s v="20"/>
    <x v="4"/>
    <n v="3"/>
    <s v="Yes"/>
    <n v="1"/>
    <s v="Yes"/>
    <n v="6"/>
    <n v="18"/>
    <s v="Yes"/>
    <s v="Rent"/>
    <n v="20"/>
    <n v="19"/>
    <n v="39"/>
    <s v="Yes"/>
    <s v="Yes"/>
    <s v="Yes"/>
    <s v="Yes"/>
    <s v="No"/>
    <s v="No"/>
    <n v="12"/>
    <s v="Both"/>
    <n v="20"/>
    <s v="Both"/>
    <n v="25"/>
    <s v="Both"/>
    <n v="1"/>
    <s v="Both"/>
    <m/>
    <s v=""/>
    <m/>
    <n v="14.35"/>
    <s v="High"/>
    <n v="4"/>
    <n v="3"/>
    <n v="2"/>
    <n v="9"/>
    <n v="1"/>
    <n v="0"/>
    <n v="0"/>
    <s v=""/>
    <n v="300"/>
    <s v="High"/>
    <n v="314.35000000000002"/>
    <s v="Yes"/>
    <s v="Duduba, karate, ninja"/>
    <s v="Yes"/>
    <s v="Casual"/>
    <n v="0.25"/>
    <n v="1.75"/>
    <m/>
    <s v="Yes"/>
    <n v="2"/>
    <n v="32"/>
    <s v="Bags"/>
    <n v="3.84"/>
    <m/>
    <n v="999"/>
    <s v="Bags"/>
    <m/>
    <n v="2"/>
    <n v="6"/>
    <s v="Bags"/>
    <n v="0.72"/>
    <x v="0"/>
    <s v="No"/>
    <s v="Yes"/>
    <s v="Yes"/>
    <s v="Yes"/>
    <n v="3"/>
    <n v="6"/>
    <s v="uuid:7afcc9e0-c5b0-443e-a1c7-421e30c4cf77/secG-G2"/>
    <s v="uuid:7afcc9e0-c5b0-443e-a1c7-421e30c4cf77/secG-G5"/>
    <n v="-4.2970547676086426"/>
    <n v="35.864608764648438"/>
    <n v="1259.199951171875"/>
    <n v="5"/>
    <n v="1706031849"/>
    <s v="uuid:7afcc9e0-c5b0-443e-a1c7-421e30c4cf77"/>
    <d v="2017-08-03T23:13:09"/>
    <d v="2017-08-02T13:30:49"/>
    <d v="2017-08-03T20:46:56"/>
    <d v="2017-03-04T00:00:00"/>
    <m/>
    <n v="4.7406240487062403"/>
    <n v="4.5626484018264843"/>
    <n v="4.4186449864498645"/>
    <n v="2.1803794037940376"/>
    <m/>
    <n v="1"/>
    <m/>
    <s v="Plains"/>
    <n v="0.93952620029400002"/>
    <s v="Very gentle"/>
    <s v="Flat"/>
    <n v="0.18129228055499999"/>
    <n v="10.237704277000001"/>
    <n v="361.88739506112773"/>
    <n v="490.1628511629778"/>
    <n v="1.5309999999999999"/>
    <n v="1.464"/>
    <n v="6.6999999999999948E-2"/>
    <n v="3.299512195121951"/>
    <n v="4.6516362252663619"/>
    <n v="1.3521240301444108"/>
    <n v="1351.6799999999998"/>
    <n v="491.03999999999996"/>
    <n v="0"/>
    <n v="1842.7199999999998"/>
    <n v="63.699999999999996"/>
    <n v="1779.0199999999998"/>
  </r>
  <r>
    <s v="Michael"/>
    <n v="59"/>
    <s v="Lucia Masai"/>
    <s v="Lucia Masai"/>
    <s v="MANDI"/>
    <s v="Samatsi"/>
    <n v="2"/>
    <s v="outfield"/>
    <s v="Feed livestock"/>
    <s v="OffField feed"/>
    <n v="0"/>
    <m/>
    <m/>
    <s v=""/>
    <m/>
    <n v="1"/>
    <s v="This season"/>
    <n v="3"/>
    <n v="0.10000000149011612"/>
    <s v="Other fields in my home village"/>
    <m/>
    <s v="My 'home field' away from here"/>
    <m/>
    <n v="10000"/>
    <s v=""/>
    <x v="0"/>
    <s v="Own animals"/>
    <n v="0"/>
    <s v=""/>
    <m/>
    <s v=""/>
    <s v=""/>
    <s v="Yes"/>
    <s v="No"/>
    <m/>
    <n v="1"/>
    <n v="2"/>
    <n v="1"/>
    <n v="10"/>
    <n v="10000"/>
    <s v=""/>
    <n v="2"/>
    <n v="0"/>
    <s v="20"/>
    <x v="4"/>
    <n v="3"/>
    <s v="Yes"/>
    <n v="1"/>
    <s v="Yes"/>
    <n v="6"/>
    <n v="16"/>
    <s v="Yes"/>
    <s v="Rent"/>
    <n v="20"/>
    <n v="17"/>
    <n v="37"/>
    <s v="Yes"/>
    <s v="Yes"/>
    <s v="Yes"/>
    <s v="Yes"/>
    <s v="No"/>
    <s v="No"/>
    <n v="15"/>
    <s v="Zero grazing"/>
    <n v="2"/>
    <s v="Free range"/>
    <n v="18"/>
    <s v="Free range"/>
    <n v="3"/>
    <s v="Free range"/>
    <m/>
    <s v=""/>
    <m/>
    <n v="15.68"/>
    <s v="High"/>
    <n v="3"/>
    <n v="3"/>
    <n v="0"/>
    <n v="6"/>
    <n v="0"/>
    <n v="1"/>
    <n v="1"/>
    <m/>
    <n v="256.10000000000002"/>
    <s v="High"/>
    <n v="271.77999999999997"/>
    <s v="Yes"/>
    <s v="Dudubar,ninja"/>
    <s v="Yes"/>
    <s v="Multiple"/>
    <n v="0.25"/>
    <n v="18.75"/>
    <n v="0"/>
    <s v="Yes"/>
    <n v="1"/>
    <n v="20"/>
    <s v="Bags"/>
    <n v="4.8"/>
    <m/>
    <n v="999"/>
    <s v="Bags"/>
    <m/>
    <m/>
    <n v="999"/>
    <s v="Bags"/>
    <m/>
    <x v="1"/>
    <s v="No"/>
    <s v="Yes"/>
    <s v="No"/>
    <s v="Yes"/>
    <n v="3"/>
    <n v="4"/>
    <s v="uuid:ca45f07f-5c47-4794-923f-77685972478d/secG-G2"/>
    <s v="uuid:ca45f07f-5c47-4794-923f-77685972478d/secG-G5"/>
    <n v="-4.3316545486450195"/>
    <n v="35.45123291015625"/>
    <n v="1566"/>
    <n v="5"/>
    <n v="1705231439"/>
    <s v="uuid:ca45f07f-5c47-4794-923f-77685972478d"/>
    <d v="2017-07-07T09:09:51"/>
    <d v="2017-06-22T15:47:33"/>
    <d v="2017-06-22T16:09:58"/>
    <d v="2017-02-13T00:00:00"/>
    <m/>
    <n v="3.6366013071895424"/>
    <n v="2.9568627450980394"/>
    <n v="2.4099999999999997"/>
    <n v="1.9748611111111112"/>
    <m/>
    <n v="1"/>
    <m/>
    <s v="Plains"/>
    <n v="0"/>
    <s v="Depression"/>
    <s v="Flat"/>
    <n v="8.4776775111099995E-6"/>
    <n v="11.4374370575"/>
    <n v="466.24371358405176"/>
    <m/>
    <n v="1.9"/>
    <m/>
    <m/>
    <n v="2.1924305555555552"/>
    <n v="3.2967320261437907"/>
    <n v="1.1043014705882355"/>
    <n v="1689.6"/>
    <n v="0"/>
    <n v="0"/>
    <n v="1689.6"/>
    <n v="63.699999999999996"/>
    <n v="1625.8999999999999"/>
  </r>
  <r>
    <s v="Michael"/>
    <n v="65"/>
    <s v="YOHANA GEWE"/>
    <s v="Yohana Gewe"/>
    <s v="Endanachan"/>
    <s v="Orngadida"/>
    <n v="0.5"/>
    <s v="outfield"/>
    <s v="Feed livestock"/>
    <s v="OffField feed"/>
    <n v="0"/>
    <m/>
    <m/>
    <s v=""/>
    <m/>
    <n v="1"/>
    <s v="3 years ago"/>
    <n v="3"/>
    <n v="0.10000000149011612"/>
    <s v="Other fields in my home village"/>
    <m/>
    <s v="My 'home field' away from here"/>
    <m/>
    <n v="5000"/>
    <s v=""/>
    <x v="0"/>
    <s v="Own animals"/>
    <n v="0"/>
    <s v=""/>
    <m/>
    <s v=""/>
    <s v=""/>
    <s v="Yes"/>
    <s v="No"/>
    <m/>
    <n v="1"/>
    <n v="2"/>
    <n v="1"/>
    <n v="1"/>
    <n v="40000"/>
    <s v=""/>
    <n v="2"/>
    <n v="0"/>
    <s v="20"/>
    <x v="4"/>
    <n v="3"/>
    <s v="Yes"/>
    <n v="1.5"/>
    <s v="Yes"/>
    <n v="2"/>
    <n v="3"/>
    <s v="No"/>
    <s v=""/>
    <m/>
    <n v="4.5"/>
    <n v="4.5"/>
    <s v="Yes"/>
    <s v="Yes"/>
    <s v="Yes"/>
    <s v="No"/>
    <s v="No"/>
    <s v="Yes"/>
    <n v="17"/>
    <s v="Both"/>
    <n v="2"/>
    <s v="Free range"/>
    <n v="14"/>
    <s v="Free range"/>
    <m/>
    <s v=""/>
    <m/>
    <s v=""/>
    <n v="1"/>
    <n v="17.739999999999998"/>
    <s v="High"/>
    <n v="2"/>
    <n v="3"/>
    <n v="7"/>
    <n v="12"/>
    <n v="0"/>
    <n v="0"/>
    <n v="1"/>
    <m/>
    <n v="67.8"/>
    <s v="High"/>
    <n v="85.539999999999992"/>
    <s v="Yes"/>
    <s v="Carte"/>
    <s v="Yes"/>
    <s v="Multiple"/>
    <n v="0.5"/>
    <n v="4"/>
    <n v="0"/>
    <s v="No"/>
    <n v="1"/>
    <n v="15"/>
    <s v="Bags"/>
    <n v="3.5999999999999996"/>
    <m/>
    <n v="999"/>
    <s v="Bags"/>
    <m/>
    <n v="1"/>
    <n v="4"/>
    <s v="Bags"/>
    <n v="0.96"/>
    <x v="0"/>
    <s v="No"/>
    <s v="No"/>
    <s v="No"/>
    <s v="No"/>
    <n v="0"/>
    <n v="3"/>
    <s v="uuid:99f03b31-e7e0-46e8-9961-155cc1cbe0f9/secG-G2"/>
    <s v="uuid:99f03b31-e7e0-46e8-9961-155cc1cbe0f9/secG-G5"/>
    <n v="-4.353522777557373"/>
    <n v="35.700599670410156"/>
    <n v="1381.4000244140625"/>
    <n v="10"/>
    <n v="1705231439"/>
    <s v="uuid:99f03b31-e7e0-46e8-9961-155cc1cbe0f9"/>
    <d v="2017-07-07T09:17:22"/>
    <d v="2017-06-15T15:45:50"/>
    <d v="2017-07-07T09:15:50"/>
    <d v="2017-02-02T00:00:00"/>
    <m/>
    <n v="7.3817333333333339"/>
    <n v="7.3497777777777769"/>
    <n v="4.2549019607843137"/>
    <n v="6.348039215686275"/>
    <m/>
    <n v="1"/>
    <m/>
    <s v="Plains"/>
    <n v="4.2408928871200002"/>
    <s v="Gentle"/>
    <s v="Upper slope"/>
    <n v="0.815785527229"/>
    <n v="7.5383791923499999"/>
    <n v="38.517417055905945"/>
    <n v="284.93883565271835"/>
    <n v="1.153"/>
    <n v="0.95799999999999996"/>
    <n v="0.19500000000000006"/>
    <n v="5.3014705882352944"/>
    <n v="7.3657555555555554"/>
    <n v="2.064284967320261"/>
    <n v="1267.1999999999998"/>
    <n v="654.72"/>
    <n v="0"/>
    <n v="1921.9199999999998"/>
    <n v="63.699999999999996"/>
    <n v="1858.2199999999998"/>
  </r>
  <r>
    <s v="Inot"/>
    <n v="1"/>
    <s v="Shabani Huseni Mbisha"/>
    <s v="Shabani Huseni Mbisha"/>
    <s v="ORNGADIDA"/>
    <s v="Orngadida"/>
    <n v="1.25"/>
    <s v="outfield"/>
    <s v="Feed livestock"/>
    <s v="InField feed"/>
    <n v="0"/>
    <m/>
    <m/>
    <s v=""/>
    <m/>
    <n v="1"/>
    <s v="Last year"/>
    <n v="20"/>
    <n v="1.5"/>
    <s v="Other fields in my home village"/>
    <m/>
    <s v="Other, Specify"/>
    <n v="1"/>
    <n v="3000"/>
    <s v=""/>
    <x v="0"/>
    <s v="Own animals"/>
    <n v="0"/>
    <s v=""/>
    <m/>
    <s v=""/>
    <s v=""/>
    <s v="No"/>
    <s v="Yes"/>
    <s v="Shed"/>
    <n v="1"/>
    <n v="5"/>
    <n v="1"/>
    <n v="10"/>
    <s v=""/>
    <s v="Crop residues"/>
    <n v="2"/>
    <n v="0"/>
    <s v="20"/>
    <x v="4"/>
    <n v="3"/>
    <s v="Yes"/>
    <n v="1"/>
    <s v="Yes"/>
    <n v="3"/>
    <n v="7"/>
    <s v="No"/>
    <s v=""/>
    <m/>
    <n v="8"/>
    <n v="8"/>
    <s v="Yes"/>
    <s v="No"/>
    <s v="Yes"/>
    <s v="No"/>
    <s v="No"/>
    <s v="No"/>
    <n v="18"/>
    <s v="Both"/>
    <m/>
    <s v=""/>
    <n v="10"/>
    <s v="Both"/>
    <m/>
    <s v=""/>
    <m/>
    <s v=""/>
    <m/>
    <n v="18.100000000000001"/>
    <s v="High"/>
    <n v="5"/>
    <n v="1"/>
    <n v="1"/>
    <n v="7"/>
    <n v="0"/>
    <n v="1"/>
    <n v="12"/>
    <s v=""/>
    <n v="124.4"/>
    <s v="High"/>
    <n v="142.5"/>
    <s v="Yes"/>
    <s v="Karate"/>
    <s v="Yes"/>
    <s v="Casual"/>
    <n v="0.25"/>
    <m/>
    <n v="1.25"/>
    <s v="Yes"/>
    <n v="1"/>
    <n v="15"/>
    <s v="Bags"/>
    <n v="3.5999999999999996"/>
    <m/>
    <n v="999"/>
    <s v="Bags"/>
    <m/>
    <n v="1"/>
    <n v="1"/>
    <s v="Bags"/>
    <n v="0.24"/>
    <x v="0"/>
    <s v="No"/>
    <s v="Yes"/>
    <s v="No"/>
    <s v="No"/>
    <n v="1"/>
    <n v="3"/>
    <s v="uuid:ab057f49-0610-4937-bd1d-924b0b85df6e/secG-G2"/>
    <s v="uuid:ab057f49-0610-4937-bd1d-924b0b85df6e/secG-G5"/>
    <n v="-4.3029470443725586"/>
    <n v="35.849178314208984"/>
    <n v="1252.199951171875"/>
    <n v="5"/>
    <n v="1705231439"/>
    <s v="uuid:ab057f49-0610-4937-bd1d-924b0b85df6e"/>
    <d v="2017-06-07T14:16:55"/>
    <d v="2017-06-05T07:41:08"/>
    <d v="2017-06-06T11:49:43"/>
    <d v="2016-03-10T00:00:00"/>
    <m/>
    <n v="8.1427350427350422"/>
    <n v="6.7008547008547001"/>
    <n v="3.9929292929292934"/>
    <n v="2.4732323232323234"/>
    <m/>
    <n v="1"/>
    <m/>
    <s v="Plains"/>
    <n v="1.00692403316"/>
    <s v="Very gentle"/>
    <s v="Flat"/>
    <n v="8.4776775111099995E-6"/>
    <n v="9.9152717590300004"/>
    <n v="327.84431773984028"/>
    <n v="296.20187850150211"/>
    <n v="1.4890000000000001"/>
    <n v="1.421"/>
    <n v="6.800000000000006E-2"/>
    <n v="3.2330808080808087"/>
    <n v="7.4217948717948712"/>
    <n v="4.1887140637140625"/>
    <n v="1267.1999999999998"/>
    <n v="163.68"/>
    <n v="0"/>
    <n v="1430.8799999999999"/>
    <n v="63.699999999999996"/>
    <n v="1367.1799999999998"/>
  </r>
  <r>
    <s v="Michael"/>
    <n v="63"/>
    <s v="Nada Qalimi"/>
    <s v="Nada Qalimi"/>
    <s v="Endanachan"/>
    <s v="Endanachan"/>
    <n v="0"/>
    <s v="Homefield"/>
    <s v="Feed livestock"/>
    <s v="OffField feed"/>
    <n v="0"/>
    <m/>
    <m/>
    <s v=""/>
    <m/>
    <n v="1"/>
    <s v="Last year"/>
    <n v="6"/>
    <n v="1"/>
    <s v="Other fields in my home village"/>
    <m/>
    <s v="Other, Specify"/>
    <n v="999"/>
    <n v="7000"/>
    <s v=""/>
    <x v="0"/>
    <s v="Own animals"/>
    <n v="0"/>
    <s v=""/>
    <m/>
    <s v=""/>
    <s v=""/>
    <s v="Yes"/>
    <s v="No"/>
    <m/>
    <n v="1"/>
    <n v="2"/>
    <n v="1"/>
    <n v="14"/>
    <n v="10000"/>
    <s v=""/>
    <n v="2"/>
    <n v="0"/>
    <s v="20"/>
    <x v="4"/>
    <n v="3"/>
    <s v="Yes"/>
    <n v="7"/>
    <s v="Yes"/>
    <n v="2"/>
    <n v="3"/>
    <s v="Yes"/>
    <s v="Rent"/>
    <n v="12"/>
    <n v="10"/>
    <n v="22"/>
    <s v="Yes"/>
    <s v="Yes"/>
    <s v="Yes"/>
    <s v="Yes"/>
    <s v="No"/>
    <s v="Yes"/>
    <n v="17"/>
    <s v="Both"/>
    <n v="5"/>
    <s v="Free range"/>
    <n v="100"/>
    <s v="Free range"/>
    <n v="25"/>
    <s v="Free range"/>
    <m/>
    <s v=""/>
    <n v="1"/>
    <n v="21.4"/>
    <s v="High"/>
    <n v="2"/>
    <n v="1"/>
    <n v="8"/>
    <n v="11"/>
    <n v="0"/>
    <n v="1"/>
    <n v="1"/>
    <m/>
    <n v="151.1"/>
    <s v="High"/>
    <n v="172.5"/>
    <s v="Yes"/>
    <s v="Dudu bar, Ninja,"/>
    <s v="Yes"/>
    <s v="Multiple"/>
    <n v="2"/>
    <n v="9.5"/>
    <n v="0"/>
    <s v="Yes"/>
    <n v="1"/>
    <n v="22"/>
    <s v="Bags"/>
    <n v="5.28"/>
    <n v="1"/>
    <n v="4"/>
    <s v="Bags"/>
    <n v="0.96"/>
    <n v="1"/>
    <n v="4"/>
    <s v="Bags"/>
    <n v="0.96"/>
    <x v="0"/>
    <s v="Yes"/>
    <s v="No"/>
    <s v="No"/>
    <s v="Yes"/>
    <n v="2"/>
    <n v="3"/>
    <s v="uuid:178e642f-6daf-45ce-bb8c-ae21f9a1d887/secG-G2"/>
    <s v="uuid:178e642f-6daf-45ce-bb8c-ae21f9a1d887/secG-G5"/>
    <n v="-4.3305182456970215"/>
    <n v="35.700538635253906"/>
    <n v="1358.300048828125"/>
    <n v="10"/>
    <n v="1705231439"/>
    <s v="uuid:178e642f-6daf-45ce-bb8c-ae21f9a1d887"/>
    <d v="2017-07-07T09:17:21"/>
    <d v="2017-06-15T12:20:05"/>
    <d v="2017-07-07T09:16:16"/>
    <d v="2017-01-02T00:00:00"/>
    <m/>
    <n v="7.1851851851851842"/>
    <n v="5.5925925925925926"/>
    <n v="2.7485416666666667"/>
    <n v="3.8618749999999999"/>
    <m/>
    <n v="1"/>
    <m/>
    <s v="Plains"/>
    <n v="0.79513710737200005"/>
    <s v="Very gentle"/>
    <s v="Flat"/>
    <n v="0.27193418145199999"/>
    <n v="8.5437145233200003"/>
    <m/>
    <n v="180.24165262194853"/>
    <m/>
    <n v="0.874"/>
    <m/>
    <n v="3.3052083333333333"/>
    <n v="6.3888888888888884"/>
    <n v="3.0836805555555551"/>
    <n v="1858.5600000000002"/>
    <n v="654.72"/>
    <n v="763.19999999999993"/>
    <n v="3276.48"/>
    <n v="63.699999999999996"/>
    <n v="3212.78"/>
  </r>
  <r>
    <s v="Michael"/>
    <n v="46"/>
    <s v="Dawi Datho"/>
    <s v="Dawi Datho"/>
    <s v="Endanachan"/>
    <s v="Orngadida"/>
    <n v="0"/>
    <s v="Homefield"/>
    <s v="Feed livestock"/>
    <s v="OffField feed"/>
    <n v="0"/>
    <m/>
    <m/>
    <s v=""/>
    <m/>
    <n v="1"/>
    <s v="This season"/>
    <n v="3"/>
    <n v="1.5"/>
    <s v="Other fields in my home village"/>
    <m/>
    <s v="This field"/>
    <m/>
    <n v="10000"/>
    <s v=""/>
    <x v="0"/>
    <s v="Own animals"/>
    <n v="0"/>
    <s v=""/>
    <m/>
    <s v=""/>
    <s v=""/>
    <s v="Yes"/>
    <s v="No"/>
    <m/>
    <n v="1"/>
    <n v="2"/>
    <n v="1"/>
    <n v="43"/>
    <n v="3500"/>
    <m/>
    <n v="2"/>
    <n v="0"/>
    <s v="20"/>
    <x v="4"/>
    <n v="3"/>
    <s v="Yes"/>
    <n v="5.25"/>
    <s v="Yes"/>
    <n v="3"/>
    <n v="9"/>
    <s v="Yes"/>
    <s v="Rent"/>
    <n v="18.25"/>
    <n v="14.25"/>
    <n v="32.5"/>
    <s v="Yes"/>
    <s v="Yes"/>
    <s v="Yes"/>
    <s v="Yes"/>
    <s v="No"/>
    <s v="No"/>
    <n v="24"/>
    <s v="Free range"/>
    <n v="12"/>
    <s v="Free range"/>
    <n v="15"/>
    <s v="Free range"/>
    <n v="11"/>
    <s v="Free range"/>
    <m/>
    <s v=""/>
    <m/>
    <n v="26.45"/>
    <s v="High"/>
    <n v="1"/>
    <n v="1"/>
    <n v="6"/>
    <n v="8"/>
    <n v="0"/>
    <n v="1"/>
    <n v="3"/>
    <m/>
    <n v="215.45"/>
    <s v="High"/>
    <n v="241.9"/>
    <s v="Yes"/>
    <s v="Selector,Carte"/>
    <s v="Yes"/>
    <s v="Multiple"/>
    <n v="0.25"/>
    <n v="17.5"/>
    <n v="0"/>
    <s v="Yes"/>
    <n v="1"/>
    <n v="8"/>
    <s v="Bags"/>
    <n v="1.92"/>
    <m/>
    <n v="999"/>
    <s v="Bags"/>
    <m/>
    <m/>
    <n v="999"/>
    <s v="Bags"/>
    <m/>
    <x v="0"/>
    <s v="No"/>
    <s v="No"/>
    <s v="No"/>
    <s v="No"/>
    <n v="0"/>
    <n v="3"/>
    <s v="uuid:ce436a9d-8cb7-4801-9109-cd6a8b284dd9/secG-G2"/>
    <s v="uuid:ce436a9d-8cb7-4801-9109-cd6a8b284dd9/secG-G5"/>
    <n v="-4.3232874870300293"/>
    <n v="35.713558197021484"/>
    <n v="1342.4000244140625"/>
    <n v="10"/>
    <n v="1705231439"/>
    <s v="uuid:ce436a9d-8cb7-4801-9109-cd6a8b284dd9"/>
    <d v="2017-06-22T07:01:30"/>
    <d v="2017-06-15T14:27:37"/>
    <d v="2017-06-22T06:59:42"/>
    <d v="2017-01-02T00:00:00"/>
    <m/>
    <n v="7.0931400966183586"/>
    <n v="5.734879227053141"/>
    <n v="5.0914529914529911"/>
    <n v="5.2242735042735049"/>
    <m/>
    <n v="1"/>
    <m/>
    <s v="Plains"/>
    <n v="0.77230823039999996"/>
    <s v="Very gentle"/>
    <s v="Flat"/>
    <n v="-0.362559139729"/>
    <n v="10.6584386826"/>
    <n v="304.09075937785911"/>
    <n v="356.43935089324413"/>
    <n v="1.27"/>
    <n v="1.5329999999999999"/>
    <n v="-0.2629999999999999"/>
    <n v="5.157863247863248"/>
    <n v="6.4140096618357498"/>
    <n v="1.2561464139725018"/>
    <n v="675.83999999999992"/>
    <n v="0"/>
    <n v="0"/>
    <n v="675.83999999999992"/>
    <n v="63.699999999999996"/>
    <n v="612.13999999999987"/>
  </r>
  <r>
    <s v="Michael"/>
    <n v="36"/>
    <s v="Phillipo Joseph Marangi"/>
    <s v="Phillipo Joseph Marangi"/>
    <e v="#N/A"/>
    <s v="Samatsi"/>
    <n v="0"/>
    <s v="Homefield"/>
    <s v="Feed livestock"/>
    <s v="OffField feed"/>
    <n v="0"/>
    <m/>
    <m/>
    <s v=""/>
    <m/>
    <n v="1"/>
    <s v="This season"/>
    <n v="12"/>
    <n v="0.5"/>
    <s v="Other fields in my home village"/>
    <m/>
    <s v="This field"/>
    <m/>
    <n v="8000"/>
    <s v=""/>
    <x v="0"/>
    <s v="Own animals"/>
    <n v="0"/>
    <s v=""/>
    <m/>
    <s v=""/>
    <s v=""/>
    <s v="Yes"/>
    <s v="No"/>
    <m/>
    <n v="1"/>
    <n v="2"/>
    <n v="1"/>
    <n v="7"/>
    <n v="15000"/>
    <s v=""/>
    <n v="2"/>
    <n v="0"/>
    <s v="20"/>
    <x v="4"/>
    <n v="3"/>
    <s v="Yes"/>
    <n v="1.5"/>
    <s v="Yes"/>
    <n v="5"/>
    <n v="10"/>
    <s v="Yes"/>
    <s v="Rent"/>
    <n v="12"/>
    <n v="11.5"/>
    <n v="23.5"/>
    <s v="Yes"/>
    <s v="Yes"/>
    <s v="Yes"/>
    <s v="Yes"/>
    <s v="No"/>
    <s v="No"/>
    <n v="25"/>
    <s v="Both"/>
    <n v="18"/>
    <s v="Free range"/>
    <n v="22"/>
    <s v="Free range"/>
    <n v="9"/>
    <s v="Free range"/>
    <m/>
    <s v=""/>
    <m/>
    <n v="27.919999999999998"/>
    <s v="High"/>
    <n v="3"/>
    <n v="2"/>
    <n v="8"/>
    <n v="13"/>
    <n v="0"/>
    <n v="1"/>
    <n v="2"/>
    <m/>
    <n v="173.9"/>
    <s v="High"/>
    <n v="201.82"/>
    <s v="Yes"/>
    <s v="Sumu,"/>
    <s v="Yes"/>
    <s v="Casual"/>
    <n v="1.5"/>
    <n v="10.5"/>
    <n v="0"/>
    <s v="No"/>
    <n v="1"/>
    <n v="7"/>
    <s v="Bags"/>
    <n v="1.6800000000000002"/>
    <n v="1"/>
    <n v="1"/>
    <s v="Bags"/>
    <n v="0.24"/>
    <n v="1"/>
    <n v="3"/>
    <s v="Bags"/>
    <n v="0.72"/>
    <x v="0"/>
    <s v="Yes"/>
    <s v="No"/>
    <s v="Yes"/>
    <s v="No"/>
    <n v="2"/>
    <n v="5"/>
    <s v="uuid:c3ec8d15-143f-4a6c-9443-4cac503cb849/secG-G2"/>
    <s v="uuid:c3ec8d15-143f-4a6c-9443-4cac503cb849/secG-G5"/>
    <n v="-4.3025317192077637"/>
    <n v="35.634777069091797"/>
    <n v="1425.4000244140625"/>
    <n v="15"/>
    <n v="1705231439"/>
    <s v="uuid:c3ec8d15-143f-4a6c-9443-4cac503cb849"/>
    <d v="2017-06-22T07:01:26"/>
    <d v="2017-06-13T11:54:28"/>
    <d v="2017-06-22T06:56:53"/>
    <d v="2017-01-11T00:00:00"/>
    <m/>
    <m/>
    <m/>
    <m/>
    <m/>
    <m/>
    <n v="1"/>
    <m/>
    <s v="Midslope drainages"/>
    <n v="14.098661422699999"/>
    <s v="Strong"/>
    <s v="Valley"/>
    <n v="-1.1783361434899999"/>
    <n v="6.5800104141200002"/>
    <m/>
    <m/>
    <m/>
    <m/>
    <m/>
    <m/>
    <m/>
    <m/>
    <n v="591.36"/>
    <n v="491.03999999999996"/>
    <n v="190.79999999999998"/>
    <n v="1273.2"/>
    <n v="63.699999999999996"/>
    <n v="1209.5"/>
  </r>
  <r>
    <s v="Inot Songoyani"/>
    <n v="145"/>
    <s v="Salustiani Bilauri Paulo"/>
    <s v="Salustiani Bilauri Paulo"/>
    <s v="AYAMANGO"/>
    <s v="Ayamango"/>
    <n v="0"/>
    <s v="Homefield"/>
    <s v="Feed livestock"/>
    <s v="InField feed"/>
    <n v="0"/>
    <m/>
    <m/>
    <s v=""/>
    <m/>
    <n v="1"/>
    <s v="Every year"/>
    <n v="160"/>
    <s v="Variable"/>
    <s v="Other fields in my home village"/>
    <m/>
    <s v="My 'home field' away from here"/>
    <m/>
    <n v="2500"/>
    <s v=""/>
    <x v="0"/>
    <s v="Own animals"/>
    <n v="0"/>
    <s v=""/>
    <m/>
    <s v=""/>
    <s v=""/>
    <s v="Yes"/>
    <s v="No"/>
    <s v=""/>
    <n v="1"/>
    <n v="3"/>
    <n v="1"/>
    <n v="24"/>
    <s v=""/>
    <s v="Transport"/>
    <n v="2"/>
    <n v="0"/>
    <s v="20"/>
    <x v="4"/>
    <n v="3"/>
    <s v="Yes"/>
    <n v="2.5"/>
    <s v="Yes"/>
    <n v="5"/>
    <n v="50"/>
    <s v="Yes"/>
    <s v="Rahani"/>
    <n v="7"/>
    <n v="52.5"/>
    <n v="59.5"/>
    <s v="Yes"/>
    <s v="Yes"/>
    <s v="Yes"/>
    <s v="Yes"/>
    <s v="No"/>
    <s v="Yes"/>
    <n v="40"/>
    <s v="Free range"/>
    <n v="30"/>
    <s v="Free range"/>
    <n v="30"/>
    <s v="Free range"/>
    <n v="20"/>
    <s v="Free range"/>
    <m/>
    <s v=""/>
    <n v="6"/>
    <n v="47.699999999999996"/>
    <s v="High"/>
    <n v="4"/>
    <n v="4"/>
    <n v="5"/>
    <n v="13"/>
    <n v="1"/>
    <n v="0"/>
    <n v="1"/>
    <s v=""/>
    <n v="802.8"/>
    <s v="High"/>
    <n v="850.5"/>
    <s v="Yes"/>
    <s v="Karate"/>
    <s v="Yes"/>
    <s v="Casual"/>
    <n v="0.25"/>
    <n v="0.75"/>
    <m/>
    <s v="Yes"/>
    <n v="1"/>
    <n v="8"/>
    <s v="Bags"/>
    <n v="1.92"/>
    <m/>
    <n v="999"/>
    <s v="Bags"/>
    <m/>
    <n v="999"/>
    <n v="999"/>
    <s v="Bags"/>
    <m/>
    <x v="0"/>
    <s v="No"/>
    <s v="No"/>
    <s v="No"/>
    <s v="No"/>
    <n v="0"/>
    <n v="4"/>
    <s v="uuid:a7daaaee-303a-4491-aaf4-e8799e4f190d/secG-G2"/>
    <s v="uuid:a7daaaee-303a-4491-aaf4-e8799e4f190d/secG-G5"/>
    <n v="-4.2373714447021484"/>
    <n v="35.906875610351563"/>
    <n v="1236.699951171875"/>
    <n v="5"/>
    <n v="1706031849"/>
    <s v="uuid:a7daaaee-303a-4491-aaf4-e8799e4f190d"/>
    <d v="2017-06-23T11:54:02"/>
    <d v="2017-06-22T13:24:24"/>
    <d v="2017-06-22T13:36:50"/>
    <d v="2017-02-20T00:00:00"/>
    <m/>
    <n v="3.7526104417670694"/>
    <n v="3.7526104417670694"/>
    <n v="2.9098039215686273"/>
    <n v="6.0062745098039221"/>
    <m/>
    <s v="FALSEE"/>
    <m/>
    <s v="Plains"/>
    <n v="2.7351534366600001"/>
    <s v="Gentle"/>
    <s v="Toeslope"/>
    <n v="-0.725126743317"/>
    <n v="8.2997674941999993"/>
    <n v="232.87391247503351"/>
    <n v="334.00142634333417"/>
    <n v="1.627"/>
    <n v="2.2530000000000001"/>
    <n v="-0.62600000000000011"/>
    <n v="4.4580392156862745"/>
    <n v="3.7526104417670694"/>
    <n v="-0.70542877391920511"/>
    <n v="675.83999999999992"/>
    <n v="0"/>
    <n v="0"/>
    <n v="675.83999999999992"/>
    <n v="63.699999999999996"/>
    <n v="612.13999999999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55B497-74CC-409A-8D61-44F524ABE83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15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2">
        <item m="1" x="7"/>
        <item m="1" x="6"/>
        <item x="2"/>
        <item m="1" x="9"/>
        <item x="3"/>
        <item m="1" x="10"/>
        <item x="4"/>
        <item m="1" x="5"/>
        <item m="1" x="8"/>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2" showAll="0"/>
    <pivotField numFmtId="22" showAll="0"/>
    <pivotField numFmtId="22"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showAll="0"/>
    <pivotField showAll="0"/>
    <pivotField dataField="1" showAll="0"/>
    <pivotField showAll="0"/>
    <pivotField showAll="0"/>
    <pivotField numFmtId="1" showAll="0"/>
    <pivotField numFmtId="1" showAll="0"/>
    <pivotField numFmtId="1" showAll="0"/>
    <pivotField numFmtId="1" showAll="0"/>
    <pivotField numFmtId="1" showAll="0"/>
    <pivotField numFmtId="1" showAll="0"/>
  </pivotFields>
  <rowFields count="1">
    <field x="44"/>
  </rowFields>
  <rowItems count="6">
    <i>
      <x v="2"/>
    </i>
    <i>
      <x v="4"/>
    </i>
    <i>
      <x v="6"/>
    </i>
    <i>
      <x v="9"/>
    </i>
    <i>
      <x v="10"/>
    </i>
    <i t="grand">
      <x/>
    </i>
  </rowItems>
  <colItems count="1">
    <i/>
  </colItems>
  <dataFields count="1">
    <dataField name="Average of Av_FP" fld="144" subtotal="average" baseField="44" baseItem="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239"/>
  <sheetViews>
    <sheetView workbookViewId="0">
      <pane xSplit="8" ySplit="1" topLeftCell="I154" activePane="bottomRight" state="frozen"/>
      <selection pane="topRight" activeCell="I1" sqref="I1"/>
      <selection pane="bottomLeft" activeCell="A15" sqref="A15"/>
      <selection pane="bottomRight" activeCell="AB158" sqref="AB158"/>
    </sheetView>
  </sheetViews>
  <sheetFormatPr baseColWidth="10" defaultColWidth="8.83203125" defaultRowHeight="15" x14ac:dyDescent="0.2"/>
  <sheetData>
    <row r="1" spans="1:28" x14ac:dyDescent="0.2">
      <c r="A1" t="s">
        <v>2142</v>
      </c>
      <c r="B1" t="s">
        <v>2143</v>
      </c>
      <c r="C1" t="s">
        <v>2144</v>
      </c>
      <c r="D1" t="s">
        <v>2145</v>
      </c>
      <c r="E1" t="s">
        <v>2146</v>
      </c>
      <c r="F1" t="s">
        <v>438</v>
      </c>
      <c r="G1" t="s">
        <v>435</v>
      </c>
      <c r="H1" t="s">
        <v>2147</v>
      </c>
      <c r="I1" t="s">
        <v>2148</v>
      </c>
      <c r="J1" t="s">
        <v>2149</v>
      </c>
      <c r="K1" t="s">
        <v>2160</v>
      </c>
      <c r="L1" t="s">
        <v>2150</v>
      </c>
      <c r="M1" t="s">
        <v>2151</v>
      </c>
      <c r="N1" t="s">
        <v>2152</v>
      </c>
      <c r="O1" t="s">
        <v>2149</v>
      </c>
      <c r="P1" t="s">
        <v>2161</v>
      </c>
      <c r="Q1" t="s">
        <v>2153</v>
      </c>
      <c r="R1" t="s">
        <v>2154</v>
      </c>
      <c r="S1" t="s">
        <v>2155</v>
      </c>
      <c r="T1" t="s">
        <v>12</v>
      </c>
      <c r="U1" t="s">
        <v>14</v>
      </c>
      <c r="V1" t="s">
        <v>10</v>
      </c>
      <c r="W1" t="s">
        <v>11</v>
      </c>
      <c r="X1" t="s">
        <v>2159</v>
      </c>
      <c r="Y1" t="s">
        <v>2158</v>
      </c>
      <c r="Z1" t="s">
        <v>2162</v>
      </c>
      <c r="AA1" t="s">
        <v>2163</v>
      </c>
      <c r="AB1" t="s">
        <v>2166</v>
      </c>
    </row>
    <row r="2" spans="1:28" x14ac:dyDescent="0.2">
      <c r="A2" t="s">
        <v>1839</v>
      </c>
      <c r="B2">
        <v>569</v>
      </c>
      <c r="C2" t="s">
        <v>1840</v>
      </c>
      <c r="D2" t="s">
        <v>1659</v>
      </c>
      <c r="E2" t="s">
        <v>1660</v>
      </c>
      <c r="F2" t="s">
        <v>1671</v>
      </c>
      <c r="G2" t="s">
        <v>403</v>
      </c>
      <c r="H2" t="s">
        <v>1661</v>
      </c>
      <c r="I2" t="s">
        <v>1662</v>
      </c>
      <c r="J2">
        <v>1.08</v>
      </c>
      <c r="K2" s="48">
        <v>6.3412939092600542</v>
      </c>
      <c r="L2">
        <v>8.5999999999999993E-2</v>
      </c>
      <c r="M2">
        <v>0.81499999999999995</v>
      </c>
      <c r="N2">
        <v>0.10552147239263804</v>
      </c>
      <c r="O2">
        <v>0.88300000000000001</v>
      </c>
      <c r="P2" s="48">
        <v>281.01808577952613</v>
      </c>
      <c r="Q2">
        <v>0.13100000000000001</v>
      </c>
      <c r="R2">
        <v>1.1679999999999999</v>
      </c>
      <c r="S2">
        <v>0.11215753424657536</v>
      </c>
      <c r="T2" s="21">
        <v>1.8089954337899545</v>
      </c>
      <c r="U2" s="21">
        <v>1.8455936073059362</v>
      </c>
      <c r="V2" s="21">
        <v>0.72891975308641976</v>
      </c>
      <c r="W2" s="21">
        <v>0.74665895061728393</v>
      </c>
      <c r="X2" s="21">
        <f>AVERAGE(T2:U2)</f>
        <v>1.8272945205479454</v>
      </c>
      <c r="Y2" s="21">
        <f>AVERAGE(V2:W2)</f>
        <v>0.7377893518518519</v>
      </c>
      <c r="Z2">
        <f>R2-M2</f>
        <v>0.35299999999999998</v>
      </c>
      <c r="AA2">
        <f>Y2-X2</f>
        <v>-1.0895051686960935</v>
      </c>
      <c r="AB2" t="s">
        <v>2174</v>
      </c>
    </row>
    <row r="3" spans="1:28" x14ac:dyDescent="0.2">
      <c r="A3" t="s">
        <v>2097</v>
      </c>
      <c r="B3">
        <v>217</v>
      </c>
      <c r="C3" t="s">
        <v>2098</v>
      </c>
      <c r="D3" t="s">
        <v>1659</v>
      </c>
      <c r="E3" t="s">
        <v>1660</v>
      </c>
      <c r="F3" t="s">
        <v>16</v>
      </c>
      <c r="G3" t="s">
        <v>384</v>
      </c>
      <c r="H3" t="s">
        <v>1661</v>
      </c>
      <c r="I3" t="s">
        <v>1662</v>
      </c>
      <c r="J3">
        <v>1.07</v>
      </c>
      <c r="K3" s="48"/>
      <c r="L3">
        <v>0.16600000000000001</v>
      </c>
      <c r="M3">
        <v>1.4450000000000001</v>
      </c>
      <c r="N3">
        <v>0.11487889273356401</v>
      </c>
      <c r="O3">
        <v>1.032</v>
      </c>
      <c r="P3" s="48">
        <v>56.040792301091408</v>
      </c>
      <c r="Q3">
        <v>0.158</v>
      </c>
      <c r="R3">
        <v>1.306</v>
      </c>
      <c r="S3">
        <v>0.12098009188361408</v>
      </c>
      <c r="T3" s="21">
        <v>6.4490046296296288</v>
      </c>
      <c r="U3" s="21"/>
      <c r="V3" s="21">
        <v>4.5914657210401897</v>
      </c>
      <c r="W3" s="21">
        <v>5.5844444444444452</v>
      </c>
      <c r="X3" s="21">
        <f>AVERAGE(T3:U3)</f>
        <v>6.4490046296296288</v>
      </c>
      <c r="Y3" s="21">
        <f>AVERAGE(V3:W3)</f>
        <v>5.087955082742317</v>
      </c>
      <c r="Z3">
        <f>R3-M3</f>
        <v>-0.13900000000000001</v>
      </c>
      <c r="AA3">
        <f>Y3-X3</f>
        <v>-1.3610495468873118</v>
      </c>
      <c r="AB3" t="s">
        <v>2171</v>
      </c>
    </row>
    <row r="4" spans="1:28" x14ac:dyDescent="0.2">
      <c r="A4" t="s">
        <v>2093</v>
      </c>
      <c r="B4">
        <v>221</v>
      </c>
      <c r="C4" t="s">
        <v>2094</v>
      </c>
      <c r="D4" t="s">
        <v>1659</v>
      </c>
      <c r="E4" t="s">
        <v>1660</v>
      </c>
      <c r="F4" t="s">
        <v>16</v>
      </c>
      <c r="G4" t="s">
        <v>252</v>
      </c>
      <c r="H4" t="s">
        <v>1661</v>
      </c>
      <c r="I4" t="s">
        <v>1662</v>
      </c>
      <c r="J4">
        <v>1.069</v>
      </c>
      <c r="K4" s="48"/>
      <c r="L4">
        <v>0.17799999999999999</v>
      </c>
      <c r="M4">
        <v>1.5229999999999999</v>
      </c>
      <c r="N4">
        <v>0.11687458962573867</v>
      </c>
      <c r="O4">
        <v>1.0640000000000001</v>
      </c>
      <c r="P4" s="48">
        <v>15.221167743445479</v>
      </c>
      <c r="Q4">
        <v>0.2</v>
      </c>
      <c r="R4">
        <v>1.5669999999999999</v>
      </c>
      <c r="S4">
        <v>0.12763241863433314</v>
      </c>
      <c r="T4" s="21">
        <v>0.85382716049382712</v>
      </c>
      <c r="U4" s="21">
        <v>1.6161728395061727</v>
      </c>
      <c r="V4" s="21">
        <v>2.6470175438596493</v>
      </c>
      <c r="W4" s="21">
        <v>3.2512280701754395</v>
      </c>
      <c r="X4" s="21">
        <f>AVERAGE(T4:U4)</f>
        <v>1.2349999999999999</v>
      </c>
      <c r="Y4" s="21">
        <f>AVERAGE(V4:W4)</f>
        <v>2.9491228070175444</v>
      </c>
      <c r="Z4">
        <f>R4-M4</f>
        <v>4.4000000000000039E-2</v>
      </c>
      <c r="AA4">
        <f>Y4-X4</f>
        <v>1.7141228070175445</v>
      </c>
      <c r="AB4" t="s">
        <v>2171</v>
      </c>
    </row>
    <row r="5" spans="1:28" x14ac:dyDescent="0.2">
      <c r="A5" t="s">
        <v>1986</v>
      </c>
      <c r="B5">
        <v>249</v>
      </c>
      <c r="C5" t="s">
        <v>1987</v>
      </c>
      <c r="D5" t="s">
        <v>1659</v>
      </c>
      <c r="E5" t="s">
        <v>1660</v>
      </c>
      <c r="F5" t="s">
        <v>4</v>
      </c>
      <c r="G5" t="s">
        <v>127</v>
      </c>
      <c r="H5" t="s">
        <v>1661</v>
      </c>
      <c r="I5" t="s">
        <v>1662</v>
      </c>
      <c r="J5">
        <v>1.081</v>
      </c>
      <c r="K5" s="48">
        <v>9.1511340106900931</v>
      </c>
      <c r="L5">
        <v>7.9000000000000001E-2</v>
      </c>
      <c r="M5">
        <v>0.56399999999999995</v>
      </c>
      <c r="N5">
        <v>0.14007092198581561</v>
      </c>
      <c r="O5">
        <v>1.0129999999999999</v>
      </c>
      <c r="P5" s="48">
        <v>95.973188231328663</v>
      </c>
      <c r="Q5">
        <v>9.1999999999999998E-2</v>
      </c>
      <c r="R5">
        <v>0.77</v>
      </c>
      <c r="S5">
        <v>0.11948051948051948</v>
      </c>
      <c r="T5" s="21">
        <v>0.98685185185185198</v>
      </c>
      <c r="U5" s="21"/>
      <c r="V5" s="21">
        <v>1.1444444444444446</v>
      </c>
      <c r="W5" s="21">
        <v>1.4907894736842107</v>
      </c>
      <c r="X5" s="21">
        <f>AVERAGE(T5:U5)</f>
        <v>0.98685185185185198</v>
      </c>
      <c r="Y5" s="21">
        <f>AVERAGE(V5:W5)</f>
        <v>1.3176169590643276</v>
      </c>
      <c r="Z5">
        <f>R5-M5</f>
        <v>0.20600000000000007</v>
      </c>
      <c r="AA5">
        <f>Y5-X5</f>
        <v>0.33076510721247565</v>
      </c>
      <c r="AB5" t="s">
        <v>2180</v>
      </c>
    </row>
    <row r="6" spans="1:28" x14ac:dyDescent="0.2">
      <c r="A6" t="s">
        <v>1694</v>
      </c>
      <c r="B6">
        <v>203</v>
      </c>
      <c r="C6" t="s">
        <v>1695</v>
      </c>
      <c r="D6" t="s">
        <v>1659</v>
      </c>
      <c r="E6" t="s">
        <v>1660</v>
      </c>
      <c r="F6" t="s">
        <v>3</v>
      </c>
      <c r="G6" t="s">
        <v>303</v>
      </c>
      <c r="H6" t="s">
        <v>1661</v>
      </c>
      <c r="I6" t="s">
        <v>1662</v>
      </c>
      <c r="J6">
        <v>1.0649999999999999</v>
      </c>
      <c r="K6" s="48">
        <v>13.945554476019279</v>
      </c>
      <c r="O6">
        <v>0.84699999999999998</v>
      </c>
      <c r="P6" s="48">
        <v>292.02924677498305</v>
      </c>
      <c r="T6" s="21"/>
      <c r="U6" s="21"/>
      <c r="V6" s="21"/>
      <c r="W6" s="21"/>
      <c r="X6" s="21"/>
      <c r="Y6" s="21"/>
      <c r="AB6" t="e">
        <v>#N/A</v>
      </c>
    </row>
    <row r="7" spans="1:28" x14ac:dyDescent="0.2">
      <c r="A7" t="s">
        <v>2025</v>
      </c>
      <c r="B7">
        <v>225</v>
      </c>
      <c r="C7" t="s">
        <v>2026</v>
      </c>
      <c r="D7" t="s">
        <v>1659</v>
      </c>
      <c r="E7" t="s">
        <v>1660</v>
      </c>
      <c r="F7" t="s">
        <v>16</v>
      </c>
      <c r="G7" t="s">
        <v>247</v>
      </c>
      <c r="H7" t="s">
        <v>1661</v>
      </c>
      <c r="I7" t="s">
        <v>1662</v>
      </c>
      <c r="J7">
        <v>1.0609999999999999</v>
      </c>
      <c r="K7" s="48"/>
      <c r="L7">
        <v>0.155</v>
      </c>
      <c r="M7">
        <v>1.4650000000000001</v>
      </c>
      <c r="N7">
        <v>0.10580204778156996</v>
      </c>
      <c r="O7">
        <v>0.86899999999999999</v>
      </c>
      <c r="P7" s="48">
        <v>279.83165599268091</v>
      </c>
      <c r="Q7">
        <v>0.17299999999999999</v>
      </c>
      <c r="R7">
        <v>1.66</v>
      </c>
      <c r="S7">
        <v>0.10421686746987951</v>
      </c>
      <c r="T7" s="21">
        <v>5.4618055555555562</v>
      </c>
      <c r="U7" s="21">
        <v>3.3432870370370371</v>
      </c>
      <c r="V7" s="21">
        <v>3.9925925925925929</v>
      </c>
      <c r="W7" s="21">
        <v>3.9925925925925929</v>
      </c>
      <c r="X7" s="21">
        <f>AVERAGE(T7:U7)</f>
        <v>4.4025462962962969</v>
      </c>
      <c r="Y7" s="21">
        <f>AVERAGE(V7:W7)</f>
        <v>3.9925925925925929</v>
      </c>
      <c r="Z7">
        <f>R7-M7</f>
        <v>0.19499999999999984</v>
      </c>
      <c r="AA7">
        <f>Y7-X7</f>
        <v>-0.40995370370370399</v>
      </c>
      <c r="AB7" t="s">
        <v>2174</v>
      </c>
    </row>
    <row r="8" spans="1:28" x14ac:dyDescent="0.2">
      <c r="A8" t="s">
        <v>1790</v>
      </c>
      <c r="B8">
        <v>499</v>
      </c>
      <c r="C8" t="s">
        <v>1791</v>
      </c>
      <c r="D8" t="s">
        <v>1659</v>
      </c>
      <c r="E8" t="s">
        <v>1660</v>
      </c>
      <c r="F8" t="s">
        <v>1042</v>
      </c>
      <c r="G8" t="s">
        <v>200</v>
      </c>
      <c r="H8" t="s">
        <v>1661</v>
      </c>
      <c r="I8" t="s">
        <v>1662</v>
      </c>
      <c r="J8">
        <v>1.0649999999999999</v>
      </c>
      <c r="K8" s="48"/>
      <c r="L8">
        <v>0.16600000000000001</v>
      </c>
      <c r="M8">
        <v>1.486</v>
      </c>
      <c r="N8">
        <v>0.11170928667563931</v>
      </c>
      <c r="O8">
        <v>0.76700000000000002</v>
      </c>
      <c r="P8" s="48">
        <v>439.61516453042049</v>
      </c>
      <c r="Q8">
        <v>0.17</v>
      </c>
      <c r="R8">
        <v>1.65</v>
      </c>
      <c r="S8">
        <v>0.10303030303030304</v>
      </c>
      <c r="T8" s="21">
        <v>1.8542592592592591</v>
      </c>
      <c r="U8" s="21">
        <v>1.7088271604938272</v>
      </c>
      <c r="V8" s="21"/>
      <c r="W8" s="21">
        <v>3.710984848484848</v>
      </c>
      <c r="X8" s="21">
        <f>AVERAGE(T8:U8)</f>
        <v>1.7815432098765431</v>
      </c>
      <c r="Y8" s="21">
        <f>AVERAGE(V8:W8)</f>
        <v>3.710984848484848</v>
      </c>
      <c r="Z8">
        <f>R8-M8</f>
        <v>0.16399999999999992</v>
      </c>
      <c r="AA8">
        <f>Y8-X8</f>
        <v>1.9294416386083049</v>
      </c>
      <c r="AB8" t="e">
        <v>#N/A</v>
      </c>
    </row>
    <row r="9" spans="1:28" x14ac:dyDescent="0.2">
      <c r="A9" t="s">
        <v>2048</v>
      </c>
      <c r="B9">
        <v>625</v>
      </c>
      <c r="C9" t="s">
        <v>2049</v>
      </c>
      <c r="D9" t="s">
        <v>1659</v>
      </c>
      <c r="E9" t="s">
        <v>1660</v>
      </c>
      <c r="F9" t="s">
        <v>645</v>
      </c>
      <c r="G9" t="s">
        <v>338</v>
      </c>
      <c r="H9" t="s">
        <v>1661</v>
      </c>
      <c r="I9" t="s">
        <v>1662</v>
      </c>
      <c r="J9">
        <v>1.0620000000000001</v>
      </c>
      <c r="K9" s="48">
        <v>29.06548824223945</v>
      </c>
      <c r="L9">
        <v>9.5000000000000001E-2</v>
      </c>
      <c r="M9">
        <v>0.64300000000000002</v>
      </c>
      <c r="N9">
        <v>0.14774494556765164</v>
      </c>
      <c r="O9">
        <v>0.88</v>
      </c>
      <c r="P9" s="48">
        <v>285.20098108719515</v>
      </c>
      <c r="Q9">
        <v>0.104</v>
      </c>
      <c r="R9">
        <v>1.0649999999999999</v>
      </c>
      <c r="S9">
        <v>9.7652582159624413E-2</v>
      </c>
      <c r="T9" s="21">
        <v>2.4000000000000004</v>
      </c>
      <c r="U9" s="21">
        <v>2.2105263157894743</v>
      </c>
      <c r="V9" s="21">
        <v>3.0502415458937198</v>
      </c>
      <c r="W9" s="21">
        <v>2.8608695652173917</v>
      </c>
      <c r="X9" s="21">
        <f>AVERAGE(T9:U9)</f>
        <v>2.3052631578947373</v>
      </c>
      <c r="Y9" s="21">
        <f>AVERAGE(V9:W9)</f>
        <v>2.9555555555555557</v>
      </c>
      <c r="Z9">
        <f>R9-M9</f>
        <v>0.42199999999999993</v>
      </c>
      <c r="AA9">
        <f>Y9-X9</f>
        <v>0.65029239766081837</v>
      </c>
      <c r="AB9" t="s">
        <v>2171</v>
      </c>
    </row>
    <row r="10" spans="1:28" x14ac:dyDescent="0.2">
      <c r="A10" t="s">
        <v>2111</v>
      </c>
      <c r="B10">
        <v>201</v>
      </c>
      <c r="C10" t="s">
        <v>2112</v>
      </c>
      <c r="D10" t="s">
        <v>1659</v>
      </c>
      <c r="E10" t="s">
        <v>1660</v>
      </c>
      <c r="F10" t="s">
        <v>3</v>
      </c>
      <c r="G10" t="s">
        <v>2113</v>
      </c>
      <c r="H10" t="s">
        <v>1661</v>
      </c>
      <c r="I10" t="s">
        <v>1662</v>
      </c>
      <c r="J10">
        <v>1.0529999999999999</v>
      </c>
      <c r="K10" s="48">
        <v>29.25291368513669</v>
      </c>
      <c r="O10">
        <v>1.0649999999999999</v>
      </c>
      <c r="P10" s="48">
        <v>13.945554476019279</v>
      </c>
      <c r="AB10" t="e">
        <v>#N/A</v>
      </c>
    </row>
    <row r="11" spans="1:28" x14ac:dyDescent="0.2">
      <c r="A11" t="s">
        <v>1864</v>
      </c>
      <c r="B11">
        <v>614</v>
      </c>
      <c r="C11" t="s">
        <v>1865</v>
      </c>
      <c r="D11" t="s">
        <v>1659</v>
      </c>
      <c r="E11" t="s">
        <v>1660</v>
      </c>
      <c r="F11" t="s">
        <v>24</v>
      </c>
      <c r="G11" t="s">
        <v>260</v>
      </c>
      <c r="H11" t="s">
        <v>1661</v>
      </c>
      <c r="I11" t="s">
        <v>1662</v>
      </c>
      <c r="J11">
        <v>1.0580000000000001</v>
      </c>
      <c r="K11" s="48">
        <v>34.500379555113788</v>
      </c>
      <c r="L11">
        <v>6.9000000000000006E-2</v>
      </c>
      <c r="M11">
        <v>0.46100000000000002</v>
      </c>
      <c r="N11">
        <v>0.14967462039045554</v>
      </c>
      <c r="O11">
        <v>0.90100000000000002</v>
      </c>
      <c r="P11" s="48">
        <v>247.81986358543793</v>
      </c>
      <c r="Q11">
        <v>9.1999999999999998E-2</v>
      </c>
      <c r="R11">
        <v>0.86399999999999999</v>
      </c>
      <c r="S11">
        <v>0.10648148148148148</v>
      </c>
      <c r="T11" s="21">
        <v>1.6735714285714287</v>
      </c>
      <c r="U11" s="21">
        <v>2.6794047619047618</v>
      </c>
      <c r="V11" s="21">
        <v>3.9316483516483514</v>
      </c>
      <c r="W11" s="21">
        <v>3.9758241758241764</v>
      </c>
      <c r="X11" s="21">
        <f t="shared" ref="X11:X35" si="0">AVERAGE(T11:U11)</f>
        <v>2.1764880952380952</v>
      </c>
      <c r="Y11" s="21">
        <f t="shared" ref="Y11:Y50" si="1">AVERAGE(V11:W11)</f>
        <v>3.9537362637362641</v>
      </c>
      <c r="Z11">
        <f t="shared" ref="Z11:Z20" si="2">R11-M11</f>
        <v>0.40299999999999997</v>
      </c>
      <c r="AA11">
        <f t="shared" ref="AA11:AA50" si="3">Y11-X11</f>
        <v>1.7772481684981689</v>
      </c>
      <c r="AB11" t="s">
        <v>2184</v>
      </c>
    </row>
    <row r="12" spans="1:28" x14ac:dyDescent="0.2">
      <c r="A12" t="s">
        <v>2126</v>
      </c>
      <c r="B12">
        <v>283</v>
      </c>
      <c r="C12" t="s">
        <v>2127</v>
      </c>
      <c r="D12" t="s">
        <v>1659</v>
      </c>
      <c r="E12" t="s">
        <v>1660</v>
      </c>
      <c r="F12" t="s">
        <v>1677</v>
      </c>
      <c r="G12" t="s">
        <v>144</v>
      </c>
      <c r="H12" t="s">
        <v>1661</v>
      </c>
      <c r="I12" t="s">
        <v>1662</v>
      </c>
      <c r="J12">
        <v>1.0580000000000001</v>
      </c>
      <c r="K12" s="48">
        <v>38.517417055905945</v>
      </c>
      <c r="L12">
        <v>0.128</v>
      </c>
      <c r="M12">
        <v>1.153</v>
      </c>
      <c r="N12">
        <v>0.11101474414570685</v>
      </c>
      <c r="O12">
        <v>0.86499999999999999</v>
      </c>
      <c r="P12" s="48">
        <v>284.93883565271835</v>
      </c>
      <c r="Q12">
        <v>0.12</v>
      </c>
      <c r="R12">
        <v>0.95799999999999996</v>
      </c>
      <c r="S12">
        <v>0.12526096033402923</v>
      </c>
      <c r="T12" s="21">
        <v>4.2549019607843137</v>
      </c>
      <c r="U12" s="21">
        <v>6.348039215686275</v>
      </c>
      <c r="V12" s="21">
        <v>7.3817333333333339</v>
      </c>
      <c r="W12" s="21">
        <v>7.3497777777777769</v>
      </c>
      <c r="X12" s="21">
        <f t="shared" si="0"/>
        <v>5.3014705882352944</v>
      </c>
      <c r="Y12" s="21">
        <f t="shared" si="1"/>
        <v>7.3657555555555554</v>
      </c>
      <c r="Z12">
        <f t="shared" si="2"/>
        <v>-0.19500000000000006</v>
      </c>
      <c r="AA12">
        <f t="shared" si="3"/>
        <v>2.064284967320261</v>
      </c>
      <c r="AB12" t="s">
        <v>2171</v>
      </c>
    </row>
    <row r="13" spans="1:28" x14ac:dyDescent="0.2">
      <c r="A13" t="s">
        <v>1792</v>
      </c>
      <c r="B13">
        <v>251</v>
      </c>
      <c r="C13" t="s">
        <v>1793</v>
      </c>
      <c r="D13" t="s">
        <v>1659</v>
      </c>
      <c r="E13" t="s">
        <v>1660</v>
      </c>
      <c r="F13" t="s">
        <v>4</v>
      </c>
      <c r="G13" t="s">
        <v>121</v>
      </c>
      <c r="H13" t="s">
        <v>1661</v>
      </c>
      <c r="I13" t="s">
        <v>1662</v>
      </c>
      <c r="J13">
        <v>1.0569999999999999</v>
      </c>
      <c r="K13" s="48">
        <v>39.794211970915427</v>
      </c>
      <c r="L13">
        <v>8.7999999999999995E-2</v>
      </c>
      <c r="M13">
        <v>0.71799999999999997</v>
      </c>
      <c r="N13">
        <v>0.12256267409470752</v>
      </c>
      <c r="O13">
        <v>1.054</v>
      </c>
      <c r="P13" s="48">
        <v>43.624596715943625</v>
      </c>
      <c r="Q13">
        <v>8.7999999999999995E-2</v>
      </c>
      <c r="R13">
        <v>0.70299999999999996</v>
      </c>
      <c r="S13">
        <v>0.1251778093883357</v>
      </c>
      <c r="T13" s="21">
        <v>3.4294871794871797</v>
      </c>
      <c r="U13" s="21">
        <v>0.83679487179487189</v>
      </c>
      <c r="V13" s="21">
        <v>1.955993265993266</v>
      </c>
      <c r="W13" s="21">
        <v>2.7487878787878794</v>
      </c>
      <c r="X13" s="21">
        <f t="shared" si="0"/>
        <v>2.1331410256410259</v>
      </c>
      <c r="Y13" s="21">
        <f t="shared" si="1"/>
        <v>2.3523905723905729</v>
      </c>
      <c r="Z13">
        <f t="shared" si="2"/>
        <v>-1.5000000000000013E-2</v>
      </c>
      <c r="AA13">
        <f t="shared" si="3"/>
        <v>0.219249546749547</v>
      </c>
      <c r="AB13" t="s">
        <v>2183</v>
      </c>
    </row>
    <row r="14" spans="1:28" x14ac:dyDescent="0.2">
      <c r="A14" t="s">
        <v>2052</v>
      </c>
      <c r="B14">
        <v>552</v>
      </c>
      <c r="C14" t="s">
        <v>2053</v>
      </c>
      <c r="D14" t="s">
        <v>1659</v>
      </c>
      <c r="E14" t="s">
        <v>1660</v>
      </c>
      <c r="F14" t="s">
        <v>1687</v>
      </c>
      <c r="G14" t="s">
        <v>352</v>
      </c>
      <c r="H14" t="s">
        <v>1661</v>
      </c>
      <c r="I14" t="s">
        <v>1662</v>
      </c>
      <c r="J14">
        <v>1.0549999999999999</v>
      </c>
      <c r="K14" s="48">
        <v>41.198754806502066</v>
      </c>
      <c r="L14">
        <v>8.2000000000000003E-2</v>
      </c>
      <c r="M14">
        <v>0.70099999999999996</v>
      </c>
      <c r="N14">
        <v>0.11697574893009986</v>
      </c>
      <c r="O14">
        <v>0.24099999999999999</v>
      </c>
      <c r="P14" s="48"/>
      <c r="Q14">
        <v>0.16</v>
      </c>
      <c r="R14">
        <v>1.585</v>
      </c>
      <c r="S14">
        <v>0.10094637223974764</v>
      </c>
      <c r="T14" s="21">
        <v>2.541052631578947</v>
      </c>
      <c r="U14" s="21">
        <v>2.5576608187134502</v>
      </c>
      <c r="V14" s="21">
        <v>2.2995169082125604</v>
      </c>
      <c r="W14" s="21">
        <v>3.761352657004831</v>
      </c>
      <c r="X14" s="21">
        <f t="shared" si="0"/>
        <v>2.5493567251461986</v>
      </c>
      <c r="Y14" s="21">
        <f t="shared" si="1"/>
        <v>3.0304347826086957</v>
      </c>
      <c r="Z14">
        <f t="shared" si="2"/>
        <v>0.88400000000000001</v>
      </c>
      <c r="AA14">
        <f t="shared" si="3"/>
        <v>0.4810780574624971</v>
      </c>
      <c r="AB14" t="s">
        <v>2171</v>
      </c>
    </row>
    <row r="15" spans="1:28" x14ac:dyDescent="0.2">
      <c r="A15" t="s">
        <v>1731</v>
      </c>
      <c r="B15">
        <v>616</v>
      </c>
      <c r="C15" t="s">
        <v>1732</v>
      </c>
      <c r="D15" t="s">
        <v>1659</v>
      </c>
      <c r="E15" t="s">
        <v>1660</v>
      </c>
      <c r="F15" t="s">
        <v>24</v>
      </c>
      <c r="G15" t="s">
        <v>257</v>
      </c>
      <c r="H15" t="s">
        <v>1661</v>
      </c>
      <c r="I15" t="s">
        <v>1662</v>
      </c>
      <c r="J15">
        <v>1.0489999999999999</v>
      </c>
      <c r="K15" s="48">
        <v>46.728885009081537</v>
      </c>
      <c r="L15">
        <v>7.2999999999999995E-2</v>
      </c>
      <c r="M15">
        <v>0.48699999999999999</v>
      </c>
      <c r="N15">
        <v>0.14989733059548255</v>
      </c>
      <c r="O15">
        <v>0.85299999999999998</v>
      </c>
      <c r="P15" s="48">
        <v>313.03855933993242</v>
      </c>
      <c r="Q15">
        <v>0.104</v>
      </c>
      <c r="R15">
        <v>0.93899999999999995</v>
      </c>
      <c r="S15">
        <v>0.11075612353567625</v>
      </c>
      <c r="T15" s="21">
        <v>2.8661971830985924</v>
      </c>
      <c r="U15" s="21">
        <v>3.3464788732394375</v>
      </c>
      <c r="V15" s="21">
        <v>1.9647169811320753</v>
      </c>
      <c r="W15" s="21">
        <v>1.3098113207547168</v>
      </c>
      <c r="X15" s="21">
        <f t="shared" si="0"/>
        <v>3.1063380281690147</v>
      </c>
      <c r="Y15" s="21">
        <f t="shared" si="1"/>
        <v>1.6372641509433961</v>
      </c>
      <c r="Z15">
        <f t="shared" si="2"/>
        <v>0.45199999999999996</v>
      </c>
      <c r="AA15">
        <f t="shared" si="3"/>
        <v>-1.4690738772256187</v>
      </c>
      <c r="AB15" t="s">
        <v>2179</v>
      </c>
    </row>
    <row r="16" spans="1:28" x14ac:dyDescent="0.2">
      <c r="A16" t="s">
        <v>1713</v>
      </c>
      <c r="B16">
        <v>675</v>
      </c>
      <c r="C16" t="s">
        <v>1714</v>
      </c>
      <c r="D16" t="s">
        <v>1659</v>
      </c>
      <c r="E16" t="s">
        <v>1660</v>
      </c>
      <c r="F16" t="s">
        <v>1687</v>
      </c>
      <c r="G16" t="s">
        <v>147</v>
      </c>
      <c r="H16" t="s">
        <v>1661</v>
      </c>
      <c r="I16" t="s">
        <v>1662</v>
      </c>
      <c r="J16">
        <v>1.0569999999999999</v>
      </c>
      <c r="K16" s="48">
        <v>48.565397505813927</v>
      </c>
      <c r="L16">
        <v>0.108</v>
      </c>
      <c r="M16">
        <v>0.83099999999999996</v>
      </c>
      <c r="N16">
        <v>0.12996389891696752</v>
      </c>
      <c r="O16">
        <v>1.0580000000000001</v>
      </c>
      <c r="P16" s="48">
        <v>47.189639278059829</v>
      </c>
      <c r="Q16">
        <v>0.107</v>
      </c>
      <c r="R16">
        <v>0.82199999999999995</v>
      </c>
      <c r="S16">
        <v>0.13017031630170317</v>
      </c>
      <c r="T16" s="21">
        <v>1.9796335697399532</v>
      </c>
      <c r="U16" s="21">
        <v>2.2926713947990547</v>
      </c>
      <c r="V16" s="21">
        <v>7.9535135135135127</v>
      </c>
      <c r="W16" s="21">
        <v>5.6529729729729725</v>
      </c>
      <c r="X16" s="21">
        <f t="shared" si="0"/>
        <v>2.1361524822695039</v>
      </c>
      <c r="Y16" s="21">
        <f t="shared" si="1"/>
        <v>6.8032432432432426</v>
      </c>
      <c r="Z16">
        <f t="shared" si="2"/>
        <v>-9.000000000000008E-3</v>
      </c>
      <c r="AA16">
        <f t="shared" si="3"/>
        <v>4.6670907609737391</v>
      </c>
      <c r="AB16" t="e">
        <v>#N/A</v>
      </c>
    </row>
    <row r="17" spans="1:28" x14ac:dyDescent="0.2">
      <c r="A17" t="s">
        <v>1868</v>
      </c>
      <c r="B17">
        <v>269</v>
      </c>
      <c r="C17" t="s">
        <v>1869</v>
      </c>
      <c r="D17" t="s">
        <v>1659</v>
      </c>
      <c r="E17" t="s">
        <v>1660</v>
      </c>
      <c r="F17" t="s">
        <v>4</v>
      </c>
      <c r="G17" t="s">
        <v>125</v>
      </c>
      <c r="H17" t="s">
        <v>1661</v>
      </c>
      <c r="I17" t="s">
        <v>1662</v>
      </c>
      <c r="J17">
        <v>1.046</v>
      </c>
      <c r="K17" s="48">
        <v>53.838956036018736</v>
      </c>
      <c r="L17">
        <v>8.6999999999999994E-2</v>
      </c>
      <c r="M17">
        <v>0.88900000000000001</v>
      </c>
      <c r="N17">
        <v>9.7862767154105731E-2</v>
      </c>
      <c r="O17">
        <v>0.94799999999999995</v>
      </c>
      <c r="P17" s="48">
        <v>178.96485770693903</v>
      </c>
      <c r="Q17">
        <v>0.112</v>
      </c>
      <c r="R17">
        <v>0.98299999999999998</v>
      </c>
      <c r="S17">
        <v>0.11393692777212615</v>
      </c>
      <c r="T17" s="21">
        <v>0.97472222222222227</v>
      </c>
      <c r="U17" s="21">
        <v>0.63861111111111113</v>
      </c>
      <c r="V17" s="21">
        <v>2.6414141414141419</v>
      </c>
      <c r="W17" s="21">
        <v>2.5885858585858594</v>
      </c>
      <c r="X17" s="21">
        <f t="shared" si="0"/>
        <v>0.80666666666666664</v>
      </c>
      <c r="Y17" s="21">
        <f t="shared" si="1"/>
        <v>2.6150000000000007</v>
      </c>
      <c r="Z17">
        <f t="shared" si="2"/>
        <v>9.3999999999999972E-2</v>
      </c>
      <c r="AA17">
        <f t="shared" si="3"/>
        <v>1.808333333333334</v>
      </c>
      <c r="AB17" t="e">
        <v>#N/A</v>
      </c>
    </row>
    <row r="18" spans="1:28" x14ac:dyDescent="0.2">
      <c r="A18" t="s">
        <v>1895</v>
      </c>
      <c r="B18">
        <v>612</v>
      </c>
      <c r="C18" t="s">
        <v>1896</v>
      </c>
      <c r="D18" t="s">
        <v>1659</v>
      </c>
      <c r="E18" t="s">
        <v>1660</v>
      </c>
      <c r="F18" t="s">
        <v>24</v>
      </c>
      <c r="G18" t="s">
        <v>262</v>
      </c>
      <c r="H18" t="s">
        <v>1661</v>
      </c>
      <c r="I18" t="s">
        <v>1662</v>
      </c>
      <c r="J18">
        <v>1.0309999999999999</v>
      </c>
      <c r="K18" s="48">
        <v>71.185895917017049</v>
      </c>
      <c r="L18">
        <v>0.10299999999999999</v>
      </c>
      <c r="M18">
        <v>0.84299999999999997</v>
      </c>
      <c r="N18">
        <v>0.12218268090154211</v>
      </c>
      <c r="O18">
        <v>0.88700000000000001</v>
      </c>
      <c r="P18" s="48">
        <v>266.84198318049908</v>
      </c>
      <c r="Q18">
        <v>0.155</v>
      </c>
      <c r="R18">
        <v>1.171</v>
      </c>
      <c r="S18">
        <v>0.13236549957301452</v>
      </c>
      <c r="T18" s="21">
        <v>2.9950515463917529</v>
      </c>
      <c r="U18" s="21">
        <v>1.8816494845360825</v>
      </c>
      <c r="V18" s="21">
        <v>4.2897474747474753</v>
      </c>
      <c r="W18" s="21">
        <v>6.2843434343434348</v>
      </c>
      <c r="X18" s="21">
        <f t="shared" si="0"/>
        <v>2.4383505154639176</v>
      </c>
      <c r="Y18" s="21">
        <f t="shared" si="1"/>
        <v>5.2870454545454546</v>
      </c>
      <c r="Z18">
        <f t="shared" si="2"/>
        <v>0.32800000000000007</v>
      </c>
      <c r="AA18">
        <f t="shared" si="3"/>
        <v>2.848694939081537</v>
      </c>
      <c r="AB18" t="s">
        <v>2179</v>
      </c>
    </row>
    <row r="19" spans="1:28" x14ac:dyDescent="0.2">
      <c r="A19" t="s">
        <v>1675</v>
      </c>
      <c r="B19">
        <v>285</v>
      </c>
      <c r="C19" t="s">
        <v>1676</v>
      </c>
      <c r="D19" t="s">
        <v>1659</v>
      </c>
      <c r="E19" t="s">
        <v>1660</v>
      </c>
      <c r="F19" t="s">
        <v>1677</v>
      </c>
      <c r="G19" t="s">
        <v>134</v>
      </c>
      <c r="H19" t="s">
        <v>1661</v>
      </c>
      <c r="I19" t="s">
        <v>1662</v>
      </c>
      <c r="J19">
        <v>1.0309999999999999</v>
      </c>
      <c r="K19" s="48">
        <v>72.990879761159732</v>
      </c>
      <c r="L19">
        <v>8.2000000000000003E-2</v>
      </c>
      <c r="M19">
        <v>0.90100000000000002</v>
      </c>
      <c r="N19">
        <v>9.1009988901220862E-2</v>
      </c>
      <c r="O19">
        <v>0.94299999999999995</v>
      </c>
      <c r="P19" s="48">
        <v>185.34883228198595</v>
      </c>
      <c r="Q19">
        <v>8.6999999999999994E-2</v>
      </c>
      <c r="R19">
        <v>0.76300000000000001</v>
      </c>
      <c r="S19">
        <v>0.11402359108781127</v>
      </c>
      <c r="T19" s="21">
        <v>2.1743749999999999</v>
      </c>
      <c r="U19" s="21">
        <v>2.6643749999999997</v>
      </c>
      <c r="V19" s="21">
        <v>7.5886419753086418</v>
      </c>
      <c r="W19" s="21">
        <v>5.5190123456790126</v>
      </c>
      <c r="X19" s="21">
        <f t="shared" si="0"/>
        <v>2.4193749999999996</v>
      </c>
      <c r="Y19" s="21">
        <f t="shared" si="1"/>
        <v>6.5538271604938272</v>
      </c>
      <c r="Z19">
        <f t="shared" si="2"/>
        <v>-0.13800000000000001</v>
      </c>
      <c r="AA19">
        <f t="shared" si="3"/>
        <v>4.1344521604938276</v>
      </c>
      <c r="AB19" t="e">
        <v>#N/A</v>
      </c>
    </row>
    <row r="20" spans="1:28" x14ac:dyDescent="0.2">
      <c r="A20" t="s">
        <v>2079</v>
      </c>
      <c r="B20">
        <v>617</v>
      </c>
      <c r="C20" t="s">
        <v>2080</v>
      </c>
      <c r="D20" t="s">
        <v>1659</v>
      </c>
      <c r="E20" t="s">
        <v>1660</v>
      </c>
      <c r="F20" t="s">
        <v>24</v>
      </c>
      <c r="G20" t="s">
        <v>272</v>
      </c>
      <c r="H20" t="s">
        <v>1661</v>
      </c>
      <c r="I20" t="s">
        <v>1662</v>
      </c>
      <c r="J20">
        <v>1.0269999999999999</v>
      </c>
      <c r="K20" s="48">
        <v>76.620787229891377</v>
      </c>
      <c r="L20">
        <v>9.5000000000000001E-2</v>
      </c>
      <c r="M20">
        <v>0.74299999999999999</v>
      </c>
      <c r="N20">
        <v>0.12786002691790041</v>
      </c>
      <c r="O20">
        <v>1.056</v>
      </c>
      <c r="P20" s="48">
        <v>37.217825211550952</v>
      </c>
      <c r="Q20">
        <v>7.4999999999999997E-2</v>
      </c>
      <c r="R20">
        <v>0.52100000000000002</v>
      </c>
      <c r="S20">
        <v>0.14395393474088292</v>
      </c>
      <c r="T20" s="21">
        <v>4.5014484126984113</v>
      </c>
      <c r="U20" s="21">
        <v>4.7947023809523799</v>
      </c>
      <c r="V20" s="21">
        <v>3.9160000000000008</v>
      </c>
      <c r="W20" s="21">
        <v>4.2720000000000011</v>
      </c>
      <c r="X20" s="21">
        <f t="shared" si="0"/>
        <v>4.6480753968253961</v>
      </c>
      <c r="Y20" s="21">
        <f t="shared" si="1"/>
        <v>4.0940000000000012</v>
      </c>
      <c r="Z20">
        <f t="shared" si="2"/>
        <v>-0.22199999999999998</v>
      </c>
      <c r="AA20">
        <f t="shared" si="3"/>
        <v>-0.55407539682539486</v>
      </c>
      <c r="AB20" t="s">
        <v>2183</v>
      </c>
    </row>
    <row r="21" spans="1:28" x14ac:dyDescent="0.2">
      <c r="A21" t="s">
        <v>1886</v>
      </c>
      <c r="B21">
        <v>465</v>
      </c>
      <c r="C21" t="s">
        <v>1887</v>
      </c>
      <c r="D21" t="s">
        <v>1659</v>
      </c>
      <c r="E21" t="s">
        <v>1660</v>
      </c>
      <c r="F21" t="s">
        <v>1888</v>
      </c>
      <c r="G21" t="s">
        <v>227</v>
      </c>
      <c r="H21" t="s">
        <v>1661</v>
      </c>
      <c r="I21" t="s">
        <v>1662</v>
      </c>
      <c r="J21">
        <v>1.03</v>
      </c>
      <c r="K21" s="48">
        <v>79.172605616755433</v>
      </c>
      <c r="L21">
        <v>9.1499999999999998E-2</v>
      </c>
      <c r="M21">
        <v>0.75649999999999995</v>
      </c>
      <c r="N21">
        <v>0.12136971903018504</v>
      </c>
      <c r="O21">
        <v>0.80800000000000005</v>
      </c>
      <c r="P21" s="48">
        <v>391.12919621651605</v>
      </c>
      <c r="T21" s="21">
        <v>3.8335294117647063</v>
      </c>
      <c r="U21" s="21">
        <v>4.6309803921568626</v>
      </c>
      <c r="V21" s="21">
        <v>5.1265020576131688</v>
      </c>
      <c r="W21" s="21">
        <v>5.5359670781893007</v>
      </c>
      <c r="X21" s="21">
        <f t="shared" si="0"/>
        <v>4.2322549019607845</v>
      </c>
      <c r="Y21" s="21">
        <f t="shared" si="1"/>
        <v>5.3312345679012347</v>
      </c>
      <c r="AA21">
        <f t="shared" si="3"/>
        <v>1.0989796659404503</v>
      </c>
      <c r="AB21" t="s">
        <v>2171</v>
      </c>
    </row>
    <row r="22" spans="1:28" x14ac:dyDescent="0.2">
      <c r="A22" t="s">
        <v>1683</v>
      </c>
      <c r="B22">
        <v>253</v>
      </c>
      <c r="C22" t="s">
        <v>1684</v>
      </c>
      <c r="D22" t="s">
        <v>1659</v>
      </c>
      <c r="E22" t="s">
        <v>1660</v>
      </c>
      <c r="F22" t="s">
        <v>4</v>
      </c>
      <c r="G22" t="s">
        <v>117</v>
      </c>
      <c r="H22" t="s">
        <v>1661</v>
      </c>
      <c r="I22" t="s">
        <v>1662</v>
      </c>
      <c r="J22">
        <v>1.026</v>
      </c>
      <c r="K22" s="48">
        <v>79.374854336206639</v>
      </c>
      <c r="L22">
        <v>9.7000000000000003E-2</v>
      </c>
      <c r="M22">
        <v>0.76400000000000001</v>
      </c>
      <c r="N22">
        <v>0.12696335078534032</v>
      </c>
      <c r="O22">
        <v>0.96599999999999997</v>
      </c>
      <c r="P22" s="48">
        <v>155.9825492367701</v>
      </c>
      <c r="Q22">
        <v>9.5000000000000001E-2</v>
      </c>
      <c r="R22">
        <v>0.71099999999999997</v>
      </c>
      <c r="S22">
        <v>0.13361462728551338</v>
      </c>
      <c r="T22" s="21">
        <v>1.5059629629629632</v>
      </c>
      <c r="U22" s="21">
        <v>1.5472222222222223</v>
      </c>
      <c r="V22" s="21">
        <v>0.97558169934640526</v>
      </c>
      <c r="W22" s="21">
        <v>0.95632679738562099</v>
      </c>
      <c r="X22" s="21">
        <f t="shared" si="0"/>
        <v>1.5265925925925927</v>
      </c>
      <c r="Y22" s="21">
        <f t="shared" si="1"/>
        <v>0.96595424836601307</v>
      </c>
      <c r="Z22">
        <f t="shared" ref="Z22:Z29" si="4">R22-M22</f>
        <v>-5.3000000000000047E-2</v>
      </c>
      <c r="AA22">
        <f t="shared" si="3"/>
        <v>-0.56063834422657965</v>
      </c>
      <c r="AB22" t="e">
        <v>#N/A</v>
      </c>
    </row>
    <row r="23" spans="1:28" x14ac:dyDescent="0.2">
      <c r="A23" t="s">
        <v>1664</v>
      </c>
      <c r="B23">
        <v>592</v>
      </c>
      <c r="C23" t="s">
        <v>1665</v>
      </c>
      <c r="D23" t="s">
        <v>1659</v>
      </c>
      <c r="E23" t="s">
        <v>1660</v>
      </c>
      <c r="F23" t="s">
        <v>196</v>
      </c>
      <c r="G23" t="s">
        <v>1666</v>
      </c>
      <c r="H23" t="s">
        <v>1661</v>
      </c>
      <c r="I23" t="s">
        <v>1662</v>
      </c>
      <c r="J23">
        <v>1.024</v>
      </c>
      <c r="K23" s="48">
        <v>80.69695571454713</v>
      </c>
      <c r="L23">
        <v>9.0999999999999998E-2</v>
      </c>
      <c r="M23">
        <v>0.74199999999999999</v>
      </c>
      <c r="N23">
        <v>0.12264150943396226</v>
      </c>
      <c r="O23">
        <v>0.93400000000000005</v>
      </c>
      <c r="P23" s="48">
        <v>202.98201025422367</v>
      </c>
      <c r="Q23">
        <v>9.1999999999999998E-2</v>
      </c>
      <c r="R23">
        <v>0.72499999999999998</v>
      </c>
      <c r="S23">
        <v>0.12689655172413794</v>
      </c>
      <c r="T23" s="21">
        <v>4.1709968847352021</v>
      </c>
      <c r="U23" s="21">
        <v>3.8127102803738318</v>
      </c>
      <c r="V23" s="21">
        <v>3.1255026455026456</v>
      </c>
      <c r="W23" s="21">
        <v>2.4321693121693126</v>
      </c>
      <c r="X23" s="21">
        <f t="shared" si="0"/>
        <v>3.9918535825545169</v>
      </c>
      <c r="Y23" s="21">
        <f t="shared" si="1"/>
        <v>2.7788359788359793</v>
      </c>
      <c r="Z23">
        <f t="shared" si="4"/>
        <v>-1.7000000000000015E-2</v>
      </c>
      <c r="AA23">
        <f t="shared" si="3"/>
        <v>-1.2130176037185376</v>
      </c>
      <c r="AB23" t="s">
        <v>2171</v>
      </c>
    </row>
    <row r="24" spans="1:28" x14ac:dyDescent="0.2">
      <c r="A24" t="s">
        <v>1996</v>
      </c>
      <c r="B24">
        <v>624</v>
      </c>
      <c r="C24" t="s">
        <v>1997</v>
      </c>
      <c r="D24" t="s">
        <v>1659</v>
      </c>
      <c r="E24" t="s">
        <v>1660</v>
      </c>
      <c r="F24" t="s">
        <v>24</v>
      </c>
      <c r="G24" t="s">
        <v>387</v>
      </c>
      <c r="H24" t="s">
        <v>1661</v>
      </c>
      <c r="I24" t="s">
        <v>1662</v>
      </c>
      <c r="J24">
        <v>1.0209999999999999</v>
      </c>
      <c r="K24" s="48">
        <v>84.77312419920338</v>
      </c>
      <c r="L24">
        <v>0.08</v>
      </c>
      <c r="M24">
        <v>0.61</v>
      </c>
      <c r="N24">
        <v>0.13114754098360656</v>
      </c>
      <c r="O24">
        <v>1.0680000000000001</v>
      </c>
      <c r="P24" s="48">
        <v>23.072875139936137</v>
      </c>
      <c r="Q24">
        <v>0.08</v>
      </c>
      <c r="R24">
        <v>0.58699999999999997</v>
      </c>
      <c r="S24">
        <v>0.13628620102214653</v>
      </c>
      <c r="T24" s="21">
        <v>4.6935185185185189</v>
      </c>
      <c r="U24" s="21">
        <v>4.5582098765432102</v>
      </c>
      <c r="V24" s="21">
        <v>2.5235465768799101</v>
      </c>
      <c r="W24" s="21">
        <v>3.4363187429854096</v>
      </c>
      <c r="X24" s="21">
        <f t="shared" si="0"/>
        <v>4.6258641975308645</v>
      </c>
      <c r="Y24" s="21">
        <f t="shared" si="1"/>
        <v>2.9799326599326599</v>
      </c>
      <c r="Z24">
        <f t="shared" si="4"/>
        <v>-2.300000000000002E-2</v>
      </c>
      <c r="AA24">
        <f t="shared" si="3"/>
        <v>-1.6459315375982047</v>
      </c>
      <c r="AB24" t="s">
        <v>2179</v>
      </c>
    </row>
    <row r="25" spans="1:28" x14ac:dyDescent="0.2">
      <c r="A25" t="s">
        <v>1733</v>
      </c>
      <c r="B25">
        <v>209</v>
      </c>
      <c r="C25" t="s">
        <v>1734</v>
      </c>
      <c r="D25" t="s">
        <v>1659</v>
      </c>
      <c r="E25" t="s">
        <v>1660</v>
      </c>
      <c r="F25" t="s">
        <v>3</v>
      </c>
      <c r="G25" t="s">
        <v>393</v>
      </c>
      <c r="H25" t="s">
        <v>1661</v>
      </c>
      <c r="I25" t="s">
        <v>1662</v>
      </c>
      <c r="J25">
        <v>1.008</v>
      </c>
      <c r="K25" s="48">
        <v>86.65551071932623</v>
      </c>
      <c r="L25">
        <v>0.127</v>
      </c>
      <c r="M25">
        <v>1.208</v>
      </c>
      <c r="N25">
        <v>0.10513245033112584</v>
      </c>
      <c r="O25">
        <v>1.1000000000000001</v>
      </c>
      <c r="P25" s="48">
        <v>-30.700909883906252</v>
      </c>
      <c r="Q25">
        <v>0.152</v>
      </c>
      <c r="R25">
        <v>1.4179999999999999</v>
      </c>
      <c r="S25">
        <v>0.10719322990126939</v>
      </c>
      <c r="T25" s="21">
        <v>2.2949484536082476</v>
      </c>
      <c r="U25" s="21">
        <v>2.0969072164948459</v>
      </c>
      <c r="V25" s="21">
        <v>4.9794509803921585</v>
      </c>
      <c r="W25" s="21">
        <v>4.6782745098039227</v>
      </c>
      <c r="X25" s="21">
        <f t="shared" si="0"/>
        <v>2.1959278350515468</v>
      </c>
      <c r="Y25" s="21">
        <f t="shared" si="1"/>
        <v>4.828862745098041</v>
      </c>
      <c r="Z25">
        <f t="shared" si="4"/>
        <v>0.20999999999999996</v>
      </c>
      <c r="AA25">
        <f t="shared" si="3"/>
        <v>2.6329349100464943</v>
      </c>
      <c r="AB25" t="s">
        <v>2171</v>
      </c>
    </row>
    <row r="26" spans="1:28" x14ac:dyDescent="0.2">
      <c r="A26" t="s">
        <v>1866</v>
      </c>
      <c r="B26">
        <v>223</v>
      </c>
      <c r="C26" t="s">
        <v>1867</v>
      </c>
      <c r="D26" t="s">
        <v>1659</v>
      </c>
      <c r="E26" t="s">
        <v>1660</v>
      </c>
      <c r="F26" t="s">
        <v>16</v>
      </c>
      <c r="G26" t="s">
        <v>379</v>
      </c>
      <c r="H26" t="s">
        <v>1661</v>
      </c>
      <c r="I26" t="s">
        <v>1662</v>
      </c>
      <c r="J26">
        <v>1.006</v>
      </c>
      <c r="K26" s="48">
        <v>89.206737254179131</v>
      </c>
      <c r="L26">
        <v>0.185</v>
      </c>
      <c r="M26">
        <v>1.7310000000000001</v>
      </c>
      <c r="N26">
        <v>0.10687463893703061</v>
      </c>
      <c r="O26">
        <v>1.0409999999999999</v>
      </c>
      <c r="P26" s="48">
        <v>44.5602728942536</v>
      </c>
      <c r="Q26">
        <v>0.16400000000000001</v>
      </c>
      <c r="R26">
        <v>1.5069999999999999</v>
      </c>
      <c r="S26">
        <v>0.10882548108825482</v>
      </c>
      <c r="T26" s="21">
        <v>1.7711574074074077</v>
      </c>
      <c r="U26" s="21">
        <v>1.2688888888888887</v>
      </c>
      <c r="V26" s="21">
        <v>2.9661111111111116</v>
      </c>
      <c r="W26" s="21">
        <v>2.9036666666666675</v>
      </c>
      <c r="X26" s="21">
        <f t="shared" si="0"/>
        <v>1.5200231481481481</v>
      </c>
      <c r="Y26" s="21">
        <f t="shared" si="1"/>
        <v>2.9348888888888895</v>
      </c>
      <c r="Z26">
        <f t="shared" si="4"/>
        <v>-0.2240000000000002</v>
      </c>
      <c r="AA26">
        <f t="shared" si="3"/>
        <v>1.4148657407407415</v>
      </c>
      <c r="AB26" t="s">
        <v>2171</v>
      </c>
    </row>
    <row r="27" spans="1:28" x14ac:dyDescent="0.2">
      <c r="A27" t="s">
        <v>1735</v>
      </c>
      <c r="B27">
        <v>688</v>
      </c>
      <c r="C27" t="s">
        <v>1736</v>
      </c>
      <c r="D27" t="s">
        <v>1659</v>
      </c>
      <c r="E27" t="s">
        <v>1660</v>
      </c>
      <c r="F27" t="s">
        <v>24</v>
      </c>
      <c r="G27" t="s">
        <v>258</v>
      </c>
      <c r="H27" t="s">
        <v>1661</v>
      </c>
      <c r="I27" t="s">
        <v>1662</v>
      </c>
      <c r="J27">
        <v>1.026</v>
      </c>
      <c r="K27" s="48">
        <v>91.213902566181972</v>
      </c>
      <c r="L27">
        <v>8.8999999999999996E-2</v>
      </c>
      <c r="M27">
        <v>0.625</v>
      </c>
      <c r="N27">
        <v>0.1424</v>
      </c>
      <c r="O27">
        <v>0.95699999999999996</v>
      </c>
      <c r="P27" s="48">
        <v>177.84000152369043</v>
      </c>
      <c r="Q27">
        <v>0.111</v>
      </c>
      <c r="R27">
        <v>0.93600000000000005</v>
      </c>
      <c r="S27">
        <v>0.11858974358974358</v>
      </c>
      <c r="T27" s="21">
        <v>2.4653508771929822</v>
      </c>
      <c r="U27" s="21">
        <v>4.5389473684210531</v>
      </c>
      <c r="V27" s="21">
        <v>3.5788118811881193</v>
      </c>
      <c r="W27" s="21">
        <v>6.4332673267326745</v>
      </c>
      <c r="X27" s="21">
        <f t="shared" si="0"/>
        <v>3.5021491228070176</v>
      </c>
      <c r="Y27" s="21">
        <f t="shared" si="1"/>
        <v>5.0060396039603967</v>
      </c>
      <c r="Z27">
        <f t="shared" si="4"/>
        <v>0.31100000000000005</v>
      </c>
      <c r="AA27">
        <f t="shared" si="3"/>
        <v>1.5038904811533791</v>
      </c>
      <c r="AB27" t="s">
        <v>2179</v>
      </c>
    </row>
    <row r="28" spans="1:28" x14ac:dyDescent="0.2">
      <c r="A28" t="s">
        <v>1843</v>
      </c>
      <c r="B28">
        <v>421</v>
      </c>
      <c r="C28" t="s">
        <v>1844</v>
      </c>
      <c r="D28" t="s">
        <v>1659</v>
      </c>
      <c r="E28" t="s">
        <v>1660</v>
      </c>
      <c r="F28" t="s">
        <v>1687</v>
      </c>
      <c r="G28" t="s">
        <v>152</v>
      </c>
      <c r="H28" t="s">
        <v>1845</v>
      </c>
      <c r="I28" t="s">
        <v>1662</v>
      </c>
      <c r="J28">
        <v>1.014</v>
      </c>
      <c r="K28" s="48">
        <v>95.470797118604068</v>
      </c>
      <c r="L28">
        <v>8.2000000000000003E-2</v>
      </c>
      <c r="M28">
        <v>0.56200000000000006</v>
      </c>
      <c r="N28">
        <v>0.14590747330960854</v>
      </c>
      <c r="O28">
        <v>1.083</v>
      </c>
      <c r="P28" s="48">
        <v>16.867745378028236</v>
      </c>
      <c r="Q28">
        <v>8.1000000000000003E-2</v>
      </c>
      <c r="R28">
        <v>0.57399999999999995</v>
      </c>
      <c r="S28">
        <v>0.14111498257839722</v>
      </c>
      <c r="T28" s="21">
        <v>2.0612544802867387</v>
      </c>
      <c r="U28" s="21">
        <v>1.6285483870967743</v>
      </c>
      <c r="V28" s="21">
        <v>4.1295771878072776</v>
      </c>
      <c r="W28" s="21">
        <v>6.4353195673549655</v>
      </c>
      <c r="X28" s="21">
        <f t="shared" si="0"/>
        <v>1.8449014336917564</v>
      </c>
      <c r="Y28" s="21">
        <f t="shared" si="1"/>
        <v>5.2824483775811215</v>
      </c>
      <c r="Z28">
        <f t="shared" si="4"/>
        <v>1.19999999999999E-2</v>
      </c>
      <c r="AA28">
        <f t="shared" si="3"/>
        <v>3.4375469438893651</v>
      </c>
      <c r="AB28" t="s">
        <v>2171</v>
      </c>
    </row>
    <row r="29" spans="1:28" x14ac:dyDescent="0.2">
      <c r="A29" t="s">
        <v>1966</v>
      </c>
      <c r="B29">
        <v>207</v>
      </c>
      <c r="C29" t="s">
        <v>1967</v>
      </c>
      <c r="D29" t="s">
        <v>1659</v>
      </c>
      <c r="E29" t="s">
        <v>1660</v>
      </c>
      <c r="F29" t="s">
        <v>3</v>
      </c>
      <c r="G29" t="s">
        <v>398</v>
      </c>
      <c r="H29" t="s">
        <v>1661</v>
      </c>
      <c r="I29" t="s">
        <v>1662</v>
      </c>
      <c r="J29">
        <v>0.999</v>
      </c>
      <c r="K29" s="48">
        <v>98.13603012616403</v>
      </c>
      <c r="L29">
        <v>0.17199999999999999</v>
      </c>
      <c r="M29">
        <v>1.65</v>
      </c>
      <c r="N29">
        <v>0.10424242424242423</v>
      </c>
      <c r="O29">
        <v>0.754</v>
      </c>
      <c r="P29" s="48">
        <v>405.08004466970209</v>
      </c>
      <c r="Q29">
        <v>0.17599999999999999</v>
      </c>
      <c r="R29">
        <v>1.6659999999999999</v>
      </c>
      <c r="S29">
        <v>0.10564225690276111</v>
      </c>
      <c r="T29" s="21">
        <v>1.7750115260488706</v>
      </c>
      <c r="U29" s="21">
        <v>1.3629552789303827</v>
      </c>
      <c r="V29" s="21">
        <v>2.282157676348548</v>
      </c>
      <c r="W29" s="21">
        <v>2.3772475795297376</v>
      </c>
      <c r="X29" s="21">
        <f t="shared" si="0"/>
        <v>1.5689834024896268</v>
      </c>
      <c r="Y29" s="21">
        <f t="shared" si="1"/>
        <v>2.3297026279391426</v>
      </c>
      <c r="Z29">
        <f t="shared" si="4"/>
        <v>1.6000000000000014E-2</v>
      </c>
      <c r="AA29">
        <f t="shared" si="3"/>
        <v>0.76071922544951587</v>
      </c>
      <c r="AB29" t="s">
        <v>2171</v>
      </c>
    </row>
    <row r="30" spans="1:28" x14ac:dyDescent="0.2">
      <c r="A30" t="s">
        <v>1786</v>
      </c>
      <c r="B30">
        <v>268</v>
      </c>
      <c r="C30" t="s">
        <v>1787</v>
      </c>
      <c r="D30" t="s">
        <v>1659</v>
      </c>
      <c r="E30" t="s">
        <v>1660</v>
      </c>
      <c r="F30" t="s">
        <v>4</v>
      </c>
      <c r="G30" t="s">
        <v>341</v>
      </c>
      <c r="H30" t="s">
        <v>1663</v>
      </c>
      <c r="I30" t="s">
        <v>1662</v>
      </c>
      <c r="J30">
        <v>1.0029999999999999</v>
      </c>
      <c r="K30" s="48">
        <v>108.74113738142275</v>
      </c>
      <c r="O30">
        <v>0.89900000000000002</v>
      </c>
      <c r="P30" s="48">
        <v>241.52780854239919</v>
      </c>
      <c r="Q30">
        <v>0.151</v>
      </c>
      <c r="R30">
        <v>1.472</v>
      </c>
      <c r="S30">
        <v>0.10258152173913043</v>
      </c>
      <c r="T30" s="21">
        <v>0.5861333333333334</v>
      </c>
      <c r="U30" s="21">
        <v>0.65591111111111111</v>
      </c>
      <c r="V30" s="21">
        <v>1.4793795093795095</v>
      </c>
      <c r="W30" s="21">
        <v>1.8562914862914865</v>
      </c>
      <c r="X30" s="21">
        <f t="shared" si="0"/>
        <v>0.62102222222222225</v>
      </c>
      <c r="Y30" s="21">
        <f t="shared" si="1"/>
        <v>1.6678354978354979</v>
      </c>
      <c r="AA30">
        <f t="shared" si="3"/>
        <v>1.0468132756132755</v>
      </c>
      <c r="AB30" t="s">
        <v>2174</v>
      </c>
    </row>
    <row r="31" spans="1:28" x14ac:dyDescent="0.2">
      <c r="A31" t="s">
        <v>1970</v>
      </c>
      <c r="B31">
        <v>581</v>
      </c>
      <c r="C31" t="s">
        <v>1971</v>
      </c>
      <c r="D31" t="s">
        <v>1659</v>
      </c>
      <c r="E31" t="s">
        <v>1660</v>
      </c>
      <c r="F31" t="s">
        <v>1671</v>
      </c>
      <c r="G31" t="s">
        <v>296</v>
      </c>
      <c r="H31" t="s">
        <v>1661</v>
      </c>
      <c r="I31" t="s">
        <v>1662</v>
      </c>
      <c r="J31">
        <v>1</v>
      </c>
      <c r="K31" s="48">
        <v>113.30630359179413</v>
      </c>
      <c r="L31">
        <v>0.105</v>
      </c>
      <c r="M31">
        <v>0.88600000000000001</v>
      </c>
      <c r="N31">
        <v>0.11851015801354402</v>
      </c>
      <c r="O31">
        <v>0.88500000000000001</v>
      </c>
      <c r="P31" s="48">
        <v>269.55942883693626</v>
      </c>
      <c r="Q31">
        <v>0.10199999999999999</v>
      </c>
      <c r="R31">
        <v>0.98599999999999999</v>
      </c>
      <c r="S31">
        <v>0.10344827586206896</v>
      </c>
      <c r="T31" s="21"/>
      <c r="U31" s="21">
        <v>6.9640540540540545</v>
      </c>
      <c r="V31" s="21"/>
      <c r="W31" s="21">
        <v>6.6305555555555555</v>
      </c>
      <c r="X31" s="21">
        <f t="shared" si="0"/>
        <v>6.9640540540540545</v>
      </c>
      <c r="Y31" s="21">
        <f t="shared" si="1"/>
        <v>6.6305555555555555</v>
      </c>
      <c r="Z31">
        <f>R31-M31</f>
        <v>9.9999999999999978E-2</v>
      </c>
      <c r="AA31">
        <f t="shared" si="3"/>
        <v>-0.333498498498499</v>
      </c>
      <c r="AB31" t="e">
        <v>#N/A</v>
      </c>
    </row>
    <row r="32" spans="1:28" x14ac:dyDescent="0.2">
      <c r="A32" t="s">
        <v>1837</v>
      </c>
      <c r="B32">
        <v>718</v>
      </c>
      <c r="C32" t="s">
        <v>1838</v>
      </c>
      <c r="D32" t="s">
        <v>1659</v>
      </c>
      <c r="E32" t="s">
        <v>1660</v>
      </c>
      <c r="F32" t="s">
        <v>645</v>
      </c>
      <c r="G32" t="s">
        <v>331</v>
      </c>
      <c r="H32" t="s">
        <v>1661</v>
      </c>
      <c r="I32" t="s">
        <v>1662</v>
      </c>
      <c r="J32">
        <v>1.0050000000000001</v>
      </c>
      <c r="K32" s="48">
        <v>114.67480685183814</v>
      </c>
      <c r="L32">
        <v>8.8999999999999996E-2</v>
      </c>
      <c r="M32">
        <v>0.68700000000000006</v>
      </c>
      <c r="N32">
        <v>0.12954876273653565</v>
      </c>
      <c r="P32" s="48"/>
      <c r="T32" s="21">
        <v>3.7018222222222219</v>
      </c>
      <c r="U32" s="21">
        <v>4.2647111111111116</v>
      </c>
      <c r="V32" s="21">
        <v>5.7480888888888879</v>
      </c>
      <c r="W32" s="21">
        <v>6.6156000000000006</v>
      </c>
      <c r="X32" s="21">
        <f t="shared" si="0"/>
        <v>3.9832666666666667</v>
      </c>
      <c r="Y32" s="21">
        <f t="shared" si="1"/>
        <v>6.1818444444444438</v>
      </c>
      <c r="AA32">
        <f t="shared" si="3"/>
        <v>2.1985777777777771</v>
      </c>
      <c r="AB32" t="s">
        <v>2171</v>
      </c>
    </row>
    <row r="33" spans="1:28" x14ac:dyDescent="0.2">
      <c r="A33" t="s">
        <v>2130</v>
      </c>
      <c r="B33">
        <v>477</v>
      </c>
      <c r="C33" t="s">
        <v>2131</v>
      </c>
      <c r="D33" t="s">
        <v>1659</v>
      </c>
      <c r="E33" t="s">
        <v>1660</v>
      </c>
      <c r="F33" t="s">
        <v>645</v>
      </c>
      <c r="G33" t="s">
        <v>114</v>
      </c>
      <c r="H33" t="s">
        <v>1661</v>
      </c>
      <c r="I33" t="s">
        <v>1662</v>
      </c>
      <c r="J33">
        <v>0.999</v>
      </c>
      <c r="K33" s="48">
        <v>116.37025262944309</v>
      </c>
      <c r="L33">
        <v>8.5000000000000006E-2</v>
      </c>
      <c r="M33">
        <v>0.627</v>
      </c>
      <c r="N33">
        <v>0.13556618819776717</v>
      </c>
      <c r="O33">
        <v>1.0900000000000001</v>
      </c>
      <c r="P33" s="48">
        <v>19.753685968909835</v>
      </c>
      <c r="Q33">
        <v>6.5000000000000002E-2</v>
      </c>
      <c r="R33">
        <v>0.436</v>
      </c>
      <c r="S33">
        <v>0.14908256880733944</v>
      </c>
      <c r="T33" s="21">
        <v>3.7387270765911542</v>
      </c>
      <c r="U33" s="21">
        <v>2.648543689320388</v>
      </c>
      <c r="V33" s="21">
        <v>5.9472000000000005</v>
      </c>
      <c r="W33" s="21">
        <v>5.3424000000000005</v>
      </c>
      <c r="X33" s="21">
        <f t="shared" si="0"/>
        <v>3.1936353829557711</v>
      </c>
      <c r="Y33" s="21">
        <f t="shared" si="1"/>
        <v>5.6448</v>
      </c>
      <c r="Z33">
        <f>R33-M33</f>
        <v>-0.191</v>
      </c>
      <c r="AA33">
        <f t="shared" si="3"/>
        <v>2.4511646170442289</v>
      </c>
      <c r="AB33" t="s">
        <v>2179</v>
      </c>
    </row>
    <row r="34" spans="1:28" x14ac:dyDescent="0.2">
      <c r="A34" t="s">
        <v>1876</v>
      </c>
      <c r="B34">
        <v>342</v>
      </c>
      <c r="C34" t="s">
        <v>1877</v>
      </c>
      <c r="D34" t="s">
        <v>1659</v>
      </c>
      <c r="E34" t="s">
        <v>1660</v>
      </c>
      <c r="F34" t="s">
        <v>15</v>
      </c>
      <c r="G34" t="s">
        <v>203</v>
      </c>
      <c r="H34" t="s">
        <v>1661</v>
      </c>
      <c r="I34" t="s">
        <v>1662</v>
      </c>
      <c r="J34">
        <v>0.97799999999999998</v>
      </c>
      <c r="K34" s="48">
        <v>119.26212524697208</v>
      </c>
      <c r="L34">
        <v>0.161</v>
      </c>
      <c r="M34">
        <v>1.712</v>
      </c>
      <c r="N34">
        <v>9.4042056074766359E-2</v>
      </c>
      <c r="O34">
        <v>0.745</v>
      </c>
      <c r="P34" s="48">
        <v>438.15422545384513</v>
      </c>
      <c r="Q34">
        <v>0.26800000000000002</v>
      </c>
      <c r="R34">
        <v>2.774</v>
      </c>
      <c r="S34">
        <v>9.6611391492429713E-2</v>
      </c>
      <c r="T34" s="21">
        <v>2.9149999999999996</v>
      </c>
      <c r="U34" s="21">
        <v>3.1799999999999997</v>
      </c>
      <c r="V34" s="21">
        <v>2.5609356725146202</v>
      </c>
      <c r="W34" s="21">
        <v>2.7001169590643275</v>
      </c>
      <c r="X34" s="21">
        <f t="shared" si="0"/>
        <v>3.0474999999999994</v>
      </c>
      <c r="Y34" s="21">
        <f t="shared" si="1"/>
        <v>2.6305263157894738</v>
      </c>
      <c r="Z34">
        <f>R34-M34</f>
        <v>1.0620000000000001</v>
      </c>
      <c r="AA34">
        <f t="shared" si="3"/>
        <v>-0.41697368421052561</v>
      </c>
      <c r="AB34" t="s">
        <v>2171</v>
      </c>
    </row>
    <row r="35" spans="1:28" x14ac:dyDescent="0.2">
      <c r="A35" t="s">
        <v>2033</v>
      </c>
      <c r="B35">
        <v>683</v>
      </c>
      <c r="C35" t="s">
        <v>2034</v>
      </c>
      <c r="D35" t="s">
        <v>1659</v>
      </c>
      <c r="E35" t="s">
        <v>1660</v>
      </c>
      <c r="F35" t="s">
        <v>732</v>
      </c>
      <c r="G35" t="s">
        <v>131</v>
      </c>
      <c r="H35" t="s">
        <v>1661</v>
      </c>
      <c r="I35" t="s">
        <v>1662</v>
      </c>
      <c r="J35">
        <v>1.0049999999999999</v>
      </c>
      <c r="K35" s="48">
        <v>120.10482534901254</v>
      </c>
      <c r="L35">
        <v>9.8000000000000004E-2</v>
      </c>
      <c r="M35">
        <v>0.79600000000000004</v>
      </c>
      <c r="N35">
        <v>0.12311557788944723</v>
      </c>
      <c r="O35">
        <v>0.98099999999999998</v>
      </c>
      <c r="P35" s="48">
        <v>139.12203732794822</v>
      </c>
      <c r="Q35">
        <v>0.10100000000000001</v>
      </c>
      <c r="R35">
        <v>1.0389999999999999</v>
      </c>
      <c r="S35">
        <v>9.720885466794997E-2</v>
      </c>
      <c r="T35" s="21">
        <v>1.9072628726287266</v>
      </c>
      <c r="U35" s="21">
        <v>2.359308943089431</v>
      </c>
      <c r="V35" s="21">
        <v>1.4233766233766234</v>
      </c>
      <c r="W35" s="21">
        <v>1.2335930735930736</v>
      </c>
      <c r="X35" s="21">
        <f t="shared" si="0"/>
        <v>2.1332859078590789</v>
      </c>
      <c r="Y35" s="21">
        <f t="shared" si="1"/>
        <v>1.3284848484848486</v>
      </c>
      <c r="Z35">
        <f>R35-M35</f>
        <v>0.24299999999999988</v>
      </c>
      <c r="AA35">
        <f t="shared" si="3"/>
        <v>-0.8048010593742303</v>
      </c>
      <c r="AB35" t="s">
        <v>2180</v>
      </c>
    </row>
    <row r="36" spans="1:28" x14ac:dyDescent="0.2">
      <c r="A36" t="s">
        <v>1920</v>
      </c>
      <c r="B36">
        <v>575</v>
      </c>
      <c r="C36" t="s">
        <v>1919</v>
      </c>
      <c r="D36" t="s">
        <v>1659</v>
      </c>
      <c r="E36" t="s">
        <v>1660</v>
      </c>
      <c r="F36" t="s">
        <v>196</v>
      </c>
      <c r="G36" t="s">
        <v>315</v>
      </c>
      <c r="H36" t="s">
        <v>1661</v>
      </c>
      <c r="I36" t="s">
        <v>1662</v>
      </c>
      <c r="J36">
        <v>0.99400000000000011</v>
      </c>
      <c r="K36" s="48">
        <v>126.25095939577233</v>
      </c>
      <c r="L36">
        <v>0.10100000000000002</v>
      </c>
      <c r="M36">
        <v>0.85300000000000009</v>
      </c>
      <c r="N36">
        <v>0.11840562719812427</v>
      </c>
      <c r="P36" s="48"/>
      <c r="T36" s="21"/>
      <c r="U36" s="21"/>
      <c r="V36" s="21">
        <v>5.3837398373983749</v>
      </c>
      <c r="W36" s="21">
        <v>6.2647154471544715</v>
      </c>
      <c r="X36" s="21"/>
      <c r="Y36" s="21">
        <f t="shared" si="1"/>
        <v>5.8242276422764228</v>
      </c>
      <c r="AA36">
        <f t="shared" si="3"/>
        <v>5.8242276422764228</v>
      </c>
      <c r="AB36" t="s">
        <v>2171</v>
      </c>
    </row>
    <row r="37" spans="1:28" x14ac:dyDescent="0.2">
      <c r="A37" t="s">
        <v>1862</v>
      </c>
      <c r="B37">
        <v>213</v>
      </c>
      <c r="C37" t="s">
        <v>1863</v>
      </c>
      <c r="D37" t="s">
        <v>1659</v>
      </c>
      <c r="E37" t="s">
        <v>1660</v>
      </c>
      <c r="F37" t="s">
        <v>16</v>
      </c>
      <c r="G37" t="s">
        <v>412</v>
      </c>
      <c r="H37" t="s">
        <v>1661</v>
      </c>
      <c r="I37" t="s">
        <v>1662</v>
      </c>
      <c r="J37">
        <v>0.97599999999999998</v>
      </c>
      <c r="K37" s="48">
        <v>127.47513527697215</v>
      </c>
      <c r="L37">
        <v>0.17100000000000001</v>
      </c>
      <c r="M37">
        <v>1.611</v>
      </c>
      <c r="N37">
        <v>0.10614525139664806</v>
      </c>
      <c r="O37">
        <v>0.89500000000000002</v>
      </c>
      <c r="P37" s="48">
        <v>230.79980993851393</v>
      </c>
      <c r="Q37">
        <v>0.20699999999999999</v>
      </c>
      <c r="R37">
        <v>1.825</v>
      </c>
      <c r="S37">
        <v>0.11342465753424658</v>
      </c>
      <c r="T37" s="21">
        <v>3.4035672514619888</v>
      </c>
      <c r="U37" s="21">
        <v>4.0140350877192983</v>
      </c>
      <c r="V37" s="21">
        <v>4.5277777777777786</v>
      </c>
      <c r="W37" s="21">
        <v>3.6431196581196583</v>
      </c>
      <c r="X37" s="21">
        <f t="shared" ref="X37:X50" si="5">AVERAGE(T37:U37)</f>
        <v>3.7088011695906435</v>
      </c>
      <c r="Y37" s="21">
        <f t="shared" si="1"/>
        <v>4.0854487179487187</v>
      </c>
      <c r="Z37">
        <f t="shared" ref="Z37:Z42" si="6">R37-M37</f>
        <v>0.21399999999999997</v>
      </c>
      <c r="AA37">
        <f t="shared" si="3"/>
        <v>0.37664754835807512</v>
      </c>
      <c r="AB37" t="s">
        <v>2171</v>
      </c>
    </row>
    <row r="38" spans="1:28" x14ac:dyDescent="0.2">
      <c r="A38" t="s">
        <v>2136</v>
      </c>
      <c r="B38">
        <v>630</v>
      </c>
      <c r="C38" t="s">
        <v>2137</v>
      </c>
      <c r="D38" t="s">
        <v>1659</v>
      </c>
      <c r="E38" t="s">
        <v>1660</v>
      </c>
      <c r="F38" t="s">
        <v>645</v>
      </c>
      <c r="G38" t="s">
        <v>340</v>
      </c>
      <c r="H38" t="s">
        <v>1661</v>
      </c>
      <c r="I38" t="s">
        <v>1662</v>
      </c>
      <c r="J38">
        <v>0.98799999999999999</v>
      </c>
      <c r="K38" s="48">
        <v>129.61097753041764</v>
      </c>
      <c r="L38">
        <v>8.6999999999999994E-2</v>
      </c>
      <c r="M38">
        <v>0.64200000000000002</v>
      </c>
      <c r="N38">
        <v>0.13551401869158877</v>
      </c>
      <c r="O38">
        <v>1.014</v>
      </c>
      <c r="P38" s="48">
        <v>107.72300129922816</v>
      </c>
      <c r="Q38">
        <v>9.2999999999999999E-2</v>
      </c>
      <c r="R38">
        <v>0.90100000000000002</v>
      </c>
      <c r="S38">
        <v>0.10321864594894561</v>
      </c>
      <c r="T38" s="21">
        <v>2.1811265432098765</v>
      </c>
      <c r="U38" s="21">
        <v>2.2536111111111112</v>
      </c>
      <c r="V38" s="21">
        <v>4.0266666666666664</v>
      </c>
      <c r="W38" s="21">
        <v>2.8933333333333331</v>
      </c>
      <c r="X38" s="21">
        <f t="shared" si="5"/>
        <v>2.2173688271604939</v>
      </c>
      <c r="Y38" s="21">
        <f t="shared" si="1"/>
        <v>3.46</v>
      </c>
      <c r="Z38">
        <f t="shared" si="6"/>
        <v>0.25900000000000001</v>
      </c>
      <c r="AA38">
        <f t="shared" si="3"/>
        <v>1.2426311728395061</v>
      </c>
      <c r="AB38" t="s">
        <v>2171</v>
      </c>
    </row>
    <row r="39" spans="1:28" x14ac:dyDescent="0.2">
      <c r="A39" t="s">
        <v>1891</v>
      </c>
      <c r="B39">
        <v>619</v>
      </c>
      <c r="C39" t="s">
        <v>1892</v>
      </c>
      <c r="D39" t="s">
        <v>1659</v>
      </c>
      <c r="E39" t="s">
        <v>1660</v>
      </c>
      <c r="F39" t="s">
        <v>24</v>
      </c>
      <c r="G39" t="s">
        <v>261</v>
      </c>
      <c r="H39" t="s">
        <v>1661</v>
      </c>
      <c r="I39" t="s">
        <v>1662</v>
      </c>
      <c r="J39">
        <v>1.0069999999999999</v>
      </c>
      <c r="K39" s="48">
        <v>133.02335568728293</v>
      </c>
      <c r="L39">
        <v>7.9000000000000001E-2</v>
      </c>
      <c r="M39">
        <v>0.55100000000000005</v>
      </c>
      <c r="N39">
        <v>0.14337568058076225</v>
      </c>
      <c r="O39">
        <v>1.0469999999999999</v>
      </c>
      <c r="P39" s="48">
        <v>49.446330665519206</v>
      </c>
      <c r="Q39">
        <v>8.5000000000000006E-2</v>
      </c>
      <c r="R39">
        <v>0.48499999999999999</v>
      </c>
      <c r="S39">
        <v>0.1752577319587629</v>
      </c>
      <c r="T39" s="21">
        <v>5.1101754385964924</v>
      </c>
      <c r="U39" s="21">
        <v>5.0021052631578957</v>
      </c>
      <c r="V39" s="21">
        <v>2.2297297297297303</v>
      </c>
      <c r="W39" s="21">
        <v>1.8618618618618619</v>
      </c>
      <c r="X39" s="21">
        <f t="shared" si="5"/>
        <v>5.056140350877194</v>
      </c>
      <c r="Y39" s="21">
        <f t="shared" si="1"/>
        <v>2.045795795795796</v>
      </c>
      <c r="Z39">
        <f t="shared" si="6"/>
        <v>-6.6000000000000059E-2</v>
      </c>
      <c r="AA39">
        <f t="shared" si="3"/>
        <v>-3.0103445550813981</v>
      </c>
      <c r="AB39" t="s">
        <v>2184</v>
      </c>
    </row>
    <row r="40" spans="1:28" x14ac:dyDescent="0.2">
      <c r="A40" t="s">
        <v>1905</v>
      </c>
      <c r="B40">
        <v>608</v>
      </c>
      <c r="C40" t="s">
        <v>1906</v>
      </c>
      <c r="D40" t="s">
        <v>1659</v>
      </c>
      <c r="E40" t="s">
        <v>1660</v>
      </c>
      <c r="F40" t="s">
        <v>777</v>
      </c>
      <c r="G40" t="s">
        <v>229</v>
      </c>
      <c r="H40" t="s">
        <v>1661</v>
      </c>
      <c r="I40" t="s">
        <v>1662</v>
      </c>
      <c r="J40">
        <v>0.98499999999999999</v>
      </c>
      <c r="K40" s="48">
        <v>133.68714601507389</v>
      </c>
      <c r="L40">
        <v>0.122</v>
      </c>
      <c r="M40">
        <v>1.4339999999999999</v>
      </c>
      <c r="N40">
        <v>8.5076708507670851E-2</v>
      </c>
      <c r="O40">
        <v>0.89900000000000002</v>
      </c>
      <c r="P40" s="48">
        <v>265.93519749091797</v>
      </c>
      <c r="Q40">
        <v>0.13300000000000001</v>
      </c>
      <c r="R40">
        <v>1.3009999999999999</v>
      </c>
      <c r="S40">
        <v>0.10222905457340509</v>
      </c>
      <c r="T40" s="21"/>
      <c r="U40" s="21">
        <v>3.3300854700854705</v>
      </c>
      <c r="V40" s="21">
        <v>5.8710613598673298</v>
      </c>
      <c r="W40" s="21">
        <v>5.1389054726368153</v>
      </c>
      <c r="X40" s="21">
        <f t="shared" si="5"/>
        <v>3.3300854700854705</v>
      </c>
      <c r="Y40" s="21">
        <f t="shared" si="1"/>
        <v>5.5049834162520721</v>
      </c>
      <c r="Z40">
        <f t="shared" si="6"/>
        <v>-0.13300000000000001</v>
      </c>
      <c r="AA40">
        <f t="shared" si="3"/>
        <v>2.1748979461666016</v>
      </c>
      <c r="AB40" t="s">
        <v>2171</v>
      </c>
    </row>
    <row r="41" spans="1:28" x14ac:dyDescent="0.2">
      <c r="A41" t="s">
        <v>1783</v>
      </c>
      <c r="B41">
        <v>480</v>
      </c>
      <c r="C41" t="s">
        <v>1784</v>
      </c>
      <c r="D41" t="s">
        <v>1659</v>
      </c>
      <c r="E41" t="s">
        <v>1660</v>
      </c>
      <c r="F41" t="s">
        <v>645</v>
      </c>
      <c r="G41" t="s">
        <v>96</v>
      </c>
      <c r="H41" t="s">
        <v>1661</v>
      </c>
      <c r="I41" t="s">
        <v>1662</v>
      </c>
      <c r="J41">
        <v>0.97799999999999998</v>
      </c>
      <c r="K41" s="48">
        <v>145.62949034461792</v>
      </c>
      <c r="L41">
        <v>0.107</v>
      </c>
      <c r="M41">
        <v>0.88</v>
      </c>
      <c r="N41">
        <v>0.12159090909090908</v>
      </c>
      <c r="O41">
        <v>0.65300000000000002</v>
      </c>
      <c r="P41" s="48">
        <v>598.45102641279732</v>
      </c>
      <c r="Q41">
        <v>0.156</v>
      </c>
      <c r="R41">
        <v>1.5820000000000001</v>
      </c>
      <c r="S41">
        <v>9.8609355246523381E-2</v>
      </c>
      <c r="T41" s="21">
        <v>2.1583970856102006</v>
      </c>
      <c r="U41" s="21">
        <v>0.89821493624772331</v>
      </c>
      <c r="V41" s="21">
        <v>4.1811188271604935</v>
      </c>
      <c r="W41" s="21"/>
      <c r="X41" s="21">
        <f t="shared" si="5"/>
        <v>1.5283060109289619</v>
      </c>
      <c r="Y41" s="21">
        <f t="shared" si="1"/>
        <v>4.1811188271604935</v>
      </c>
      <c r="Z41">
        <f t="shared" si="6"/>
        <v>0.70200000000000007</v>
      </c>
      <c r="AA41">
        <f t="shared" si="3"/>
        <v>2.6528128162315316</v>
      </c>
      <c r="AB41" t="e">
        <v>#N/A</v>
      </c>
    </row>
    <row r="42" spans="1:28" x14ac:dyDescent="0.2">
      <c r="A42" t="s">
        <v>1958</v>
      </c>
      <c r="B42">
        <v>686</v>
      </c>
      <c r="C42" t="s">
        <v>1959</v>
      </c>
      <c r="D42" t="s">
        <v>1659</v>
      </c>
      <c r="E42" t="s">
        <v>1660</v>
      </c>
      <c r="F42" t="s">
        <v>645</v>
      </c>
      <c r="G42" t="s">
        <v>335</v>
      </c>
      <c r="H42" t="s">
        <v>1661</v>
      </c>
      <c r="I42" t="s">
        <v>1662</v>
      </c>
      <c r="J42">
        <v>0.97799999999999998</v>
      </c>
      <c r="K42" s="48">
        <v>157.25029749836568</v>
      </c>
      <c r="L42">
        <v>9.5000000000000001E-2</v>
      </c>
      <c r="M42">
        <v>0.75600000000000001</v>
      </c>
      <c r="N42">
        <v>0.12566137566137567</v>
      </c>
      <c r="O42">
        <v>1.0429999999999999</v>
      </c>
      <c r="P42" s="48">
        <v>54.88122197839354</v>
      </c>
      <c r="Q42">
        <v>8.5000000000000006E-2</v>
      </c>
      <c r="R42">
        <v>0.624</v>
      </c>
      <c r="S42">
        <v>0.13621794871794873</v>
      </c>
      <c r="T42" s="21">
        <v>3.2498974358974357</v>
      </c>
      <c r="U42" s="21">
        <v>1.6292136752136752</v>
      </c>
      <c r="V42" s="21">
        <v>4.5354878048780485</v>
      </c>
      <c r="W42" s="21">
        <v>3.4836585365853656</v>
      </c>
      <c r="X42" s="21">
        <f t="shared" si="5"/>
        <v>2.4395555555555557</v>
      </c>
      <c r="Y42" s="21">
        <f t="shared" si="1"/>
        <v>4.0095731707317075</v>
      </c>
      <c r="Z42">
        <f t="shared" si="6"/>
        <v>-0.13200000000000001</v>
      </c>
      <c r="AA42">
        <f t="shared" si="3"/>
        <v>1.5700176151761518</v>
      </c>
      <c r="AB42" t="s">
        <v>2171</v>
      </c>
    </row>
    <row r="43" spans="1:28" x14ac:dyDescent="0.2">
      <c r="A43" t="s">
        <v>2095</v>
      </c>
      <c r="B43">
        <v>211</v>
      </c>
      <c r="C43" t="s">
        <v>2096</v>
      </c>
      <c r="D43" t="s">
        <v>1659</v>
      </c>
      <c r="E43" t="s">
        <v>1660</v>
      </c>
      <c r="F43" t="s">
        <v>16</v>
      </c>
      <c r="G43" t="s">
        <v>430</v>
      </c>
      <c r="H43" t="s">
        <v>1661</v>
      </c>
      <c r="I43" t="s">
        <v>1662</v>
      </c>
      <c r="J43">
        <v>0.95199999999999996</v>
      </c>
      <c r="K43" s="48">
        <v>158.08985369520698</v>
      </c>
      <c r="O43">
        <v>0.70899999999999996</v>
      </c>
      <c r="P43" s="48">
        <v>484.11884239418328</v>
      </c>
      <c r="T43" s="21">
        <v>1.5242361111111113</v>
      </c>
      <c r="U43" s="21">
        <v>2.562013888888889</v>
      </c>
      <c r="V43" s="21">
        <v>2.9243727598566309</v>
      </c>
      <c r="W43" s="21">
        <v>3.5163799283154122</v>
      </c>
      <c r="X43" s="21">
        <f t="shared" si="5"/>
        <v>2.0431250000000003</v>
      </c>
      <c r="Y43" s="21">
        <f t="shared" si="1"/>
        <v>3.2203763440860218</v>
      </c>
      <c r="AA43">
        <f t="shared" si="3"/>
        <v>1.1772513440860215</v>
      </c>
      <c r="AB43" t="s">
        <v>2171</v>
      </c>
    </row>
    <row r="44" spans="1:28" x14ac:dyDescent="0.2">
      <c r="A44" t="s">
        <v>1817</v>
      </c>
      <c r="B44">
        <v>469</v>
      </c>
      <c r="C44" t="s">
        <v>1818</v>
      </c>
      <c r="D44" t="s">
        <v>1659</v>
      </c>
      <c r="E44" t="s">
        <v>1660</v>
      </c>
      <c r="F44" t="s">
        <v>938</v>
      </c>
      <c r="G44" t="s">
        <v>179</v>
      </c>
      <c r="H44" t="s">
        <v>1661</v>
      </c>
      <c r="I44" t="s">
        <v>1662</v>
      </c>
      <c r="J44">
        <v>0.96699999999999997</v>
      </c>
      <c r="K44" s="48">
        <v>160.95575771923316</v>
      </c>
      <c r="L44">
        <v>0.126</v>
      </c>
      <c r="M44">
        <v>1.4670000000000001</v>
      </c>
      <c r="N44">
        <v>8.5889570552147229E-2</v>
      </c>
      <c r="O44">
        <v>0.92800000000000005</v>
      </c>
      <c r="P44" s="48">
        <v>215.29434204741466</v>
      </c>
      <c r="Q44">
        <v>9.2999999999999999E-2</v>
      </c>
      <c r="R44">
        <v>1.0049999999999999</v>
      </c>
      <c r="S44">
        <v>9.2537313432835833E-2</v>
      </c>
      <c r="T44" s="21">
        <v>1.828125</v>
      </c>
      <c r="U44" s="21">
        <v>1.640625</v>
      </c>
      <c r="V44" s="21">
        <v>4.9187613843351556</v>
      </c>
      <c r="W44" s="21">
        <v>5.0910746812386156</v>
      </c>
      <c r="X44" s="21">
        <f t="shared" si="5"/>
        <v>1.734375</v>
      </c>
      <c r="Y44" s="21">
        <f t="shared" si="1"/>
        <v>5.0049180327868861</v>
      </c>
      <c r="Z44">
        <f t="shared" ref="Z44:Z50" si="7">R44-M44</f>
        <v>-0.46200000000000019</v>
      </c>
      <c r="AA44">
        <f t="shared" si="3"/>
        <v>3.2705430327868861</v>
      </c>
      <c r="AB44" t="s">
        <v>2171</v>
      </c>
    </row>
    <row r="45" spans="1:28" x14ac:dyDescent="0.2">
      <c r="A45" t="s">
        <v>1811</v>
      </c>
      <c r="B45">
        <v>235</v>
      </c>
      <c r="C45" t="s">
        <v>1812</v>
      </c>
      <c r="D45" t="s">
        <v>1659</v>
      </c>
      <c r="E45" t="s">
        <v>1660</v>
      </c>
      <c r="F45" t="s">
        <v>16</v>
      </c>
      <c r="G45" t="s">
        <v>242</v>
      </c>
      <c r="H45" t="s">
        <v>1661</v>
      </c>
      <c r="I45" t="s">
        <v>1662</v>
      </c>
      <c r="J45">
        <v>0.96099999999999997</v>
      </c>
      <c r="K45" s="48">
        <v>162.36652381181702</v>
      </c>
      <c r="L45">
        <v>0.20799999999999999</v>
      </c>
      <c r="M45">
        <v>1.976</v>
      </c>
      <c r="N45">
        <v>0.10526315789473684</v>
      </c>
      <c r="O45">
        <v>0.879</v>
      </c>
      <c r="P45" s="48">
        <v>251.20962221733689</v>
      </c>
      <c r="Q45">
        <v>0.20499999999999999</v>
      </c>
      <c r="R45">
        <v>1.97</v>
      </c>
      <c r="S45">
        <v>0.10406091370558375</v>
      </c>
      <c r="T45" s="21">
        <v>2.427777777777778</v>
      </c>
      <c r="U45" s="21">
        <v>2.3420915032679739</v>
      </c>
      <c r="V45" s="21">
        <v>3.9814492753623187</v>
      </c>
      <c r="W45" s="21">
        <v>4.4791304347826086</v>
      </c>
      <c r="X45" s="21">
        <f t="shared" si="5"/>
        <v>2.384934640522876</v>
      </c>
      <c r="Y45" s="21">
        <f t="shared" si="1"/>
        <v>4.2302898550724635</v>
      </c>
      <c r="Z45">
        <f t="shared" si="7"/>
        <v>-6.0000000000000053E-3</v>
      </c>
      <c r="AA45">
        <f t="shared" si="3"/>
        <v>1.8453552145495875</v>
      </c>
      <c r="AB45" t="s">
        <v>2171</v>
      </c>
    </row>
    <row r="46" spans="1:28" x14ac:dyDescent="0.2">
      <c r="A46" t="s">
        <v>1909</v>
      </c>
      <c r="B46">
        <v>239</v>
      </c>
      <c r="C46" t="s">
        <v>1910</v>
      </c>
      <c r="D46" t="s">
        <v>1659</v>
      </c>
      <c r="E46" t="s">
        <v>1660</v>
      </c>
      <c r="F46" t="s">
        <v>16</v>
      </c>
      <c r="G46" t="s">
        <v>246</v>
      </c>
      <c r="H46" t="s">
        <v>1661</v>
      </c>
      <c r="I46" t="s">
        <v>1662</v>
      </c>
      <c r="J46">
        <v>0.95599999999999996</v>
      </c>
      <c r="K46" s="48">
        <v>168.75049838686394</v>
      </c>
      <c r="L46">
        <v>0.17</v>
      </c>
      <c r="M46">
        <v>1.472</v>
      </c>
      <c r="N46">
        <v>0.11548913043478262</v>
      </c>
      <c r="O46">
        <v>1.1419999999999999</v>
      </c>
      <c r="P46" s="48"/>
      <c r="Q46">
        <v>0.153</v>
      </c>
      <c r="R46">
        <v>1.0920000000000001</v>
      </c>
      <c r="S46">
        <v>0.14010989010989008</v>
      </c>
      <c r="T46" s="21">
        <v>7.0984126984126981</v>
      </c>
      <c r="U46" s="21"/>
      <c r="V46" s="21">
        <v>7.5464387464387448</v>
      </c>
      <c r="W46" s="21">
        <v>7.7900529100529097</v>
      </c>
      <c r="X46" s="21">
        <f t="shared" si="5"/>
        <v>7.0984126984126981</v>
      </c>
      <c r="Y46" s="21">
        <f t="shared" si="1"/>
        <v>7.6682458282458272</v>
      </c>
      <c r="Z46">
        <f t="shared" si="7"/>
        <v>-0.37999999999999989</v>
      </c>
      <c r="AA46">
        <f t="shared" si="3"/>
        <v>0.56983312983312917</v>
      </c>
      <c r="AB46" t="s">
        <v>2171</v>
      </c>
    </row>
    <row r="47" spans="1:28" x14ac:dyDescent="0.2">
      <c r="A47" t="s">
        <v>2010</v>
      </c>
      <c r="B47">
        <v>574</v>
      </c>
      <c r="C47" t="s">
        <v>2011</v>
      </c>
      <c r="D47" t="s">
        <v>1659</v>
      </c>
      <c r="E47" t="s">
        <v>1660</v>
      </c>
      <c r="F47" t="s">
        <v>196</v>
      </c>
      <c r="G47" t="s">
        <v>321</v>
      </c>
      <c r="H47" t="s">
        <v>1661</v>
      </c>
      <c r="I47" t="s">
        <v>1662</v>
      </c>
      <c r="J47">
        <v>0.95699999999999996</v>
      </c>
      <c r="K47" s="48">
        <v>177.84000152369043</v>
      </c>
      <c r="L47">
        <v>0.11799999999999999</v>
      </c>
      <c r="M47">
        <v>1.1919999999999999</v>
      </c>
      <c r="N47">
        <v>9.8993288590604023E-2</v>
      </c>
      <c r="O47">
        <v>0.83099999999999996</v>
      </c>
      <c r="P47" s="48">
        <v>342.93046156074189</v>
      </c>
      <c r="Q47">
        <v>0.125</v>
      </c>
      <c r="R47">
        <v>1.3620000000000001</v>
      </c>
      <c r="S47">
        <v>9.1776798825256967E-2</v>
      </c>
      <c r="T47" s="21">
        <v>2.2675052410901468</v>
      </c>
      <c r="U47" s="21">
        <v>3.1777777777777776</v>
      </c>
      <c r="V47" s="21">
        <v>7.1865365365365355</v>
      </c>
      <c r="W47" s="21">
        <v>4.32027027027027</v>
      </c>
      <c r="X47" s="21">
        <f t="shared" si="5"/>
        <v>2.722641509433962</v>
      </c>
      <c r="Y47" s="21">
        <f t="shared" si="1"/>
        <v>5.7534034034034027</v>
      </c>
      <c r="Z47">
        <f t="shared" si="7"/>
        <v>0.17000000000000015</v>
      </c>
      <c r="AA47">
        <f t="shared" si="3"/>
        <v>3.0307618939694407</v>
      </c>
      <c r="AB47" t="s">
        <v>2171</v>
      </c>
    </row>
    <row r="48" spans="1:28" x14ac:dyDescent="0.2">
      <c r="A48" t="s">
        <v>2083</v>
      </c>
      <c r="B48">
        <v>691</v>
      </c>
      <c r="C48" t="s">
        <v>2084</v>
      </c>
      <c r="D48" t="s">
        <v>1659</v>
      </c>
      <c r="E48" t="s">
        <v>1660</v>
      </c>
      <c r="F48" t="s">
        <v>645</v>
      </c>
      <c r="G48" t="s">
        <v>112</v>
      </c>
      <c r="H48" t="s">
        <v>1661</v>
      </c>
      <c r="I48" t="s">
        <v>1662</v>
      </c>
      <c r="J48">
        <v>0.96299999999999997</v>
      </c>
      <c r="K48" s="48">
        <v>177.88667091467318</v>
      </c>
      <c r="L48">
        <v>9.1999999999999998E-2</v>
      </c>
      <c r="M48">
        <v>0.73199999999999998</v>
      </c>
      <c r="N48">
        <v>0.12568306010928962</v>
      </c>
      <c r="O48">
        <v>0.90700000000000003</v>
      </c>
      <c r="P48" s="48">
        <v>254.92913166888718</v>
      </c>
      <c r="Q48">
        <v>0.106</v>
      </c>
      <c r="R48">
        <v>0.873</v>
      </c>
      <c r="S48">
        <v>0.12142038946162657</v>
      </c>
      <c r="T48" s="21"/>
      <c r="U48" s="21">
        <v>6.0275985663082441</v>
      </c>
      <c r="V48" s="21"/>
      <c r="W48" s="21">
        <v>8.8830000000000009</v>
      </c>
      <c r="X48" s="21">
        <f t="shared" si="5"/>
        <v>6.0275985663082441</v>
      </c>
      <c r="Y48" s="21">
        <f t="shared" si="1"/>
        <v>8.8830000000000009</v>
      </c>
      <c r="Z48">
        <f t="shared" si="7"/>
        <v>0.14100000000000001</v>
      </c>
      <c r="AA48">
        <f t="shared" si="3"/>
        <v>2.8554014336917568</v>
      </c>
      <c r="AB48" t="s">
        <v>2174</v>
      </c>
    </row>
    <row r="49" spans="1:28" x14ac:dyDescent="0.2">
      <c r="A49" t="s">
        <v>1717</v>
      </c>
      <c r="B49">
        <v>587</v>
      </c>
      <c r="C49" t="s">
        <v>1718</v>
      </c>
      <c r="D49" t="s">
        <v>1659</v>
      </c>
      <c r="E49" t="s">
        <v>1660</v>
      </c>
      <c r="F49" t="s">
        <v>196</v>
      </c>
      <c r="G49" t="s">
        <v>415</v>
      </c>
      <c r="H49" t="s">
        <v>1661</v>
      </c>
      <c r="I49" t="s">
        <v>1662</v>
      </c>
      <c r="J49">
        <v>0.95099999999999996</v>
      </c>
      <c r="K49" s="48">
        <v>179.88372217450674</v>
      </c>
      <c r="L49">
        <v>0.104</v>
      </c>
      <c r="M49">
        <v>1.085</v>
      </c>
      <c r="N49">
        <v>9.5852534562211975E-2</v>
      </c>
      <c r="O49">
        <v>0.79100000000000004</v>
      </c>
      <c r="P49" s="48">
        <v>397.27937468948687</v>
      </c>
      <c r="Q49">
        <v>0.13900000000000001</v>
      </c>
      <c r="R49">
        <v>1.669</v>
      </c>
      <c r="S49">
        <v>8.3283403235470344E-2</v>
      </c>
      <c r="T49" s="21">
        <v>4.6220272904483437</v>
      </c>
      <c r="U49" s="21">
        <v>4.1774658869395722</v>
      </c>
      <c r="V49" s="21"/>
      <c r="W49" s="21">
        <v>7.5716569200779738</v>
      </c>
      <c r="X49" s="21">
        <f t="shared" si="5"/>
        <v>4.399746588693958</v>
      </c>
      <c r="Y49" s="21">
        <f t="shared" si="1"/>
        <v>7.5716569200779738</v>
      </c>
      <c r="Z49">
        <f t="shared" si="7"/>
        <v>0.58400000000000007</v>
      </c>
      <c r="AA49">
        <f t="shared" si="3"/>
        <v>3.1719103313840158</v>
      </c>
      <c r="AB49" t="s">
        <v>2171</v>
      </c>
    </row>
    <row r="50" spans="1:28" x14ac:dyDescent="0.2">
      <c r="A50" t="s">
        <v>1794</v>
      </c>
      <c r="B50">
        <v>257</v>
      </c>
      <c r="C50" t="s">
        <v>1795</v>
      </c>
      <c r="D50" t="s">
        <v>1659</v>
      </c>
      <c r="E50" t="s">
        <v>1660</v>
      </c>
      <c r="F50" t="s">
        <v>4</v>
      </c>
      <c r="G50" t="s">
        <v>342</v>
      </c>
      <c r="H50" t="s">
        <v>1661</v>
      </c>
      <c r="I50" t="s">
        <v>1662</v>
      </c>
      <c r="J50">
        <v>0.94599999999999995</v>
      </c>
      <c r="K50" s="48">
        <v>181.51844753695775</v>
      </c>
      <c r="L50">
        <v>0.124</v>
      </c>
      <c r="M50">
        <v>1.1180000000000001</v>
      </c>
      <c r="N50">
        <v>0.110912343470483</v>
      </c>
      <c r="O50">
        <v>0.59499999999999997</v>
      </c>
      <c r="P50" s="48">
        <v>629.67346270525377</v>
      </c>
      <c r="Q50">
        <v>0.17299999999999999</v>
      </c>
      <c r="R50">
        <v>2.1070000000000002</v>
      </c>
      <c r="S50">
        <v>8.2107261509254847E-2</v>
      </c>
      <c r="T50" s="21">
        <v>2.5317829457364343</v>
      </c>
      <c r="U50" s="21">
        <v>3.7727131782945746</v>
      </c>
      <c r="V50" s="21">
        <v>1.0721428571428573</v>
      </c>
      <c r="W50" s="21">
        <v>1.0706349206349208</v>
      </c>
      <c r="X50" s="21">
        <f t="shared" si="5"/>
        <v>3.1522480620155044</v>
      </c>
      <c r="Y50" s="21">
        <f t="shared" si="1"/>
        <v>1.0713888888888889</v>
      </c>
      <c r="Z50">
        <f t="shared" si="7"/>
        <v>0.9890000000000001</v>
      </c>
      <c r="AA50">
        <f t="shared" si="3"/>
        <v>-2.0808591731266155</v>
      </c>
      <c r="AB50" t="s">
        <v>2171</v>
      </c>
    </row>
    <row r="51" spans="1:28" x14ac:dyDescent="0.2">
      <c r="A51" t="s">
        <v>2043</v>
      </c>
      <c r="B51">
        <v>685</v>
      </c>
      <c r="C51" t="s">
        <v>2044</v>
      </c>
      <c r="D51" t="s">
        <v>1659</v>
      </c>
      <c r="E51" t="s">
        <v>1660</v>
      </c>
      <c r="F51" t="s">
        <v>938</v>
      </c>
      <c r="G51" t="s">
        <v>2045</v>
      </c>
      <c r="H51" t="s">
        <v>1661</v>
      </c>
      <c r="I51" t="s">
        <v>1662</v>
      </c>
      <c r="J51">
        <v>0.95899999999999996</v>
      </c>
      <c r="K51" s="48">
        <v>183.38970382568857</v>
      </c>
      <c r="P51" s="48"/>
      <c r="T51" s="48"/>
      <c r="U51" s="48"/>
      <c r="V51" s="48"/>
      <c r="W51" s="48"/>
      <c r="AB51" t="e">
        <v>#N/A</v>
      </c>
    </row>
    <row r="52" spans="1:28" x14ac:dyDescent="0.2">
      <c r="A52" t="s">
        <v>1745</v>
      </c>
      <c r="B52">
        <v>273</v>
      </c>
      <c r="C52" t="s">
        <v>1746</v>
      </c>
      <c r="D52" t="s">
        <v>1659</v>
      </c>
      <c r="E52" t="s">
        <v>1660</v>
      </c>
      <c r="F52" t="s">
        <v>1677</v>
      </c>
      <c r="G52" t="s">
        <v>1747</v>
      </c>
      <c r="H52" t="s">
        <v>1661</v>
      </c>
      <c r="I52" t="s">
        <v>1662</v>
      </c>
      <c r="J52">
        <v>0.94399999999999995</v>
      </c>
      <c r="K52" s="48">
        <v>184.07203736697673</v>
      </c>
      <c r="O52">
        <v>0.91200000000000003</v>
      </c>
      <c r="P52" s="48">
        <v>224.92947464727692</v>
      </c>
      <c r="T52" s="21"/>
      <c r="U52" s="21"/>
      <c r="V52" s="21"/>
      <c r="W52" s="21"/>
      <c r="X52" s="21"/>
      <c r="Y52" s="21"/>
      <c r="AB52" t="e">
        <v>#N/A</v>
      </c>
    </row>
    <row r="53" spans="1:28" x14ac:dyDescent="0.2">
      <c r="A53" t="s">
        <v>1931</v>
      </c>
      <c r="B53">
        <v>584</v>
      </c>
      <c r="C53" t="s">
        <v>1932</v>
      </c>
      <c r="D53" t="s">
        <v>1659</v>
      </c>
      <c r="E53" t="s">
        <v>1660</v>
      </c>
      <c r="F53" t="s">
        <v>196</v>
      </c>
      <c r="G53" t="s">
        <v>316</v>
      </c>
      <c r="H53" t="s">
        <v>1661</v>
      </c>
      <c r="I53" t="s">
        <v>1662</v>
      </c>
      <c r="J53">
        <v>0.94599999999999995</v>
      </c>
      <c r="K53" s="48">
        <v>186.67733631560014</v>
      </c>
      <c r="L53">
        <v>0.11899999999999999</v>
      </c>
      <c r="M53">
        <v>1.522</v>
      </c>
      <c r="N53">
        <v>7.8186596583442833E-2</v>
      </c>
      <c r="O53">
        <v>0.90100000000000002</v>
      </c>
      <c r="P53" s="48">
        <v>247.81986358543793</v>
      </c>
      <c r="Q53">
        <v>0.115</v>
      </c>
      <c r="R53">
        <v>1.139</v>
      </c>
      <c r="S53">
        <v>0.1009657594381036</v>
      </c>
      <c r="T53" s="21">
        <v>3.1042000000000005</v>
      </c>
      <c r="U53" s="21">
        <v>3.1665333333333336</v>
      </c>
      <c r="V53" s="21">
        <v>3.2077684407096179</v>
      </c>
      <c r="W53" s="21">
        <v>2.4935387488328673</v>
      </c>
      <c r="X53" s="21">
        <f>AVERAGE(T53:U53)</f>
        <v>3.1353666666666671</v>
      </c>
      <c r="Y53" s="21">
        <f>AVERAGE(V53:W53)</f>
        <v>2.8506535947712424</v>
      </c>
      <c r="Z53">
        <f>R53-M53</f>
        <v>-0.38300000000000001</v>
      </c>
      <c r="AA53">
        <f>Y53-X53</f>
        <v>-0.28471307189542472</v>
      </c>
      <c r="AB53" t="s">
        <v>2171</v>
      </c>
    </row>
    <row r="54" spans="1:28" x14ac:dyDescent="0.2">
      <c r="A54" t="s">
        <v>1870</v>
      </c>
      <c r="B54">
        <v>529</v>
      </c>
      <c r="C54" t="s">
        <v>1871</v>
      </c>
      <c r="D54" t="s">
        <v>1659</v>
      </c>
      <c r="E54" t="s">
        <v>1660</v>
      </c>
      <c r="F54" t="s">
        <v>938</v>
      </c>
      <c r="G54" t="s">
        <v>359</v>
      </c>
      <c r="H54" t="s">
        <v>1661</v>
      </c>
      <c r="I54" t="s">
        <v>1662</v>
      </c>
      <c r="J54">
        <v>0.94699999999999995</v>
      </c>
      <c r="K54" s="48">
        <v>191.78298588258733</v>
      </c>
      <c r="L54">
        <v>0.14499999999999999</v>
      </c>
      <c r="M54">
        <v>1.089</v>
      </c>
      <c r="N54">
        <v>0.13314967860422405</v>
      </c>
      <c r="O54">
        <v>0.90800000000000003</v>
      </c>
      <c r="P54" s="48">
        <v>246.16062488228459</v>
      </c>
      <c r="Q54">
        <v>0.14199999999999999</v>
      </c>
      <c r="R54">
        <v>1.08</v>
      </c>
      <c r="S54">
        <v>0.13148148148148145</v>
      </c>
      <c r="T54" s="21">
        <v>2.8790123456790124</v>
      </c>
      <c r="U54" s="21"/>
      <c r="V54" s="21">
        <v>2.2201709401709402</v>
      </c>
      <c r="W54" s="21">
        <v>1.7467521367521366</v>
      </c>
      <c r="X54" s="21">
        <f>AVERAGE(T54:U54)</f>
        <v>2.8790123456790124</v>
      </c>
      <c r="Y54" s="21">
        <f>AVERAGE(V54:W54)</f>
        <v>1.9834615384615384</v>
      </c>
      <c r="Z54">
        <f>R54-M54</f>
        <v>-8.999999999999897E-3</v>
      </c>
      <c r="AA54">
        <f>Y54-X54</f>
        <v>-0.89555080721747404</v>
      </c>
      <c r="AB54" t="s">
        <v>2171</v>
      </c>
    </row>
    <row r="55" spans="1:28" x14ac:dyDescent="0.2">
      <c r="A55" t="s">
        <v>1721</v>
      </c>
      <c r="B55">
        <v>546</v>
      </c>
      <c r="C55" t="s">
        <v>1722</v>
      </c>
      <c r="D55" t="s">
        <v>1659</v>
      </c>
      <c r="E55" t="s">
        <v>1660</v>
      </c>
      <c r="F55" t="s">
        <v>938</v>
      </c>
      <c r="G55" t="s">
        <v>355</v>
      </c>
      <c r="H55" t="s">
        <v>1661</v>
      </c>
      <c r="I55" t="s">
        <v>1662</v>
      </c>
      <c r="J55">
        <v>0.94599999999999995</v>
      </c>
      <c r="K55" s="48">
        <v>193.17728431847667</v>
      </c>
      <c r="L55">
        <v>9.0999999999999998E-2</v>
      </c>
      <c r="M55">
        <v>0.70799999999999996</v>
      </c>
      <c r="N55">
        <v>0.12853107344632769</v>
      </c>
      <c r="O55">
        <v>0.64600000000000002</v>
      </c>
      <c r="P55" s="48">
        <v>611.46681508537961</v>
      </c>
      <c r="Q55">
        <v>0.17199999999999999</v>
      </c>
      <c r="R55">
        <v>1.506</v>
      </c>
      <c r="S55">
        <v>0.11420982735723771</v>
      </c>
      <c r="T55" s="21">
        <v>3.9021111111111106</v>
      </c>
      <c r="U55" s="21">
        <v>3.2918055555555554</v>
      </c>
      <c r="V55" s="21">
        <v>6.5038497652582166</v>
      </c>
      <c r="W55" s="21">
        <v>4.6590610328638498</v>
      </c>
      <c r="X55" s="21">
        <f>AVERAGE(T55:U55)</f>
        <v>3.5969583333333333</v>
      </c>
      <c r="Y55" s="21">
        <f>AVERAGE(V55:W55)</f>
        <v>5.5814553990610332</v>
      </c>
      <c r="Z55">
        <f>R55-M55</f>
        <v>0.79800000000000004</v>
      </c>
      <c r="AA55">
        <f>Y55-X55</f>
        <v>1.9844970657276999</v>
      </c>
      <c r="AB55" t="s">
        <v>2171</v>
      </c>
    </row>
    <row r="56" spans="1:28" x14ac:dyDescent="0.2">
      <c r="A56" t="s">
        <v>1851</v>
      </c>
      <c r="B56">
        <v>524</v>
      </c>
      <c r="C56" t="s">
        <v>1852</v>
      </c>
      <c r="D56" t="s">
        <v>1659</v>
      </c>
      <c r="E56" t="s">
        <v>1660</v>
      </c>
      <c r="F56" t="s">
        <v>1687</v>
      </c>
      <c r="G56" t="s">
        <v>424</v>
      </c>
      <c r="H56" t="s">
        <v>1661</v>
      </c>
      <c r="I56" t="s">
        <v>1662</v>
      </c>
      <c r="J56">
        <v>0.94299999999999995</v>
      </c>
      <c r="K56" s="48">
        <v>197.36017962614568</v>
      </c>
      <c r="L56">
        <v>0.114</v>
      </c>
      <c r="M56">
        <v>0.98399999999999999</v>
      </c>
      <c r="N56">
        <v>0.11585365853658537</v>
      </c>
      <c r="O56">
        <v>0.93799999999999994</v>
      </c>
      <c r="P56" s="48">
        <v>204.3316718055944</v>
      </c>
      <c r="Q56">
        <v>0.11600000000000001</v>
      </c>
      <c r="R56">
        <v>1.06</v>
      </c>
      <c r="S56">
        <v>0.10943396226415095</v>
      </c>
      <c r="T56" s="21">
        <v>3.2395833333333335</v>
      </c>
      <c r="U56" s="21">
        <v>3.3432500000000003</v>
      </c>
      <c r="V56" s="21">
        <v>3.3873015873015873</v>
      </c>
      <c r="W56" s="21">
        <v>3.4796825396825399</v>
      </c>
      <c r="X56" s="21">
        <f>AVERAGE(T56:U56)</f>
        <v>3.2914166666666667</v>
      </c>
      <c r="Y56" s="21">
        <f>AVERAGE(V56:W56)</f>
        <v>3.4334920634920634</v>
      </c>
      <c r="Z56">
        <f>R56-M56</f>
        <v>7.6000000000000068E-2</v>
      </c>
      <c r="AA56">
        <f>Y56-X56</f>
        <v>0.14207539682539672</v>
      </c>
      <c r="AB56" t="s">
        <v>2171</v>
      </c>
    </row>
    <row r="57" spans="1:28" x14ac:dyDescent="0.2">
      <c r="A57" t="s">
        <v>1980</v>
      </c>
      <c r="B57">
        <v>710</v>
      </c>
      <c r="C57" t="s">
        <v>1981</v>
      </c>
      <c r="D57" t="s">
        <v>1659</v>
      </c>
      <c r="E57" t="s">
        <v>1660</v>
      </c>
      <c r="F57" t="s">
        <v>1687</v>
      </c>
      <c r="G57" t="s">
        <v>159</v>
      </c>
      <c r="H57" t="s">
        <v>1661</v>
      </c>
      <c r="I57" t="s">
        <v>1662</v>
      </c>
      <c r="J57">
        <v>0.94799999999999995</v>
      </c>
      <c r="K57" s="48">
        <v>200.28557084545082</v>
      </c>
      <c r="P57" s="48"/>
      <c r="T57" s="21"/>
      <c r="U57" s="21"/>
      <c r="V57" s="21">
        <v>5.5830769230769226</v>
      </c>
      <c r="W57" s="21"/>
      <c r="X57" s="21"/>
      <c r="Y57" s="21">
        <f>AVERAGE(V57:W57)</f>
        <v>5.5830769230769226</v>
      </c>
      <c r="AA57">
        <f>Y57-X57</f>
        <v>5.5830769230769226</v>
      </c>
      <c r="AB57" t="e">
        <v>#N/A</v>
      </c>
    </row>
    <row r="58" spans="1:28" x14ac:dyDescent="0.2">
      <c r="A58" t="s">
        <v>1923</v>
      </c>
      <c r="B58">
        <v>695</v>
      </c>
      <c r="C58" t="s">
        <v>1924</v>
      </c>
      <c r="D58" t="s">
        <v>1659</v>
      </c>
      <c r="E58" t="s">
        <v>1660</v>
      </c>
      <c r="F58" t="s">
        <v>24</v>
      </c>
      <c r="G58" t="s">
        <v>263</v>
      </c>
      <c r="H58" t="s">
        <v>1661</v>
      </c>
      <c r="I58" t="s">
        <v>1662</v>
      </c>
      <c r="J58">
        <v>0.94399999999999995</v>
      </c>
      <c r="K58" s="48">
        <v>205.72017308152266</v>
      </c>
      <c r="O58">
        <v>0.878</v>
      </c>
      <c r="P58" s="48">
        <v>294.82612027374853</v>
      </c>
      <c r="T58" s="21"/>
      <c r="U58" s="21"/>
      <c r="V58" s="21"/>
      <c r="W58" s="21"/>
      <c r="X58" s="21"/>
      <c r="Y58" s="21"/>
      <c r="AB58" t="s">
        <v>2179</v>
      </c>
    </row>
    <row r="59" spans="1:28" x14ac:dyDescent="0.2">
      <c r="A59" t="s">
        <v>1788</v>
      </c>
      <c r="B59">
        <v>604</v>
      </c>
      <c r="C59" t="s">
        <v>1789</v>
      </c>
      <c r="D59" t="s">
        <v>1659</v>
      </c>
      <c r="E59" t="s">
        <v>1660</v>
      </c>
      <c r="F59" t="s">
        <v>777</v>
      </c>
      <c r="G59" t="s">
        <v>219</v>
      </c>
      <c r="H59" t="s">
        <v>1661</v>
      </c>
      <c r="I59" t="s">
        <v>1662</v>
      </c>
      <c r="J59">
        <v>0.93100000000000005</v>
      </c>
      <c r="K59" s="48">
        <v>207.05817873887941</v>
      </c>
      <c r="L59">
        <v>0.14000000000000001</v>
      </c>
      <c r="M59">
        <v>1.4359999999999999</v>
      </c>
      <c r="N59">
        <v>9.7493036211699177E-2</v>
      </c>
      <c r="O59">
        <v>0.88200000000000001</v>
      </c>
      <c r="P59" s="48">
        <v>273.635597321592</v>
      </c>
      <c r="Q59">
        <v>0.11799999999999999</v>
      </c>
      <c r="R59">
        <v>1.139</v>
      </c>
      <c r="S59">
        <v>0.10359964881474977</v>
      </c>
      <c r="T59" s="21"/>
      <c r="U59" s="21">
        <v>6.8176119402985069</v>
      </c>
      <c r="V59" s="21">
        <v>6.4897877652933831</v>
      </c>
      <c r="W59" s="21">
        <v>8.4080399500624221</v>
      </c>
      <c r="X59" s="21">
        <f t="shared" ref="X59:X75" si="8">AVERAGE(T59:U59)</f>
        <v>6.8176119402985069</v>
      </c>
      <c r="Y59" s="21">
        <f t="shared" ref="Y59:Y75" si="9">AVERAGE(V59:W59)</f>
        <v>7.448913857677903</v>
      </c>
      <c r="Z59">
        <f t="shared" ref="Z59:Z67" si="10">R59-M59</f>
        <v>-0.29699999999999993</v>
      </c>
      <c r="AA59">
        <f t="shared" ref="AA59:AA75" si="11">Y59-X59</f>
        <v>0.63130191737939612</v>
      </c>
      <c r="AB59" t="s">
        <v>2171</v>
      </c>
    </row>
    <row r="60" spans="1:28" x14ac:dyDescent="0.2">
      <c r="A60" t="s">
        <v>1903</v>
      </c>
      <c r="B60">
        <v>579</v>
      </c>
      <c r="C60" t="s">
        <v>1904</v>
      </c>
      <c r="D60" t="s">
        <v>1659</v>
      </c>
      <c r="E60" t="s">
        <v>1660</v>
      </c>
      <c r="F60" t="s">
        <v>1671</v>
      </c>
      <c r="G60" t="s">
        <v>404</v>
      </c>
      <c r="H60" t="s">
        <v>1661</v>
      </c>
      <c r="I60" t="s">
        <v>1662</v>
      </c>
      <c r="J60">
        <v>0.93100000000000005</v>
      </c>
      <c r="K60" s="48">
        <v>207.05817873887941</v>
      </c>
      <c r="L60">
        <v>0.14099999999999999</v>
      </c>
      <c r="M60">
        <v>1.3420000000000001</v>
      </c>
      <c r="N60">
        <v>0.10506706408345751</v>
      </c>
      <c r="O60">
        <v>0.90400000000000003</v>
      </c>
      <c r="P60" s="48">
        <v>243.74369510078216</v>
      </c>
      <c r="Q60">
        <v>0.13900000000000001</v>
      </c>
      <c r="R60">
        <v>1.53</v>
      </c>
      <c r="S60">
        <v>9.0849673202614389E-2</v>
      </c>
      <c r="T60" s="21">
        <v>3.6958275703088987</v>
      </c>
      <c r="U60" s="21">
        <v>4.7354771784232375</v>
      </c>
      <c r="V60" s="21">
        <v>3.7211848778238825</v>
      </c>
      <c r="W60" s="21">
        <v>3.3027893038266489</v>
      </c>
      <c r="X60" s="21">
        <f t="shared" si="8"/>
        <v>4.2156523743660683</v>
      </c>
      <c r="Y60" s="21">
        <f t="shared" si="9"/>
        <v>3.5119870908252659</v>
      </c>
      <c r="Z60">
        <f t="shared" si="10"/>
        <v>0.18799999999999994</v>
      </c>
      <c r="AA60">
        <f t="shared" si="11"/>
        <v>-0.70366528354080238</v>
      </c>
      <c r="AB60" t="s">
        <v>2179</v>
      </c>
    </row>
    <row r="61" spans="1:28" x14ac:dyDescent="0.2">
      <c r="A61" t="s">
        <v>1702</v>
      </c>
      <c r="B61">
        <v>338</v>
      </c>
      <c r="C61" t="s">
        <v>1703</v>
      </c>
      <c r="D61" t="s">
        <v>1659</v>
      </c>
      <c r="E61" t="s">
        <v>1660</v>
      </c>
      <c r="F61" t="s">
        <v>15</v>
      </c>
      <c r="G61" t="s">
        <v>193</v>
      </c>
      <c r="H61" t="s">
        <v>1661</v>
      </c>
      <c r="I61" t="s">
        <v>1662</v>
      </c>
      <c r="J61">
        <v>0.92400000000000004</v>
      </c>
      <c r="K61" s="48">
        <v>209.60793566716438</v>
      </c>
      <c r="L61">
        <v>0.16</v>
      </c>
      <c r="M61">
        <v>1.5620000000000001</v>
      </c>
      <c r="N61">
        <v>0.10243277848911651</v>
      </c>
      <c r="O61">
        <v>0.72699999999999998</v>
      </c>
      <c r="P61" s="48">
        <v>461.1365339240142</v>
      </c>
      <c r="Q61">
        <v>0.23300000000000001</v>
      </c>
      <c r="R61">
        <v>2.3849999999999998</v>
      </c>
      <c r="S61">
        <v>9.7693920335429785E-2</v>
      </c>
      <c r="T61" s="21">
        <v>1.4639682539682541</v>
      </c>
      <c r="U61" s="21">
        <v>1.9286190476190479</v>
      </c>
      <c r="V61" s="21">
        <v>2.3600000000000003</v>
      </c>
      <c r="W61" s="21">
        <v>2.3272222222222219</v>
      </c>
      <c r="X61" s="21">
        <f t="shared" si="8"/>
        <v>1.696293650793651</v>
      </c>
      <c r="Y61" s="21">
        <f t="shared" si="9"/>
        <v>2.3436111111111111</v>
      </c>
      <c r="Z61">
        <f t="shared" si="10"/>
        <v>0.82299999999999973</v>
      </c>
      <c r="AA61">
        <f t="shared" si="11"/>
        <v>0.64731746031746007</v>
      </c>
      <c r="AB61" t="s">
        <v>2171</v>
      </c>
    </row>
    <row r="62" spans="1:28" x14ac:dyDescent="0.2">
      <c r="A62" t="s">
        <v>2006</v>
      </c>
      <c r="B62">
        <v>519</v>
      </c>
      <c r="C62" t="s">
        <v>2007</v>
      </c>
      <c r="D62" t="s">
        <v>1659</v>
      </c>
      <c r="E62" t="s">
        <v>1660</v>
      </c>
      <c r="F62" t="s">
        <v>1687</v>
      </c>
      <c r="G62" t="s">
        <v>161</v>
      </c>
      <c r="H62" t="s">
        <v>1661</v>
      </c>
      <c r="I62" t="s">
        <v>1662</v>
      </c>
      <c r="J62">
        <v>0.93400000000000005</v>
      </c>
      <c r="K62" s="48">
        <v>209.90886554915275</v>
      </c>
      <c r="L62">
        <v>9.9000000000000005E-2</v>
      </c>
      <c r="M62">
        <v>1.0009999999999999</v>
      </c>
      <c r="N62">
        <v>9.8901098901098911E-2</v>
      </c>
      <c r="O62">
        <v>0.98</v>
      </c>
      <c r="P62" s="48">
        <v>145.7711374982276</v>
      </c>
      <c r="Q62">
        <v>0.10299999999999999</v>
      </c>
      <c r="R62">
        <v>0.93300000000000005</v>
      </c>
      <c r="S62">
        <v>0.11039657020364414</v>
      </c>
      <c r="T62" s="21">
        <v>5.9933333333333332</v>
      </c>
      <c r="U62" s="21">
        <v>5.3186274509803919</v>
      </c>
      <c r="V62" s="21">
        <v>5.8806100217864925</v>
      </c>
      <c r="W62" s="21">
        <v>5.307189542483659</v>
      </c>
      <c r="X62" s="21">
        <f t="shared" si="8"/>
        <v>5.655980392156863</v>
      </c>
      <c r="Y62" s="21">
        <f t="shared" si="9"/>
        <v>5.5938997821350753</v>
      </c>
      <c r="Z62">
        <f t="shared" si="10"/>
        <v>-6.7999999999999838E-2</v>
      </c>
      <c r="AA62">
        <f t="shared" si="11"/>
        <v>-6.2080610021787663E-2</v>
      </c>
      <c r="AB62" t="e">
        <v>#N/A</v>
      </c>
    </row>
    <row r="63" spans="1:28" x14ac:dyDescent="0.2">
      <c r="A63" t="s">
        <v>1752</v>
      </c>
      <c r="B63">
        <v>522</v>
      </c>
      <c r="C63" t="s">
        <v>1753</v>
      </c>
      <c r="D63" t="s">
        <v>1659</v>
      </c>
      <c r="E63" t="s">
        <v>1660</v>
      </c>
      <c r="F63" t="s">
        <v>1687</v>
      </c>
      <c r="G63" t="s">
        <v>148</v>
      </c>
      <c r="H63" t="s">
        <v>1661</v>
      </c>
      <c r="I63" t="s">
        <v>1662</v>
      </c>
      <c r="J63">
        <v>0.93300000000000005</v>
      </c>
      <c r="K63" s="48">
        <v>211.3031639850426</v>
      </c>
      <c r="L63">
        <v>0.17199999999999999</v>
      </c>
      <c r="M63">
        <v>1.7030000000000001</v>
      </c>
      <c r="N63">
        <v>0.10099823840281855</v>
      </c>
      <c r="O63">
        <v>0.71499999999999997</v>
      </c>
      <c r="P63" s="48">
        <v>515.26022300899206</v>
      </c>
      <c r="Q63">
        <v>0.17299999999999999</v>
      </c>
      <c r="R63">
        <v>1.7410000000000001</v>
      </c>
      <c r="S63">
        <v>9.9368179207352081E-2</v>
      </c>
      <c r="T63" s="21">
        <v>5.959342891278375</v>
      </c>
      <c r="U63" s="21">
        <v>5.0858422939068104</v>
      </c>
      <c r="V63" s="21">
        <v>6.8459854014598545</v>
      </c>
      <c r="W63" s="21">
        <v>7.1246715328467145</v>
      </c>
      <c r="X63" s="21">
        <f t="shared" si="8"/>
        <v>5.5225925925925932</v>
      </c>
      <c r="Y63" s="21">
        <f t="shared" si="9"/>
        <v>6.985328467153284</v>
      </c>
      <c r="Z63">
        <f t="shared" si="10"/>
        <v>3.8000000000000034E-2</v>
      </c>
      <c r="AA63">
        <f t="shared" si="11"/>
        <v>1.4627358745606909</v>
      </c>
      <c r="AB63" t="e">
        <v>#N/A</v>
      </c>
    </row>
    <row r="64" spans="1:28" x14ac:dyDescent="0.2">
      <c r="A64" t="s">
        <v>1764</v>
      </c>
      <c r="B64">
        <v>701</v>
      </c>
      <c r="C64" t="s">
        <v>1765</v>
      </c>
      <c r="D64" t="s">
        <v>1659</v>
      </c>
      <c r="E64" t="s">
        <v>1660</v>
      </c>
      <c r="F64" t="s">
        <v>1687</v>
      </c>
      <c r="G64" t="s">
        <v>149</v>
      </c>
      <c r="H64" t="s">
        <v>1661</v>
      </c>
      <c r="I64" t="s">
        <v>1662</v>
      </c>
      <c r="J64">
        <v>0.93899999999999995</v>
      </c>
      <c r="K64" s="48">
        <v>212.51342587661244</v>
      </c>
      <c r="L64">
        <v>0.109</v>
      </c>
      <c r="M64">
        <v>0.86199999999999999</v>
      </c>
      <c r="N64">
        <v>0.12645011600928074</v>
      </c>
      <c r="O64">
        <v>1.0629999999999999</v>
      </c>
      <c r="P64" s="48">
        <v>27.706765414020868</v>
      </c>
      <c r="Q64">
        <v>9.0999999999999998E-2</v>
      </c>
      <c r="R64">
        <v>0.78100000000000003</v>
      </c>
      <c r="S64">
        <v>0.11651728553137003</v>
      </c>
      <c r="T64" s="21">
        <v>5.0080682342093139</v>
      </c>
      <c r="U64" s="21">
        <v>4.2156523743660683</v>
      </c>
      <c r="V64" s="21">
        <v>7.2268326417704021</v>
      </c>
      <c r="W64" s="21">
        <v>5.4835177501152614</v>
      </c>
      <c r="X64" s="21">
        <f t="shared" si="8"/>
        <v>4.6118603042876911</v>
      </c>
      <c r="Y64" s="21">
        <f t="shared" si="9"/>
        <v>6.3551751959428318</v>
      </c>
      <c r="Z64">
        <f t="shared" si="10"/>
        <v>-8.0999999999999961E-2</v>
      </c>
      <c r="AA64">
        <f t="shared" si="11"/>
        <v>1.7433148916551406</v>
      </c>
      <c r="AB64" t="e">
        <v>#N/A</v>
      </c>
    </row>
    <row r="65" spans="1:28" x14ac:dyDescent="0.2">
      <c r="A65" t="s">
        <v>2109</v>
      </c>
      <c r="B65">
        <v>636</v>
      </c>
      <c r="C65" t="s">
        <v>2110</v>
      </c>
      <c r="D65" t="s">
        <v>1659</v>
      </c>
      <c r="E65" t="s">
        <v>1660</v>
      </c>
      <c r="F65" t="s">
        <v>24</v>
      </c>
      <c r="G65" t="s">
        <v>390</v>
      </c>
      <c r="H65" t="s">
        <v>1661</v>
      </c>
      <c r="I65" t="s">
        <v>1662</v>
      </c>
      <c r="J65">
        <v>0.93700000000000006</v>
      </c>
      <c r="K65" s="48">
        <v>213.65638483627274</v>
      </c>
      <c r="L65">
        <v>0.122</v>
      </c>
      <c r="M65">
        <v>1.1100000000000001</v>
      </c>
      <c r="N65">
        <v>0.1099099099099099</v>
      </c>
      <c r="O65">
        <v>0.83299999999999996</v>
      </c>
      <c r="P65" s="48">
        <v>350.73300757401023</v>
      </c>
      <c r="Q65">
        <v>0.121</v>
      </c>
      <c r="R65">
        <v>1.232</v>
      </c>
      <c r="S65">
        <v>9.8214285714285712E-2</v>
      </c>
      <c r="T65" s="21">
        <v>6.2288659793814425</v>
      </c>
      <c r="U65" s="21">
        <v>5.4453608247422665</v>
      </c>
      <c r="V65" s="21">
        <v>3.627642276422764</v>
      </c>
      <c r="W65" s="21">
        <v>5.7897696476964775</v>
      </c>
      <c r="X65" s="21">
        <f t="shared" si="8"/>
        <v>5.8371134020618545</v>
      </c>
      <c r="Y65" s="21">
        <f t="shared" si="9"/>
        <v>4.7087059620596206</v>
      </c>
      <c r="Z65">
        <f t="shared" si="10"/>
        <v>0.12199999999999989</v>
      </c>
      <c r="AA65">
        <f t="shared" si="11"/>
        <v>-1.1284074400022339</v>
      </c>
      <c r="AB65" t="s">
        <v>2175</v>
      </c>
    </row>
    <row r="66" spans="1:28" x14ac:dyDescent="0.2">
      <c r="A66" t="s">
        <v>1994</v>
      </c>
      <c r="B66">
        <v>259</v>
      </c>
      <c r="C66" t="s">
        <v>1995</v>
      </c>
      <c r="D66" t="s">
        <v>1659</v>
      </c>
      <c r="E66" t="s">
        <v>1660</v>
      </c>
      <c r="F66" t="s">
        <v>4</v>
      </c>
      <c r="G66" t="s">
        <v>343</v>
      </c>
      <c r="H66" t="s">
        <v>1661</v>
      </c>
      <c r="I66" t="s">
        <v>1662</v>
      </c>
      <c r="J66">
        <v>0.92</v>
      </c>
      <c r="K66" s="48">
        <v>214.7151153272018</v>
      </c>
      <c r="L66">
        <v>0.13900000000000001</v>
      </c>
      <c r="M66">
        <v>1.29</v>
      </c>
      <c r="N66">
        <v>0.10775193798449613</v>
      </c>
      <c r="O66">
        <v>0.99199999999999999</v>
      </c>
      <c r="P66" s="48">
        <v>122.78588144652581</v>
      </c>
      <c r="Q66">
        <v>0.11</v>
      </c>
      <c r="R66">
        <v>1.0920000000000001</v>
      </c>
      <c r="S66">
        <v>0.10073260073260072</v>
      </c>
      <c r="T66" s="21">
        <v>2.4196825396825394</v>
      </c>
      <c r="U66" s="21"/>
      <c r="V66" s="21">
        <v>0.91619047619047633</v>
      </c>
      <c r="W66" s="21">
        <v>4.2285714285714288E-2</v>
      </c>
      <c r="X66" s="21">
        <f t="shared" si="8"/>
        <v>2.4196825396825394</v>
      </c>
      <c r="Y66" s="21">
        <f t="shared" si="9"/>
        <v>0.4792380952380953</v>
      </c>
      <c r="Z66">
        <f t="shared" si="10"/>
        <v>-0.19799999999999995</v>
      </c>
      <c r="AA66">
        <f t="shared" si="11"/>
        <v>-1.9404444444444442</v>
      </c>
      <c r="AB66" t="e">
        <v>#N/A</v>
      </c>
    </row>
    <row r="67" spans="1:28" x14ac:dyDescent="0.2">
      <c r="A67" t="s">
        <v>1833</v>
      </c>
      <c r="B67">
        <v>660</v>
      </c>
      <c r="C67" t="s">
        <v>1834</v>
      </c>
      <c r="D67" t="s">
        <v>1659</v>
      </c>
      <c r="E67" t="s">
        <v>1660</v>
      </c>
      <c r="F67" t="s">
        <v>645</v>
      </c>
      <c r="G67" t="s">
        <v>330</v>
      </c>
      <c r="H67" t="s">
        <v>1661</v>
      </c>
      <c r="I67" t="s">
        <v>1662</v>
      </c>
      <c r="J67">
        <v>0.93600000000000005</v>
      </c>
      <c r="K67" s="48">
        <v>215.03214306402631</v>
      </c>
      <c r="L67">
        <v>0.13</v>
      </c>
      <c r="M67">
        <v>1.2470000000000001</v>
      </c>
      <c r="N67">
        <v>0.10425020048115477</v>
      </c>
      <c r="O67">
        <v>0.754</v>
      </c>
      <c r="P67" s="48">
        <v>465.42014051522273</v>
      </c>
      <c r="Q67">
        <v>0.152</v>
      </c>
      <c r="R67">
        <v>1.599</v>
      </c>
      <c r="S67">
        <v>9.5059412132582857E-2</v>
      </c>
      <c r="T67" s="21">
        <v>2.9100114547537226</v>
      </c>
      <c r="U67" s="21">
        <v>3.2822222222222224</v>
      </c>
      <c r="V67" s="21">
        <v>5.8612149532710278</v>
      </c>
      <c r="W67" s="21">
        <v>4.1597611630321909</v>
      </c>
      <c r="X67" s="21">
        <f t="shared" si="8"/>
        <v>3.0961168384879727</v>
      </c>
      <c r="Y67" s="21">
        <f t="shared" si="9"/>
        <v>5.0104880581516094</v>
      </c>
      <c r="Z67">
        <f t="shared" si="10"/>
        <v>0.35199999999999987</v>
      </c>
      <c r="AA67">
        <f t="shared" si="11"/>
        <v>1.9143712196636367</v>
      </c>
      <c r="AB67" t="s">
        <v>2179</v>
      </c>
    </row>
    <row r="68" spans="1:28" x14ac:dyDescent="0.2">
      <c r="A68" t="s">
        <v>2016</v>
      </c>
      <c r="B68">
        <v>348</v>
      </c>
      <c r="C68" t="s">
        <v>2017</v>
      </c>
      <c r="D68" t="s">
        <v>1659</v>
      </c>
      <c r="E68" t="s">
        <v>1660</v>
      </c>
      <c r="F68" t="s">
        <v>15</v>
      </c>
      <c r="G68" t="s">
        <v>211</v>
      </c>
      <c r="H68" t="s">
        <v>1661</v>
      </c>
      <c r="I68" t="s">
        <v>1662</v>
      </c>
      <c r="J68">
        <v>0.90449999999999997</v>
      </c>
      <c r="K68" s="48">
        <v>223.76160274104882</v>
      </c>
      <c r="L68">
        <v>0.17799999999999999</v>
      </c>
      <c r="M68">
        <v>1.3754999999999999</v>
      </c>
      <c r="N68">
        <v>0.12969172800301271</v>
      </c>
      <c r="P68" s="48"/>
      <c r="T68" s="21">
        <v>3.4377777777777783</v>
      </c>
      <c r="U68" s="21">
        <v>2.3111111111111113</v>
      </c>
      <c r="V68" s="21">
        <v>3.0890058479532172</v>
      </c>
      <c r="W68" s="21">
        <v>3.2781286549707604</v>
      </c>
      <c r="X68" s="21">
        <f t="shared" si="8"/>
        <v>2.8744444444444448</v>
      </c>
      <c r="Y68" s="21">
        <f t="shared" si="9"/>
        <v>3.183567251461989</v>
      </c>
      <c r="AA68">
        <f t="shared" si="11"/>
        <v>0.30912280701754424</v>
      </c>
      <c r="AB68" t="s">
        <v>2174</v>
      </c>
    </row>
    <row r="69" spans="1:28" x14ac:dyDescent="0.2">
      <c r="A69" t="s">
        <v>2000</v>
      </c>
      <c r="B69">
        <v>687</v>
      </c>
      <c r="C69" t="s">
        <v>2001</v>
      </c>
      <c r="D69" t="s">
        <v>1659</v>
      </c>
      <c r="E69" t="s">
        <v>1660</v>
      </c>
      <c r="F69" t="s">
        <v>645</v>
      </c>
      <c r="G69" t="s">
        <v>337</v>
      </c>
      <c r="H69" t="s">
        <v>1661</v>
      </c>
      <c r="I69" t="s">
        <v>1662</v>
      </c>
      <c r="J69">
        <v>0.92900000000000005</v>
      </c>
      <c r="K69" s="48">
        <v>224.66245065830302</v>
      </c>
      <c r="L69">
        <v>9.6000000000000002E-2</v>
      </c>
      <c r="M69">
        <v>0.81</v>
      </c>
      <c r="N69">
        <v>0.11851851851851851</v>
      </c>
      <c r="P69" s="48"/>
      <c r="T69" s="21">
        <v>1.5058479532163744</v>
      </c>
      <c r="U69" s="21">
        <v>2.7558479532163749</v>
      </c>
      <c r="V69" s="21">
        <v>2.3739898989898993</v>
      </c>
      <c r="W69" s="21">
        <v>2.9954166666666668</v>
      </c>
      <c r="X69" s="21">
        <f t="shared" si="8"/>
        <v>2.1308479532163744</v>
      </c>
      <c r="Y69" s="21">
        <f t="shared" si="9"/>
        <v>2.6847032828282833</v>
      </c>
      <c r="AA69">
        <f t="shared" si="11"/>
        <v>0.55385532961190886</v>
      </c>
      <c r="AB69" t="s">
        <v>2171</v>
      </c>
    </row>
    <row r="70" spans="1:28" x14ac:dyDescent="0.2">
      <c r="A70" t="s">
        <v>2064</v>
      </c>
      <c r="B70">
        <v>637</v>
      </c>
      <c r="C70" t="s">
        <v>2065</v>
      </c>
      <c r="D70" t="s">
        <v>1659</v>
      </c>
      <c r="E70" t="s">
        <v>1660</v>
      </c>
      <c r="F70" t="s">
        <v>1687</v>
      </c>
      <c r="G70" t="s">
        <v>353</v>
      </c>
      <c r="H70" t="s">
        <v>1661</v>
      </c>
      <c r="I70" t="s">
        <v>1662</v>
      </c>
      <c r="J70">
        <v>0.92900000000000005</v>
      </c>
      <c r="K70" s="48">
        <v>224.66245065830302</v>
      </c>
      <c r="L70">
        <v>0.13900000000000001</v>
      </c>
      <c r="M70">
        <v>1.3480000000000001</v>
      </c>
      <c r="N70">
        <v>0.10311572700296737</v>
      </c>
      <c r="O70">
        <v>0.90500000000000003</v>
      </c>
      <c r="P70" s="48">
        <v>247.34017383070125</v>
      </c>
      <c r="Q70">
        <v>0.129</v>
      </c>
      <c r="R70">
        <v>1.139</v>
      </c>
      <c r="S70">
        <v>0.11325724319578578</v>
      </c>
      <c r="T70" s="21">
        <v>2.0777777777777784</v>
      </c>
      <c r="U70" s="21">
        <v>1.6730158730158731</v>
      </c>
      <c r="V70" s="21">
        <v>4.8857142857142852</v>
      </c>
      <c r="W70" s="21">
        <v>4.8428571428571434</v>
      </c>
      <c r="X70" s="21">
        <f t="shared" si="8"/>
        <v>1.8753968253968258</v>
      </c>
      <c r="Y70" s="21">
        <f t="shared" si="9"/>
        <v>4.8642857142857139</v>
      </c>
      <c r="Z70">
        <f t="shared" ref="Z70:Z77" si="12">R70-M70</f>
        <v>-0.20900000000000007</v>
      </c>
      <c r="AA70">
        <f t="shared" si="11"/>
        <v>2.988888888888888</v>
      </c>
      <c r="AB70" t="s">
        <v>2171</v>
      </c>
    </row>
    <row r="71" spans="1:28" x14ac:dyDescent="0.2">
      <c r="A71" t="s">
        <v>1805</v>
      </c>
      <c r="B71">
        <v>255</v>
      </c>
      <c r="C71" t="s">
        <v>1806</v>
      </c>
      <c r="D71" t="s">
        <v>1659</v>
      </c>
      <c r="E71" t="s">
        <v>1660</v>
      </c>
      <c r="F71" t="s">
        <v>4</v>
      </c>
      <c r="G71" t="s">
        <v>422</v>
      </c>
      <c r="H71" t="s">
        <v>1661</v>
      </c>
      <c r="I71" t="s">
        <v>1662</v>
      </c>
      <c r="J71">
        <v>0.90800000000000003</v>
      </c>
      <c r="K71" s="48">
        <v>230.03665430731459</v>
      </c>
      <c r="L71">
        <v>0.127</v>
      </c>
      <c r="M71">
        <v>1.1399999999999999</v>
      </c>
      <c r="N71">
        <v>0.11140350877192984</v>
      </c>
      <c r="O71">
        <v>0.86899999999999999</v>
      </c>
      <c r="P71" s="48">
        <v>279.83165599268091</v>
      </c>
      <c r="Q71">
        <v>0.111</v>
      </c>
      <c r="R71">
        <v>0.97799999999999998</v>
      </c>
      <c r="S71">
        <v>0.11349693251533742</v>
      </c>
      <c r="T71" s="21">
        <v>2.4669163545568038</v>
      </c>
      <c r="U71" s="21">
        <v>2.8174781523096133</v>
      </c>
      <c r="V71" s="21">
        <v>5.297419354838711</v>
      </c>
      <c r="W71" s="21">
        <v>6.7606451612903244</v>
      </c>
      <c r="X71" s="21">
        <f t="shared" si="8"/>
        <v>2.6421972534332085</v>
      </c>
      <c r="Y71" s="21">
        <f t="shared" si="9"/>
        <v>6.0290322580645181</v>
      </c>
      <c r="Z71">
        <f t="shared" si="12"/>
        <v>-0.16199999999999992</v>
      </c>
      <c r="AA71">
        <f t="shared" si="11"/>
        <v>3.3868350046313096</v>
      </c>
      <c r="AB71" t="e">
        <v>#N/A</v>
      </c>
    </row>
    <row r="72" spans="1:28" x14ac:dyDescent="0.2">
      <c r="A72" t="s">
        <v>2075</v>
      </c>
      <c r="B72">
        <v>583</v>
      </c>
      <c r="C72" t="s">
        <v>2076</v>
      </c>
      <c r="D72" t="s">
        <v>1659</v>
      </c>
      <c r="E72" t="s">
        <v>1660</v>
      </c>
      <c r="F72" t="s">
        <v>196</v>
      </c>
      <c r="G72" t="s">
        <v>323</v>
      </c>
      <c r="H72" t="s">
        <v>1661</v>
      </c>
      <c r="I72" t="s">
        <v>1662</v>
      </c>
      <c r="J72">
        <v>0.91200000000000003</v>
      </c>
      <c r="K72" s="48">
        <v>232.87391247503351</v>
      </c>
      <c r="L72">
        <v>0.14000000000000001</v>
      </c>
      <c r="M72">
        <v>1.627</v>
      </c>
      <c r="N72">
        <v>8.6047940995697611E-2</v>
      </c>
      <c r="O72">
        <v>0.84499999999999997</v>
      </c>
      <c r="P72" s="48">
        <v>334.00142634333417</v>
      </c>
      <c r="Q72">
        <v>0.156</v>
      </c>
      <c r="R72">
        <v>2.2530000000000001</v>
      </c>
      <c r="S72">
        <v>6.92410119840213E-2</v>
      </c>
      <c r="T72" s="21">
        <v>2.9098039215686273</v>
      </c>
      <c r="U72" s="21">
        <v>6.0062745098039221</v>
      </c>
      <c r="V72" s="21">
        <v>3.7526104417670694</v>
      </c>
      <c r="W72" s="21">
        <v>3.7526104417670694</v>
      </c>
      <c r="X72" s="21">
        <f t="shared" si="8"/>
        <v>4.4580392156862745</v>
      </c>
      <c r="Y72" s="21">
        <f t="shared" si="9"/>
        <v>3.7526104417670694</v>
      </c>
      <c r="Z72">
        <f t="shared" si="12"/>
        <v>0.62600000000000011</v>
      </c>
      <c r="AA72">
        <f t="shared" si="11"/>
        <v>-0.70542877391920511</v>
      </c>
      <c r="AB72" t="s">
        <v>2171</v>
      </c>
    </row>
    <row r="73" spans="1:28" x14ac:dyDescent="0.2">
      <c r="A73" t="s">
        <v>1992</v>
      </c>
      <c r="B73">
        <v>565</v>
      </c>
      <c r="C73" t="s">
        <v>1993</v>
      </c>
      <c r="D73" t="s">
        <v>1659</v>
      </c>
      <c r="E73" t="s">
        <v>1660</v>
      </c>
      <c r="F73" t="s">
        <v>1671</v>
      </c>
      <c r="G73" t="s">
        <v>407</v>
      </c>
      <c r="H73" t="s">
        <v>1661</v>
      </c>
      <c r="I73" t="s">
        <v>1662</v>
      </c>
      <c r="J73">
        <v>0.91700000000000004</v>
      </c>
      <c r="K73" s="48">
        <v>233.61193895927704</v>
      </c>
      <c r="L73">
        <v>0.107</v>
      </c>
      <c r="M73">
        <v>1.155</v>
      </c>
      <c r="N73">
        <v>9.2640692640692635E-2</v>
      </c>
      <c r="O73">
        <v>0.91500000000000004</v>
      </c>
      <c r="P73" s="48">
        <v>228.79774399037726</v>
      </c>
      <c r="Q73">
        <v>0.11</v>
      </c>
      <c r="R73">
        <v>1.119</v>
      </c>
      <c r="S73">
        <v>9.8302055406613048E-2</v>
      </c>
      <c r="T73" s="21">
        <v>2.332872291378516</v>
      </c>
      <c r="U73" s="21">
        <v>3.245735361917935</v>
      </c>
      <c r="V73" s="21">
        <v>3.3471645919778705</v>
      </c>
      <c r="W73" s="21">
        <v>3.2076994006454593</v>
      </c>
      <c r="X73" s="21">
        <f t="shared" si="8"/>
        <v>2.7893038266482257</v>
      </c>
      <c r="Y73" s="21">
        <f t="shared" si="9"/>
        <v>3.2774319963116652</v>
      </c>
      <c r="Z73">
        <f t="shared" si="12"/>
        <v>-3.6000000000000032E-2</v>
      </c>
      <c r="AA73">
        <f t="shared" si="11"/>
        <v>0.48812816966343942</v>
      </c>
      <c r="AB73" t="s">
        <v>2174</v>
      </c>
    </row>
    <row r="74" spans="1:28" x14ac:dyDescent="0.2">
      <c r="A74" t="s">
        <v>1823</v>
      </c>
      <c r="B74">
        <v>598</v>
      </c>
      <c r="C74" t="s">
        <v>1824</v>
      </c>
      <c r="D74" t="s">
        <v>1659</v>
      </c>
      <c r="E74" t="s">
        <v>1660</v>
      </c>
      <c r="F74" t="s">
        <v>938</v>
      </c>
      <c r="G74" t="s">
        <v>180</v>
      </c>
      <c r="H74" t="s">
        <v>1661</v>
      </c>
      <c r="I74" t="s">
        <v>1662</v>
      </c>
      <c r="J74">
        <v>0.91</v>
      </c>
      <c r="K74" s="48">
        <v>235.59135813147066</v>
      </c>
      <c r="L74">
        <v>0.12</v>
      </c>
      <c r="M74">
        <v>1.466</v>
      </c>
      <c r="N74">
        <v>8.1855388813096855E-2</v>
      </c>
      <c r="O74">
        <v>1.012</v>
      </c>
      <c r="P74" s="48">
        <v>101.1535875497582</v>
      </c>
      <c r="Q74">
        <v>0.129</v>
      </c>
      <c r="R74">
        <v>1.125</v>
      </c>
      <c r="S74">
        <v>0.11466666666666667</v>
      </c>
      <c r="T74" s="21">
        <v>4.1967418546365911</v>
      </c>
      <c r="U74" s="21">
        <v>4.1257309941520459</v>
      </c>
      <c r="V74" s="21">
        <v>4.4726368159203984</v>
      </c>
      <c r="W74" s="21">
        <v>3.5087064676616913</v>
      </c>
      <c r="X74" s="21">
        <f t="shared" si="8"/>
        <v>4.1612364243943185</v>
      </c>
      <c r="Y74" s="21">
        <f t="shared" si="9"/>
        <v>3.9906716417910451</v>
      </c>
      <c r="Z74">
        <f t="shared" si="12"/>
        <v>-0.34099999999999997</v>
      </c>
      <c r="AA74">
        <f t="shared" si="11"/>
        <v>-0.17056478260327346</v>
      </c>
      <c r="AB74" t="e">
        <v>#N/A</v>
      </c>
    </row>
    <row r="75" spans="1:28" x14ac:dyDescent="0.2">
      <c r="A75" t="s">
        <v>1815</v>
      </c>
      <c r="B75">
        <v>245</v>
      </c>
      <c r="C75" t="s">
        <v>1816</v>
      </c>
      <c r="D75" t="s">
        <v>1659</v>
      </c>
      <c r="E75" t="s">
        <v>1660</v>
      </c>
      <c r="F75" t="s">
        <v>16</v>
      </c>
      <c r="G75" t="s">
        <v>243</v>
      </c>
      <c r="H75" t="s">
        <v>1661</v>
      </c>
      <c r="I75" t="s">
        <v>1662</v>
      </c>
      <c r="J75">
        <v>0.90300000000000002</v>
      </c>
      <c r="K75" s="48">
        <v>236.42062888236151</v>
      </c>
      <c r="L75">
        <v>0.17</v>
      </c>
      <c r="M75">
        <v>1.599</v>
      </c>
      <c r="N75">
        <v>0.10631644777986242</v>
      </c>
      <c r="O75">
        <v>0.84799999999999998</v>
      </c>
      <c r="P75" s="48">
        <v>290.75363350755663</v>
      </c>
      <c r="Q75">
        <v>0.17899999999999999</v>
      </c>
      <c r="R75">
        <v>2.3410000000000002</v>
      </c>
      <c r="S75">
        <v>7.6463049978641603E-2</v>
      </c>
      <c r="T75" s="21">
        <v>2.411578947368421</v>
      </c>
      <c r="U75" s="21">
        <v>2.4392982456140353</v>
      </c>
      <c r="V75" s="21">
        <v>2.6315789473684212</v>
      </c>
      <c r="W75" s="21">
        <v>2.0526315789473686</v>
      </c>
      <c r="X75" s="21">
        <f t="shared" si="8"/>
        <v>2.4254385964912282</v>
      </c>
      <c r="Y75" s="21">
        <f t="shared" si="9"/>
        <v>2.3421052631578947</v>
      </c>
      <c r="Z75">
        <f t="shared" si="12"/>
        <v>0.74200000000000021</v>
      </c>
      <c r="AA75">
        <f t="shared" si="11"/>
        <v>-8.3333333333333481E-2</v>
      </c>
      <c r="AB75" t="e">
        <v>#N/A</v>
      </c>
    </row>
    <row r="76" spans="1:28" x14ac:dyDescent="0.2">
      <c r="A76" t="s">
        <v>2070</v>
      </c>
      <c r="B76">
        <v>542</v>
      </c>
      <c r="C76" t="s">
        <v>2071</v>
      </c>
      <c r="D76" t="s">
        <v>1659</v>
      </c>
      <c r="E76" t="s">
        <v>1660</v>
      </c>
      <c r="F76" t="s">
        <v>777</v>
      </c>
      <c r="G76" t="s">
        <v>376</v>
      </c>
      <c r="H76" t="s">
        <v>1661</v>
      </c>
      <c r="I76" t="s">
        <v>1662</v>
      </c>
      <c r="J76">
        <v>0.91400000000000003</v>
      </c>
      <c r="K76" s="48">
        <v>237.79483426694605</v>
      </c>
      <c r="L76">
        <v>0.128</v>
      </c>
      <c r="M76">
        <v>1.359</v>
      </c>
      <c r="N76">
        <v>9.4186902133922001E-2</v>
      </c>
      <c r="O76">
        <v>0.86399999999999999</v>
      </c>
      <c r="P76" s="48">
        <v>307.5097560614301</v>
      </c>
      <c r="Q76">
        <v>0.127</v>
      </c>
      <c r="R76">
        <v>1.3480000000000001</v>
      </c>
      <c r="S76">
        <v>9.4213649851632039E-2</v>
      </c>
      <c r="Z76">
        <f t="shared" si="12"/>
        <v>-1.0999999999999899E-2</v>
      </c>
      <c r="AB76" t="s">
        <v>2171</v>
      </c>
    </row>
    <row r="77" spans="1:28" x14ac:dyDescent="0.2">
      <c r="A77" t="s">
        <v>1688</v>
      </c>
      <c r="B77">
        <v>227</v>
      </c>
      <c r="C77" t="s">
        <v>1689</v>
      </c>
      <c r="D77" t="s">
        <v>1659</v>
      </c>
      <c r="E77" t="s">
        <v>1660</v>
      </c>
      <c r="F77" t="s">
        <v>16</v>
      </c>
      <c r="G77" t="s">
        <v>378</v>
      </c>
      <c r="H77" t="s">
        <v>1661</v>
      </c>
      <c r="I77" t="s">
        <v>1662</v>
      </c>
      <c r="J77">
        <v>0.88800000000000001</v>
      </c>
      <c r="K77" s="48">
        <v>239.72910281049883</v>
      </c>
      <c r="L77">
        <v>0.20799999999999999</v>
      </c>
      <c r="M77">
        <v>1.9370000000000001</v>
      </c>
      <c r="N77">
        <v>0.10738255033557047</v>
      </c>
      <c r="O77">
        <v>0.86299999999999999</v>
      </c>
      <c r="P77" s="48">
        <v>287.4924254827373</v>
      </c>
      <c r="Q77">
        <v>0.20300000000000001</v>
      </c>
      <c r="R77">
        <v>1.925</v>
      </c>
      <c r="S77">
        <v>0.10545454545454545</v>
      </c>
      <c r="T77" s="21">
        <v>2.7316498316498312</v>
      </c>
      <c r="U77" s="21">
        <v>3.3675420875420876</v>
      </c>
      <c r="V77" s="21">
        <v>3.1555816993464054</v>
      </c>
      <c r="W77" s="21">
        <v>4.0362091503267985</v>
      </c>
      <c r="X77" s="21">
        <f>AVERAGE(T77:U77)</f>
        <v>3.0495959595959592</v>
      </c>
      <c r="Y77" s="21">
        <f>AVERAGE(V77:W77)</f>
        <v>3.595895424836602</v>
      </c>
      <c r="Z77">
        <f t="shared" si="12"/>
        <v>-1.2000000000000011E-2</v>
      </c>
      <c r="AA77">
        <f>Y77-X77</f>
        <v>0.54629946524064277</v>
      </c>
      <c r="AB77" t="s">
        <v>2171</v>
      </c>
    </row>
    <row r="78" spans="1:28" x14ac:dyDescent="0.2">
      <c r="A78" t="s">
        <v>1766</v>
      </c>
      <c r="B78">
        <v>205</v>
      </c>
      <c r="C78" t="s">
        <v>1767</v>
      </c>
      <c r="D78" t="s">
        <v>1659</v>
      </c>
      <c r="E78" t="s">
        <v>1660</v>
      </c>
      <c r="F78" t="s">
        <v>3</v>
      </c>
      <c r="G78" t="s">
        <v>1586</v>
      </c>
      <c r="H78" t="s">
        <v>1661</v>
      </c>
      <c r="I78" t="s">
        <v>1662</v>
      </c>
      <c r="J78">
        <v>0.88700000000000001</v>
      </c>
      <c r="K78" s="48">
        <v>241.00471607792554</v>
      </c>
      <c r="O78">
        <v>0.97199999999999998</v>
      </c>
      <c r="P78" s="48">
        <v>132.57758834667797</v>
      </c>
      <c r="T78" s="21"/>
      <c r="U78" s="21"/>
      <c r="V78" s="21"/>
      <c r="W78" s="21"/>
      <c r="X78" s="21"/>
      <c r="Y78" s="21"/>
      <c r="AB78" t="e">
        <v>#N/A</v>
      </c>
    </row>
    <row r="79" spans="1:28" x14ac:dyDescent="0.2">
      <c r="A79" t="s">
        <v>1849</v>
      </c>
      <c r="B79">
        <v>664</v>
      </c>
      <c r="C79" t="s">
        <v>1850</v>
      </c>
      <c r="D79" t="s">
        <v>1659</v>
      </c>
      <c r="E79" t="s">
        <v>1660</v>
      </c>
      <c r="F79" t="s">
        <v>196</v>
      </c>
      <c r="G79" t="s">
        <v>314</v>
      </c>
      <c r="H79" t="s">
        <v>1661</v>
      </c>
      <c r="I79" t="s">
        <v>1662</v>
      </c>
      <c r="J79">
        <v>0.91300000000000003</v>
      </c>
      <c r="K79" s="48">
        <v>246.67458230236457</v>
      </c>
      <c r="L79">
        <v>9.4E-2</v>
      </c>
      <c r="M79">
        <v>1.119</v>
      </c>
      <c r="N79">
        <v>8.40035746201966E-2</v>
      </c>
      <c r="O79">
        <v>0.94399999999999995</v>
      </c>
      <c r="P79" s="48">
        <v>193.00158950251975</v>
      </c>
      <c r="Q79">
        <v>9.6000000000000002E-2</v>
      </c>
      <c r="R79">
        <v>0.97299999999999998</v>
      </c>
      <c r="S79">
        <v>9.8663926002055508E-2</v>
      </c>
      <c r="T79" s="21">
        <v>0.66288725490196088</v>
      </c>
      <c r="U79" s="21">
        <v>0.54139869281045749</v>
      </c>
      <c r="V79" s="21">
        <v>6.1652238805970141</v>
      </c>
      <c r="W79" s="21">
        <v>6.2383582089552236</v>
      </c>
      <c r="X79" s="21">
        <f t="shared" ref="X79:X91" si="13">AVERAGE(T79:U79)</f>
        <v>0.60214297385620918</v>
      </c>
      <c r="Y79" s="21">
        <f t="shared" ref="Y79:Y91" si="14">AVERAGE(V79:W79)</f>
        <v>6.2017910447761189</v>
      </c>
      <c r="Z79">
        <f>R79-M79</f>
        <v>-0.14600000000000002</v>
      </c>
      <c r="AA79">
        <f t="shared" ref="AA79:AA91" si="15">Y79-X79</f>
        <v>5.5996480709199101</v>
      </c>
      <c r="AB79" t="s">
        <v>2174</v>
      </c>
    </row>
    <row r="80" spans="1:28" x14ac:dyDescent="0.2">
      <c r="A80" t="s">
        <v>1960</v>
      </c>
      <c r="B80">
        <v>462</v>
      </c>
      <c r="C80" t="s">
        <v>1961</v>
      </c>
      <c r="D80" t="s">
        <v>1659</v>
      </c>
      <c r="E80" t="s">
        <v>1660</v>
      </c>
      <c r="F80" t="s">
        <v>938</v>
      </c>
      <c r="G80" t="s">
        <v>361</v>
      </c>
      <c r="H80" t="s">
        <v>1661</v>
      </c>
      <c r="I80" t="s">
        <v>1662</v>
      </c>
      <c r="J80">
        <v>0.90449999999999997</v>
      </c>
      <c r="K80" s="48">
        <v>248.03682234772918</v>
      </c>
      <c r="L80">
        <v>0.13700000000000001</v>
      </c>
      <c r="M80">
        <v>1.3355000000000001</v>
      </c>
      <c r="N80">
        <v>0.10255164794654419</v>
      </c>
      <c r="O80">
        <v>0.75900000000000001</v>
      </c>
      <c r="P80" s="48">
        <v>458.54134937645358</v>
      </c>
      <c r="Q80">
        <v>0.21099999999999999</v>
      </c>
      <c r="R80">
        <v>2.153</v>
      </c>
      <c r="S80">
        <v>9.800278680910357E-2</v>
      </c>
      <c r="T80" s="21">
        <v>3.760879120879121</v>
      </c>
      <c r="U80" s="21">
        <v>3.6397557997557994</v>
      </c>
      <c r="V80" s="21">
        <v>4.8813771517996871</v>
      </c>
      <c r="W80" s="21">
        <v>5.0391236306729272</v>
      </c>
      <c r="X80" s="21">
        <f t="shared" si="13"/>
        <v>3.7003174603174602</v>
      </c>
      <c r="Y80" s="21">
        <f t="shared" si="14"/>
        <v>4.9602503912363076</v>
      </c>
      <c r="Z80">
        <f>R80-M80</f>
        <v>0.81749999999999989</v>
      </c>
      <c r="AA80">
        <f t="shared" si="15"/>
        <v>1.2599329309188474</v>
      </c>
      <c r="AB80" t="s">
        <v>2171</v>
      </c>
    </row>
    <row r="81" spans="1:28" x14ac:dyDescent="0.2">
      <c r="A81" t="s">
        <v>1913</v>
      </c>
      <c r="B81">
        <v>357</v>
      </c>
      <c r="C81" t="s">
        <v>1914</v>
      </c>
      <c r="D81" t="s">
        <v>1659</v>
      </c>
      <c r="E81" t="s">
        <v>1660</v>
      </c>
      <c r="F81" t="s">
        <v>3</v>
      </c>
      <c r="G81" t="s">
        <v>396</v>
      </c>
      <c r="H81" t="s">
        <v>1661</v>
      </c>
      <c r="I81" t="s">
        <v>1662</v>
      </c>
      <c r="J81">
        <v>0.876</v>
      </c>
      <c r="K81" s="48">
        <v>249.41135641267942</v>
      </c>
      <c r="L81">
        <v>0.151</v>
      </c>
      <c r="M81">
        <v>1.3580000000000001</v>
      </c>
      <c r="N81">
        <v>0.11119293078055964</v>
      </c>
      <c r="O81">
        <v>1.06</v>
      </c>
      <c r="P81" s="48">
        <v>20.323620813151283</v>
      </c>
      <c r="Q81">
        <v>0.14499999999999999</v>
      </c>
      <c r="R81">
        <v>1.29</v>
      </c>
      <c r="S81">
        <v>0.11240310077519379</v>
      </c>
      <c r="T81" s="21">
        <v>5.6074572649572643</v>
      </c>
      <c r="U81" s="21">
        <v>3.3982264957264956</v>
      </c>
      <c r="V81" s="21">
        <v>2.4616577060931899</v>
      </c>
      <c r="W81" s="21">
        <v>3.3549462365591403</v>
      </c>
      <c r="X81" s="21">
        <f t="shared" si="13"/>
        <v>4.5028418803418795</v>
      </c>
      <c r="Y81" s="21">
        <f t="shared" si="14"/>
        <v>2.9083019713261651</v>
      </c>
      <c r="Z81">
        <f>R81-M81</f>
        <v>-6.800000000000006E-2</v>
      </c>
      <c r="AA81">
        <f t="shared" si="15"/>
        <v>-1.5945399090157144</v>
      </c>
      <c r="AB81" t="s">
        <v>2171</v>
      </c>
    </row>
    <row r="82" spans="1:28" x14ac:dyDescent="0.2">
      <c r="A82" t="s">
        <v>2058</v>
      </c>
      <c r="B82">
        <v>554</v>
      </c>
      <c r="C82" t="s">
        <v>2059</v>
      </c>
      <c r="D82" t="s">
        <v>1659</v>
      </c>
      <c r="E82" t="s">
        <v>1660</v>
      </c>
      <c r="F82" t="s">
        <v>1687</v>
      </c>
      <c r="G82" t="s">
        <v>165</v>
      </c>
      <c r="H82" t="s">
        <v>1661</v>
      </c>
      <c r="I82" t="s">
        <v>1662</v>
      </c>
      <c r="J82">
        <v>0.90500000000000003</v>
      </c>
      <c r="K82" s="48">
        <v>250.34352018995361</v>
      </c>
      <c r="L82">
        <v>0.14699999999999999</v>
      </c>
      <c r="M82">
        <v>1.4810000000000001</v>
      </c>
      <c r="N82">
        <v>9.9257258609047924E-2</v>
      </c>
      <c r="O82">
        <v>0.999</v>
      </c>
      <c r="P82" s="48">
        <v>119.27946721632362</v>
      </c>
      <c r="Q82">
        <v>0.13800000000000001</v>
      </c>
      <c r="R82">
        <v>1.456</v>
      </c>
      <c r="S82">
        <v>9.478021978021979E-2</v>
      </c>
      <c r="T82" s="21">
        <v>3.8811111111111112</v>
      </c>
      <c r="U82" s="21">
        <v>6.8755555555555556</v>
      </c>
      <c r="V82" s="21">
        <v>5.5064243943191311</v>
      </c>
      <c r="W82" s="21">
        <v>7.2612949039264825</v>
      </c>
      <c r="X82" s="21">
        <f t="shared" si="13"/>
        <v>5.3783333333333339</v>
      </c>
      <c r="Y82" s="21">
        <f t="shared" si="14"/>
        <v>6.3838596491228063</v>
      </c>
      <c r="Z82">
        <f>R82-M82</f>
        <v>-2.5000000000000133E-2</v>
      </c>
      <c r="AA82">
        <f t="shared" si="15"/>
        <v>1.0055263157894725</v>
      </c>
      <c r="AB82" t="s">
        <v>2171</v>
      </c>
    </row>
    <row r="83" spans="1:28" x14ac:dyDescent="0.2">
      <c r="A83" t="s">
        <v>1907</v>
      </c>
      <c r="B83">
        <v>639</v>
      </c>
      <c r="C83" t="s">
        <v>1908</v>
      </c>
      <c r="D83" t="s">
        <v>1659</v>
      </c>
      <c r="E83" t="s">
        <v>1660</v>
      </c>
      <c r="F83" t="s">
        <v>1687</v>
      </c>
      <c r="G83" t="s">
        <v>156</v>
      </c>
      <c r="H83" t="s">
        <v>1661</v>
      </c>
      <c r="I83" t="s">
        <v>1662</v>
      </c>
      <c r="J83">
        <v>0.91</v>
      </c>
      <c r="K83" s="48">
        <v>250.80185698562588</v>
      </c>
      <c r="L83">
        <v>0.128</v>
      </c>
      <c r="M83">
        <v>1.1040000000000001</v>
      </c>
      <c r="N83">
        <v>0.11594202898550723</v>
      </c>
      <c r="O83">
        <v>1.01</v>
      </c>
      <c r="P83" s="48">
        <v>116.04923618633831</v>
      </c>
      <c r="T83" s="21">
        <v>5.1388888888888893</v>
      </c>
      <c r="U83" s="21">
        <v>6.4064814814814817</v>
      </c>
      <c r="V83" s="21">
        <v>5.1629629629629621</v>
      </c>
      <c r="W83" s="21">
        <v>6.3440329218106992</v>
      </c>
      <c r="X83" s="21">
        <f t="shared" si="13"/>
        <v>5.7726851851851855</v>
      </c>
      <c r="Y83" s="21">
        <f t="shared" si="14"/>
        <v>5.7534979423868311</v>
      </c>
      <c r="AA83">
        <f t="shared" si="15"/>
        <v>-1.9187242798354376E-2</v>
      </c>
      <c r="AB83" t="e">
        <v>#N/A</v>
      </c>
    </row>
    <row r="84" spans="1:28" x14ac:dyDescent="0.2">
      <c r="A84" t="s">
        <v>1798</v>
      </c>
      <c r="B84">
        <v>459</v>
      </c>
      <c r="C84" t="s">
        <v>1799</v>
      </c>
      <c r="D84" t="s">
        <v>1659</v>
      </c>
      <c r="E84" t="s">
        <v>1660</v>
      </c>
      <c r="F84" t="s">
        <v>645</v>
      </c>
      <c r="G84" t="s">
        <v>328</v>
      </c>
      <c r="H84" t="s">
        <v>1661</v>
      </c>
      <c r="I84" t="s">
        <v>1662</v>
      </c>
      <c r="J84">
        <v>0.90100000000000002</v>
      </c>
      <c r="K84" s="48">
        <v>252.91336196692504</v>
      </c>
      <c r="L84">
        <v>9.2999999999999999E-2</v>
      </c>
      <c r="M84">
        <v>0.82199999999999995</v>
      </c>
      <c r="N84">
        <v>0.11313868613138686</v>
      </c>
      <c r="O84">
        <v>0.67400000000000004</v>
      </c>
      <c r="P84" s="48">
        <v>569.19178869762266</v>
      </c>
      <c r="Q84">
        <v>0.17499999999999999</v>
      </c>
      <c r="R84">
        <v>1.7809999999999999</v>
      </c>
      <c r="S84">
        <v>9.8259404828747898E-2</v>
      </c>
      <c r="T84" s="21">
        <v>3.2243121693121695</v>
      </c>
      <c r="U84" s="21">
        <v>3.187552910052911</v>
      </c>
      <c r="V84" s="21">
        <v>3.6759259259259265</v>
      </c>
      <c r="W84" s="21">
        <v>2.8567195767195774</v>
      </c>
      <c r="X84" s="21">
        <f t="shared" si="13"/>
        <v>3.2059325396825402</v>
      </c>
      <c r="Y84" s="21">
        <f t="shared" si="14"/>
        <v>3.2663227513227522</v>
      </c>
      <c r="Z84">
        <f t="shared" ref="Z84:Z89" si="16">R84-M84</f>
        <v>0.95899999999999996</v>
      </c>
      <c r="AA84">
        <f t="shared" si="15"/>
        <v>6.0390211640211966E-2</v>
      </c>
      <c r="AB84" t="s">
        <v>2175</v>
      </c>
    </row>
    <row r="85" spans="1:28" x14ac:dyDescent="0.2">
      <c r="A85" t="s">
        <v>2091</v>
      </c>
      <c r="B85">
        <v>324</v>
      </c>
      <c r="C85" t="s">
        <v>2092</v>
      </c>
      <c r="D85" t="s">
        <v>1659</v>
      </c>
      <c r="E85" t="s">
        <v>1660</v>
      </c>
      <c r="F85" t="s">
        <v>15</v>
      </c>
      <c r="G85" t="s">
        <v>213</v>
      </c>
      <c r="H85" t="s">
        <v>1661</v>
      </c>
      <c r="I85" t="s">
        <v>1662</v>
      </c>
      <c r="J85">
        <v>0.89</v>
      </c>
      <c r="K85" s="48">
        <v>253.01896277748352</v>
      </c>
      <c r="L85">
        <v>0.17399999999999999</v>
      </c>
      <c r="M85">
        <v>1.343</v>
      </c>
      <c r="N85">
        <v>0.12956068503350707</v>
      </c>
      <c r="O85">
        <v>0.95</v>
      </c>
      <c r="P85" s="48">
        <v>176.41126787692033</v>
      </c>
      <c r="Q85">
        <v>0.14399999999999999</v>
      </c>
      <c r="R85">
        <v>1.06</v>
      </c>
      <c r="S85">
        <v>0.13584905660377355</v>
      </c>
      <c r="T85" s="21">
        <v>5.4970833333333324</v>
      </c>
      <c r="U85" s="21">
        <v>3.3915517241379307</v>
      </c>
      <c r="V85" s="21">
        <v>5.0933874239350914</v>
      </c>
      <c r="W85" s="21">
        <v>3.3317647058823532</v>
      </c>
      <c r="X85" s="21">
        <f t="shared" si="13"/>
        <v>4.4443175287356311</v>
      </c>
      <c r="Y85" s="21">
        <f t="shared" si="14"/>
        <v>4.2125760649087223</v>
      </c>
      <c r="Z85">
        <f t="shared" si="16"/>
        <v>-0.28299999999999992</v>
      </c>
      <c r="AA85">
        <f t="shared" si="15"/>
        <v>-0.23174146382690886</v>
      </c>
      <c r="AB85" t="s">
        <v>2171</v>
      </c>
    </row>
    <row r="86" spans="1:28" x14ac:dyDescent="0.2">
      <c r="A86" t="s">
        <v>1681</v>
      </c>
      <c r="B86">
        <v>606</v>
      </c>
      <c r="C86" t="s">
        <v>1682</v>
      </c>
      <c r="D86" t="s">
        <v>1659</v>
      </c>
      <c r="E86" t="s">
        <v>1660</v>
      </c>
      <c r="F86" t="s">
        <v>777</v>
      </c>
      <c r="G86" t="s">
        <v>369</v>
      </c>
      <c r="H86" t="s">
        <v>1661</v>
      </c>
      <c r="I86" t="s">
        <v>1662</v>
      </c>
      <c r="J86">
        <v>0.89700000000000002</v>
      </c>
      <c r="K86" s="48">
        <v>253.25475489831277</v>
      </c>
      <c r="L86">
        <v>0.13</v>
      </c>
      <c r="M86">
        <v>1.5629999999999999</v>
      </c>
      <c r="N86">
        <v>8.3173384516954579E-2</v>
      </c>
      <c r="O86">
        <v>0.85099999999999998</v>
      </c>
      <c r="P86" s="48">
        <v>331.97159242310181</v>
      </c>
      <c r="Q86">
        <v>0.13500000000000001</v>
      </c>
      <c r="R86">
        <v>1.734</v>
      </c>
      <c r="S86">
        <v>7.7854671280276816E-2</v>
      </c>
      <c r="T86" s="21">
        <v>5.0021241830065355</v>
      </c>
      <c r="U86" s="21">
        <v>4.5060457516339865</v>
      </c>
      <c r="V86" s="21">
        <v>7.1560905349794242</v>
      </c>
      <c r="W86" s="21">
        <v>5.4881893004115225</v>
      </c>
      <c r="X86" s="21">
        <f t="shared" si="13"/>
        <v>4.754084967320261</v>
      </c>
      <c r="Y86" s="21">
        <f t="shared" si="14"/>
        <v>6.3221399176954733</v>
      </c>
      <c r="Z86">
        <f t="shared" si="16"/>
        <v>0.17100000000000004</v>
      </c>
      <c r="AA86">
        <f t="shared" si="15"/>
        <v>1.5680549503752124</v>
      </c>
      <c r="AB86" t="e">
        <v>#N/A</v>
      </c>
    </row>
    <row r="87" spans="1:28" x14ac:dyDescent="0.2">
      <c r="A87" t="s">
        <v>1762</v>
      </c>
      <c r="B87">
        <v>320</v>
      </c>
      <c r="C87" t="s">
        <v>1763</v>
      </c>
      <c r="D87" t="s">
        <v>1659</v>
      </c>
      <c r="E87" t="s">
        <v>1660</v>
      </c>
      <c r="F87" t="s">
        <v>15</v>
      </c>
      <c r="G87" t="s">
        <v>198</v>
      </c>
      <c r="H87" t="s">
        <v>1661</v>
      </c>
      <c r="I87" t="s">
        <v>1662</v>
      </c>
      <c r="J87">
        <v>0.88700000000000001</v>
      </c>
      <c r="K87" s="48">
        <v>256.84934752251172</v>
      </c>
      <c r="L87">
        <v>0.155</v>
      </c>
      <c r="M87">
        <v>1.329</v>
      </c>
      <c r="N87">
        <v>0.11662904439428141</v>
      </c>
      <c r="O87">
        <v>1.0389999999999999</v>
      </c>
      <c r="P87" s="48">
        <v>62.776520441084614</v>
      </c>
      <c r="Q87">
        <v>0.13700000000000001</v>
      </c>
      <c r="R87">
        <v>1.0049999999999999</v>
      </c>
      <c r="S87">
        <v>0.13631840796019903</v>
      </c>
      <c r="T87" s="21">
        <v>1.1749382716049384</v>
      </c>
      <c r="U87" s="21">
        <v>1.3265432098765431</v>
      </c>
      <c r="V87" s="21">
        <v>4.8893333333333331</v>
      </c>
      <c r="W87" s="21">
        <v>2.7663333333333329</v>
      </c>
      <c r="X87" s="21">
        <f t="shared" si="13"/>
        <v>1.2507407407407407</v>
      </c>
      <c r="Y87" s="21">
        <f t="shared" si="14"/>
        <v>3.827833333333333</v>
      </c>
      <c r="Z87">
        <f t="shared" si="16"/>
        <v>-0.32400000000000007</v>
      </c>
      <c r="AA87">
        <f t="shared" si="15"/>
        <v>2.5770925925925923</v>
      </c>
      <c r="AB87" t="s">
        <v>2171</v>
      </c>
    </row>
    <row r="88" spans="1:28" x14ac:dyDescent="0.2">
      <c r="A88" t="s">
        <v>2066</v>
      </c>
      <c r="B88">
        <v>328</v>
      </c>
      <c r="C88" t="s">
        <v>2067</v>
      </c>
      <c r="D88" t="s">
        <v>1659</v>
      </c>
      <c r="E88" t="s">
        <v>1660</v>
      </c>
      <c r="F88" t="s">
        <v>15</v>
      </c>
      <c r="G88" t="s">
        <v>367</v>
      </c>
      <c r="H88" t="s">
        <v>1661</v>
      </c>
      <c r="I88" t="s">
        <v>1662</v>
      </c>
      <c r="J88">
        <v>0.88700000000000001</v>
      </c>
      <c r="K88" s="48">
        <v>256.84934752251172</v>
      </c>
      <c r="L88">
        <v>0.17699999999999999</v>
      </c>
      <c r="M88">
        <v>1.532</v>
      </c>
      <c r="N88">
        <v>0.11553524804177545</v>
      </c>
      <c r="O88">
        <v>0.622</v>
      </c>
      <c r="P88" s="48">
        <v>595.20000000000016</v>
      </c>
      <c r="Q88">
        <v>0.154</v>
      </c>
      <c r="R88">
        <v>1.1279999999999999</v>
      </c>
      <c r="S88">
        <v>0.13652482269503546</v>
      </c>
      <c r="T88" s="21">
        <v>3.2966666666666664</v>
      </c>
      <c r="U88" s="21">
        <v>5.6733333333333338</v>
      </c>
      <c r="V88" s="21">
        <v>7.4814814814814827</v>
      </c>
      <c r="W88" s="21">
        <v>5.7607407407407418</v>
      </c>
      <c r="X88" s="21">
        <f t="shared" si="13"/>
        <v>4.4850000000000003</v>
      </c>
      <c r="Y88" s="21">
        <f t="shared" si="14"/>
        <v>6.6211111111111123</v>
      </c>
      <c r="Z88">
        <f t="shared" si="16"/>
        <v>-0.40400000000000014</v>
      </c>
      <c r="AA88">
        <f t="shared" si="15"/>
        <v>2.136111111111112</v>
      </c>
      <c r="AB88" t="s">
        <v>2171</v>
      </c>
    </row>
    <row r="89" spans="1:28" x14ac:dyDescent="0.2">
      <c r="A89" t="s">
        <v>1911</v>
      </c>
      <c r="B89">
        <v>452</v>
      </c>
      <c r="C89" t="s">
        <v>1912</v>
      </c>
      <c r="D89" t="s">
        <v>1659</v>
      </c>
      <c r="E89" t="s">
        <v>1660</v>
      </c>
      <c r="F89" t="s">
        <v>645</v>
      </c>
      <c r="G89" t="s">
        <v>101</v>
      </c>
      <c r="H89" t="s">
        <v>1661</v>
      </c>
      <c r="I89" t="s">
        <v>1662</v>
      </c>
      <c r="J89">
        <v>0.89600000000000002</v>
      </c>
      <c r="K89" s="48">
        <v>259.87984713720471</v>
      </c>
      <c r="L89">
        <v>0.107</v>
      </c>
      <c r="M89">
        <v>0.91300000000000003</v>
      </c>
      <c r="N89">
        <v>0.11719605695509309</v>
      </c>
      <c r="O89">
        <v>0.91800000000000004</v>
      </c>
      <c r="P89" s="48">
        <v>229.227312387974</v>
      </c>
      <c r="Q89">
        <v>9.4E-2</v>
      </c>
      <c r="R89">
        <v>0.78200000000000003</v>
      </c>
      <c r="S89">
        <v>0.12020460358056266</v>
      </c>
      <c r="T89" s="21">
        <v>3.3239950062421975</v>
      </c>
      <c r="U89" s="21">
        <v>4.6009737827715362</v>
      </c>
      <c r="V89" s="21">
        <v>6.5709862671660426</v>
      </c>
      <c r="W89" s="21">
        <v>7.2383520599250941</v>
      </c>
      <c r="X89" s="21">
        <f t="shared" si="13"/>
        <v>3.9624843945068671</v>
      </c>
      <c r="Y89" s="21">
        <f t="shared" si="14"/>
        <v>6.9046691635455684</v>
      </c>
      <c r="Z89">
        <f t="shared" si="16"/>
        <v>-0.13100000000000001</v>
      </c>
      <c r="AA89">
        <f t="shared" si="15"/>
        <v>2.9421847690387013</v>
      </c>
      <c r="AB89" t="e">
        <v>#N/A</v>
      </c>
    </row>
    <row r="90" spans="1:28" x14ac:dyDescent="0.2">
      <c r="A90" t="s">
        <v>1947</v>
      </c>
      <c r="B90">
        <v>632</v>
      </c>
      <c r="C90" t="s">
        <v>1948</v>
      </c>
      <c r="D90" t="s">
        <v>1659</v>
      </c>
      <c r="E90" t="s">
        <v>1660</v>
      </c>
      <c r="F90" t="s">
        <v>645</v>
      </c>
      <c r="G90" t="s">
        <v>334</v>
      </c>
      <c r="H90" t="s">
        <v>1661</v>
      </c>
      <c r="I90" t="s">
        <v>1662</v>
      </c>
      <c r="J90">
        <v>0.89200000000000002</v>
      </c>
      <c r="K90" s="48">
        <v>260.04836903940566</v>
      </c>
      <c r="L90">
        <v>7.9000000000000001E-2</v>
      </c>
      <c r="M90">
        <v>0.80900000000000005</v>
      </c>
      <c r="N90">
        <v>9.7651421508034603E-2</v>
      </c>
      <c r="P90" s="48"/>
      <c r="T90" s="21">
        <v>5.6858605664488024</v>
      </c>
      <c r="U90" s="21">
        <v>6.0296078431372555</v>
      </c>
      <c r="V90" s="21">
        <v>3.1623832528180364</v>
      </c>
      <c r="W90" s="21">
        <v>3.985829307568439</v>
      </c>
      <c r="X90" s="21">
        <f t="shared" si="13"/>
        <v>5.8577342047930294</v>
      </c>
      <c r="Y90" s="21">
        <f t="shared" si="14"/>
        <v>3.574106280193238</v>
      </c>
      <c r="AA90">
        <f t="shared" si="15"/>
        <v>-2.2836279245997915</v>
      </c>
      <c r="AB90" t="e">
        <v>#N/A</v>
      </c>
    </row>
    <row r="91" spans="1:28" x14ac:dyDescent="0.2">
      <c r="A91" t="s">
        <v>1715</v>
      </c>
      <c r="B91">
        <v>330</v>
      </c>
      <c r="C91" t="s">
        <v>1716</v>
      </c>
      <c r="D91" t="s">
        <v>1659</v>
      </c>
      <c r="E91" t="s">
        <v>1660</v>
      </c>
      <c r="F91" t="s">
        <v>15</v>
      </c>
      <c r="G91" t="s">
        <v>194</v>
      </c>
      <c r="H91" t="s">
        <v>1661</v>
      </c>
      <c r="I91" t="s">
        <v>1662</v>
      </c>
      <c r="J91">
        <v>0.87549999999999994</v>
      </c>
      <c r="K91" s="48">
        <v>260.8022192736409</v>
      </c>
      <c r="L91">
        <v>0.17699999999999999</v>
      </c>
      <c r="M91">
        <v>1.6164999999999998</v>
      </c>
      <c r="N91">
        <v>0.10947590431774473</v>
      </c>
      <c r="P91" s="48"/>
      <c r="T91" s="21">
        <v>2.3957142857142864</v>
      </c>
      <c r="U91" s="21">
        <v>2.180714285714286</v>
      </c>
      <c r="V91" s="21">
        <v>3.4831746031746036</v>
      </c>
      <c r="W91" s="21">
        <v>2.5119047619047619</v>
      </c>
      <c r="X91" s="21">
        <f t="shared" si="13"/>
        <v>2.288214285714286</v>
      </c>
      <c r="Y91" s="21">
        <f t="shared" si="14"/>
        <v>2.9975396825396827</v>
      </c>
      <c r="AA91">
        <f t="shared" si="15"/>
        <v>0.70932539682539675</v>
      </c>
      <c r="AB91" t="e">
        <v>#N/A</v>
      </c>
    </row>
    <row r="92" spans="1:28" x14ac:dyDescent="0.2">
      <c r="A92" t="s">
        <v>1829</v>
      </c>
      <c r="B92">
        <v>653</v>
      </c>
      <c r="C92" t="s">
        <v>1830</v>
      </c>
      <c r="D92" t="s">
        <v>1659</v>
      </c>
      <c r="E92" t="s">
        <v>1660</v>
      </c>
      <c r="F92" t="s">
        <v>938</v>
      </c>
      <c r="G92" t="s">
        <v>425</v>
      </c>
      <c r="H92" t="s">
        <v>1661</v>
      </c>
      <c r="I92" t="s">
        <v>1662</v>
      </c>
      <c r="J92">
        <v>0.90200000000000002</v>
      </c>
      <c r="K92" s="48">
        <v>261.80792280765667</v>
      </c>
      <c r="L92">
        <v>0.32</v>
      </c>
      <c r="M92">
        <v>0.98199999999999998</v>
      </c>
      <c r="N92">
        <v>0.32586558044806518</v>
      </c>
      <c r="O92">
        <v>0.84599999999999997</v>
      </c>
      <c r="P92" s="48">
        <v>332.60712790744435</v>
      </c>
      <c r="Q92">
        <v>0.14199999999999999</v>
      </c>
      <c r="R92">
        <v>1.2250000000000001</v>
      </c>
      <c r="S92">
        <v>0.11591836734693875</v>
      </c>
      <c r="T92" s="21"/>
      <c r="U92" s="21"/>
      <c r="V92" s="21"/>
      <c r="W92" s="21"/>
      <c r="X92" s="21"/>
      <c r="Y92" s="21"/>
      <c r="Z92">
        <f>R92-M92</f>
        <v>0.2430000000000001</v>
      </c>
      <c r="AB92" t="s">
        <v>2171</v>
      </c>
    </row>
    <row r="93" spans="1:28" x14ac:dyDescent="0.2">
      <c r="A93" t="s">
        <v>2060</v>
      </c>
      <c r="B93">
        <v>677</v>
      </c>
      <c r="C93" t="s">
        <v>2061</v>
      </c>
      <c r="D93" t="s">
        <v>1659</v>
      </c>
      <c r="E93" t="s">
        <v>1660</v>
      </c>
      <c r="F93" t="s">
        <v>777</v>
      </c>
      <c r="G93" t="s">
        <v>431</v>
      </c>
      <c r="H93" t="s">
        <v>1661</v>
      </c>
      <c r="I93" t="s">
        <v>1662</v>
      </c>
      <c r="J93">
        <v>0.9</v>
      </c>
      <c r="K93" s="48">
        <v>264.55943926316434</v>
      </c>
      <c r="L93">
        <v>0.128</v>
      </c>
      <c r="M93">
        <v>1.2290000000000001</v>
      </c>
      <c r="N93">
        <v>0.10414971521562245</v>
      </c>
      <c r="O93">
        <v>0.94499999999999995</v>
      </c>
      <c r="P93" s="48">
        <v>194.57158275436652</v>
      </c>
      <c r="Q93">
        <v>0.114</v>
      </c>
      <c r="R93">
        <v>1.1599999999999999</v>
      </c>
      <c r="S93">
        <v>9.8275862068965533E-2</v>
      </c>
      <c r="T93" s="21">
        <v>3.1985663082437279</v>
      </c>
      <c r="U93" s="21">
        <v>2.7674551971326169</v>
      </c>
      <c r="V93" s="21">
        <v>2.7571144278606963</v>
      </c>
      <c r="W93" s="21">
        <v>2.1418905472636816</v>
      </c>
      <c r="X93" s="21">
        <f>AVERAGE(T93:U93)</f>
        <v>2.9830107526881724</v>
      </c>
      <c r="Y93" s="21">
        <f>AVERAGE(V93:W93)</f>
        <v>2.4495024875621887</v>
      </c>
      <c r="Z93">
        <f>R93-M93</f>
        <v>-6.9000000000000172E-2</v>
      </c>
      <c r="AA93">
        <f>Y93-X93</f>
        <v>-0.5335082651259837</v>
      </c>
      <c r="AB93" t="e">
        <v>#N/A</v>
      </c>
    </row>
    <row r="94" spans="1:28" x14ac:dyDescent="0.2">
      <c r="A94" t="s">
        <v>1855</v>
      </c>
      <c r="B94">
        <v>517</v>
      </c>
      <c r="C94" t="s">
        <v>1856</v>
      </c>
      <c r="D94" t="s">
        <v>1659</v>
      </c>
      <c r="E94" t="s">
        <v>1660</v>
      </c>
      <c r="F94" t="s">
        <v>777</v>
      </c>
      <c r="G94" t="s">
        <v>1857</v>
      </c>
      <c r="H94" t="s">
        <v>1661</v>
      </c>
      <c r="I94" t="s">
        <v>1662</v>
      </c>
      <c r="J94">
        <v>0.89300000000000002</v>
      </c>
      <c r="K94" s="48">
        <v>267.07510142062972</v>
      </c>
      <c r="P94" s="48"/>
      <c r="T94" s="21"/>
      <c r="U94" s="21"/>
      <c r="V94" s="21"/>
      <c r="W94" s="21"/>
      <c r="X94" s="21"/>
      <c r="Y94" s="21"/>
      <c r="AB94" t="e">
        <v>#N/A</v>
      </c>
    </row>
    <row r="95" spans="1:28" x14ac:dyDescent="0.2">
      <c r="A95" t="s">
        <v>2008</v>
      </c>
      <c r="B95">
        <v>567</v>
      </c>
      <c r="C95" t="s">
        <v>2009</v>
      </c>
      <c r="D95" t="s">
        <v>1659</v>
      </c>
      <c r="E95" t="s">
        <v>1660</v>
      </c>
      <c r="F95" t="s">
        <v>1671</v>
      </c>
      <c r="G95" t="s">
        <v>408</v>
      </c>
      <c r="H95" t="s">
        <v>1661</v>
      </c>
      <c r="I95" t="s">
        <v>1662</v>
      </c>
      <c r="J95">
        <v>0.89300000000000002</v>
      </c>
      <c r="K95" s="48">
        <v>267.07510142062972</v>
      </c>
      <c r="L95">
        <v>0.11799999999999999</v>
      </c>
      <c r="M95">
        <v>1.056</v>
      </c>
      <c r="N95">
        <v>0.11174242424242423</v>
      </c>
      <c r="O95">
        <v>0.94799999999999995</v>
      </c>
      <c r="P95" s="48">
        <v>190.38868744669747</v>
      </c>
      <c r="Q95">
        <v>0.106</v>
      </c>
      <c r="R95">
        <v>0.88800000000000001</v>
      </c>
      <c r="S95">
        <v>0.11936936936936937</v>
      </c>
      <c r="T95" s="21">
        <v>1.732936507936508</v>
      </c>
      <c r="U95" s="21">
        <v>2.7989550264550269</v>
      </c>
      <c r="V95" s="21">
        <v>3.558085585585586</v>
      </c>
      <c r="W95" s="21">
        <v>3.5257882882882883</v>
      </c>
      <c r="X95" s="21">
        <f>AVERAGE(T95:U95)</f>
        <v>2.2659457671957677</v>
      </c>
      <c r="Y95" s="21">
        <f>AVERAGE(V95:W95)</f>
        <v>3.5419369369369371</v>
      </c>
      <c r="Z95">
        <f>R95-M95</f>
        <v>-0.16800000000000004</v>
      </c>
      <c r="AA95">
        <f>Y95-X95</f>
        <v>1.2759911697411694</v>
      </c>
      <c r="AB95" t="s">
        <v>2174</v>
      </c>
    </row>
    <row r="96" spans="1:28" x14ac:dyDescent="0.2">
      <c r="A96" t="s">
        <v>2118</v>
      </c>
      <c r="B96">
        <v>673</v>
      </c>
      <c r="C96" t="s">
        <v>2119</v>
      </c>
      <c r="D96" t="s">
        <v>1659</v>
      </c>
      <c r="E96" t="s">
        <v>1660</v>
      </c>
      <c r="F96" t="s">
        <v>24</v>
      </c>
      <c r="G96" t="s">
        <v>391</v>
      </c>
      <c r="H96" t="s">
        <v>1661</v>
      </c>
      <c r="I96" t="s">
        <v>1662</v>
      </c>
      <c r="J96">
        <v>0.89500000000000002</v>
      </c>
      <c r="K96" s="48">
        <v>271.43823040193337</v>
      </c>
      <c r="P96" s="48"/>
      <c r="AB96" t="s">
        <v>2171</v>
      </c>
    </row>
    <row r="97" spans="1:28" x14ac:dyDescent="0.2">
      <c r="A97" t="s">
        <v>1968</v>
      </c>
      <c r="B97">
        <v>193</v>
      </c>
      <c r="C97" t="s">
        <v>1969</v>
      </c>
      <c r="D97" t="s">
        <v>1659</v>
      </c>
      <c r="E97" t="s">
        <v>1660</v>
      </c>
      <c r="F97" t="s">
        <v>3</v>
      </c>
      <c r="G97" t="s">
        <v>397</v>
      </c>
      <c r="H97" t="s">
        <v>1661</v>
      </c>
      <c r="I97" t="s">
        <v>1662</v>
      </c>
      <c r="J97">
        <v>0.86199999999999999</v>
      </c>
      <c r="K97" s="48">
        <v>272.89504776358655</v>
      </c>
      <c r="L97">
        <v>0.17100000000000001</v>
      </c>
      <c r="M97">
        <v>1.524</v>
      </c>
      <c r="N97">
        <v>0.11220472440944883</v>
      </c>
      <c r="O97">
        <v>0.79800000000000004</v>
      </c>
      <c r="P97" s="48">
        <v>348.93723906880854</v>
      </c>
      <c r="Q97">
        <v>0.14099999999999999</v>
      </c>
      <c r="R97">
        <v>1.371</v>
      </c>
      <c r="S97">
        <v>0.10284463894967176</v>
      </c>
      <c r="T97" s="21">
        <v>3.5034649122807022</v>
      </c>
      <c r="U97" s="21">
        <v>3.4338596491228075</v>
      </c>
      <c r="V97" s="21">
        <v>3.9885416666666664</v>
      </c>
      <c r="W97" s="21">
        <v>3.8593888888888888</v>
      </c>
      <c r="X97" s="21">
        <f>AVERAGE(T97:U97)</f>
        <v>3.4686622807017549</v>
      </c>
      <c r="Y97" s="21">
        <f t="shared" ref="Y97:Y109" si="17">AVERAGE(V97:W97)</f>
        <v>3.9239652777777776</v>
      </c>
      <c r="Z97">
        <f>R97-M97</f>
        <v>-0.15300000000000002</v>
      </c>
      <c r="AA97">
        <f t="shared" ref="AA97:AA109" si="18">Y97-X97</f>
        <v>0.45530299707602273</v>
      </c>
      <c r="AB97" t="s">
        <v>2171</v>
      </c>
    </row>
    <row r="98" spans="1:28" x14ac:dyDescent="0.2">
      <c r="A98" t="s">
        <v>1690</v>
      </c>
      <c r="B98">
        <v>663</v>
      </c>
      <c r="C98" t="s">
        <v>1691</v>
      </c>
      <c r="D98" t="s">
        <v>1659</v>
      </c>
      <c r="E98" t="s">
        <v>1660</v>
      </c>
      <c r="F98" t="s">
        <v>196</v>
      </c>
      <c r="G98" t="s">
        <v>421</v>
      </c>
      <c r="H98" t="s">
        <v>1661</v>
      </c>
      <c r="I98" t="s">
        <v>1662</v>
      </c>
      <c r="J98">
        <v>0.89300000000000002</v>
      </c>
      <c r="K98" s="48">
        <v>274.18974685744104</v>
      </c>
      <c r="L98">
        <v>0.115</v>
      </c>
      <c r="M98">
        <v>1.1240000000000001</v>
      </c>
      <c r="N98">
        <v>0.10231316725978647</v>
      </c>
      <c r="O98">
        <v>0.98</v>
      </c>
      <c r="P98" s="48">
        <v>154.49878104285798</v>
      </c>
      <c r="Q98">
        <v>0.10100000000000001</v>
      </c>
      <c r="R98">
        <v>1.07</v>
      </c>
      <c r="S98">
        <v>9.4392523364485975E-2</v>
      </c>
      <c r="T98" s="21">
        <v>4.4190828924162258</v>
      </c>
      <c r="U98" s="21">
        <v>4.1530511463844801</v>
      </c>
      <c r="V98" s="21">
        <v>4.0569841269841271</v>
      </c>
      <c r="W98" s="21">
        <v>6.8059788359788369</v>
      </c>
      <c r="X98" s="21">
        <f>AVERAGE(T98:U98)</f>
        <v>4.2860670194003525</v>
      </c>
      <c r="Y98" s="21">
        <f t="shared" si="17"/>
        <v>5.431481481481482</v>
      </c>
      <c r="Z98">
        <f>R98-M98</f>
        <v>-5.4000000000000048E-2</v>
      </c>
      <c r="AA98">
        <f t="shared" si="18"/>
        <v>1.1454144620811295</v>
      </c>
      <c r="AB98" t="s">
        <v>2174</v>
      </c>
    </row>
    <row r="99" spans="1:28" x14ac:dyDescent="0.2">
      <c r="A99" t="s">
        <v>2012</v>
      </c>
      <c r="B99">
        <v>654</v>
      </c>
      <c r="C99" t="s">
        <v>2013</v>
      </c>
      <c r="D99" t="s">
        <v>1659</v>
      </c>
      <c r="E99" t="s">
        <v>1660</v>
      </c>
      <c r="F99" t="s">
        <v>24</v>
      </c>
      <c r="G99" t="s">
        <v>388</v>
      </c>
      <c r="H99" t="s">
        <v>1661</v>
      </c>
      <c r="I99" t="s">
        <v>1662</v>
      </c>
      <c r="J99">
        <v>0.89300000000000002</v>
      </c>
      <c r="K99" s="48">
        <v>274.18974685744104</v>
      </c>
      <c r="L99">
        <v>0.123</v>
      </c>
      <c r="M99">
        <v>1.0580000000000001</v>
      </c>
      <c r="N99">
        <v>0.11625708884688089</v>
      </c>
      <c r="O99">
        <v>0.74</v>
      </c>
      <c r="P99" s="48">
        <v>477.23418444993086</v>
      </c>
      <c r="Q99">
        <v>8.2000000000000003E-2</v>
      </c>
      <c r="R99">
        <v>0.70699999999999996</v>
      </c>
      <c r="S99">
        <v>0.11598302687411599</v>
      </c>
      <c r="T99" s="21">
        <v>4.3005295950155764</v>
      </c>
      <c r="U99" s="21">
        <v>2.9223676012461062</v>
      </c>
      <c r="V99" s="21">
        <v>4.2990643274853815</v>
      </c>
      <c r="W99" s="21">
        <v>3.3881871345029242</v>
      </c>
      <c r="X99" s="21">
        <f>AVERAGE(T99:U99)</f>
        <v>3.6114485981308411</v>
      </c>
      <c r="Y99" s="21">
        <f t="shared" si="17"/>
        <v>3.8436257309941526</v>
      </c>
      <c r="Z99">
        <f>R99-M99</f>
        <v>-0.35100000000000009</v>
      </c>
      <c r="AA99">
        <f t="shared" si="18"/>
        <v>0.23217713286331154</v>
      </c>
      <c r="AB99" t="s">
        <v>2179</v>
      </c>
    </row>
    <row r="100" spans="1:28" x14ac:dyDescent="0.2">
      <c r="A100" t="s">
        <v>1709</v>
      </c>
      <c r="B100">
        <v>468</v>
      </c>
      <c r="C100" t="s">
        <v>1710</v>
      </c>
      <c r="D100" t="s">
        <v>1659</v>
      </c>
      <c r="E100" t="s">
        <v>1660</v>
      </c>
      <c r="F100" t="s">
        <v>938</v>
      </c>
      <c r="G100" t="s">
        <v>356</v>
      </c>
      <c r="H100" t="s">
        <v>1661</v>
      </c>
      <c r="I100" t="s">
        <v>1662</v>
      </c>
      <c r="J100">
        <v>0.88500000000000001</v>
      </c>
      <c r="K100" s="48">
        <v>275.20611451181998</v>
      </c>
      <c r="L100">
        <v>0.122</v>
      </c>
      <c r="M100">
        <v>1.0409999999999999</v>
      </c>
      <c r="N100">
        <v>0.11719500480307397</v>
      </c>
      <c r="O100">
        <v>0.93200000000000005</v>
      </c>
      <c r="P100" s="48">
        <v>209.72115391119087</v>
      </c>
      <c r="Q100">
        <v>0.129</v>
      </c>
      <c r="R100">
        <v>1.054</v>
      </c>
      <c r="S100">
        <v>0.12239089184060721</v>
      </c>
      <c r="T100" s="21">
        <v>3.2742222222222215</v>
      </c>
      <c r="U100" s="21">
        <v>2.8855555555555559</v>
      </c>
      <c r="V100" s="21">
        <v>4.4407894736842115</v>
      </c>
      <c r="W100" s="21">
        <v>4.1684210526315795</v>
      </c>
      <c r="X100" s="21">
        <f>AVERAGE(T100:U100)</f>
        <v>3.0798888888888887</v>
      </c>
      <c r="Y100" s="21">
        <f t="shared" si="17"/>
        <v>4.3046052631578959</v>
      </c>
      <c r="Z100">
        <f>R100-M100</f>
        <v>1.3000000000000123E-2</v>
      </c>
      <c r="AA100">
        <f t="shared" si="18"/>
        <v>1.2247163742690073</v>
      </c>
      <c r="AB100" t="s">
        <v>2171</v>
      </c>
    </row>
    <row r="101" spans="1:28" x14ac:dyDescent="0.2">
      <c r="A101" t="s">
        <v>1819</v>
      </c>
      <c r="B101">
        <v>699</v>
      </c>
      <c r="C101" t="s">
        <v>1820</v>
      </c>
      <c r="D101" t="s">
        <v>1659</v>
      </c>
      <c r="E101" t="s">
        <v>1660</v>
      </c>
      <c r="F101" t="s">
        <v>1687</v>
      </c>
      <c r="G101" t="s">
        <v>151</v>
      </c>
      <c r="H101" t="s">
        <v>1661</v>
      </c>
      <c r="I101" t="s">
        <v>1662</v>
      </c>
      <c r="J101">
        <v>0.89</v>
      </c>
      <c r="K101" s="48">
        <v>279.0873032684915</v>
      </c>
      <c r="P101" s="48"/>
      <c r="T101" s="21"/>
      <c r="U101" s="21"/>
      <c r="V101" s="21">
        <v>6.8147763946519149</v>
      </c>
      <c r="W101" s="21">
        <v>4.5643153526970961</v>
      </c>
      <c r="X101" s="21"/>
      <c r="Y101" s="21">
        <f t="shared" si="17"/>
        <v>5.6895458736745059</v>
      </c>
      <c r="AA101">
        <f t="shared" si="18"/>
        <v>5.6895458736745059</v>
      </c>
      <c r="AB101" t="e">
        <v>#N/A</v>
      </c>
    </row>
    <row r="102" spans="1:28" x14ac:dyDescent="0.2">
      <c r="A102" t="s">
        <v>2122</v>
      </c>
      <c r="B102">
        <v>427</v>
      </c>
      <c r="C102" t="s">
        <v>2123</v>
      </c>
      <c r="D102" t="s">
        <v>1659</v>
      </c>
      <c r="E102" t="s">
        <v>1660</v>
      </c>
      <c r="F102" t="s">
        <v>196</v>
      </c>
      <c r="G102" t="s">
        <v>91</v>
      </c>
      <c r="H102" t="s">
        <v>1785</v>
      </c>
      <c r="I102" t="s">
        <v>1674</v>
      </c>
      <c r="J102">
        <v>0.88200000000000001</v>
      </c>
      <c r="K102" s="48">
        <v>279.38600561398783</v>
      </c>
      <c r="L102">
        <v>0.11600000000000001</v>
      </c>
      <c r="M102">
        <v>1.2070000000000001</v>
      </c>
      <c r="N102">
        <v>9.6106048053024029E-2</v>
      </c>
      <c r="P102" s="48"/>
      <c r="T102" s="21">
        <v>2.9998268398268397</v>
      </c>
      <c r="U102" s="21">
        <v>3.214978354978355</v>
      </c>
      <c r="V102" s="21">
        <v>4.0403591470258142</v>
      </c>
      <c r="W102" s="21">
        <v>5.0470707070707075</v>
      </c>
      <c r="X102" s="21">
        <f t="shared" ref="X102:X109" si="19">AVERAGE(T102:U102)</f>
        <v>3.1074025974025972</v>
      </c>
      <c r="Y102" s="21">
        <f t="shared" si="17"/>
        <v>4.5437149270482609</v>
      </c>
      <c r="AA102">
        <f t="shared" si="18"/>
        <v>1.4363123296456637</v>
      </c>
      <c r="AB102" t="s">
        <v>2171</v>
      </c>
    </row>
    <row r="103" spans="1:28" x14ac:dyDescent="0.2">
      <c r="A103" t="s">
        <v>2062</v>
      </c>
      <c r="B103">
        <v>537</v>
      </c>
      <c r="C103" t="s">
        <v>2063</v>
      </c>
      <c r="D103" t="s">
        <v>1659</v>
      </c>
      <c r="E103" t="s">
        <v>1660</v>
      </c>
      <c r="F103" t="s">
        <v>777</v>
      </c>
      <c r="G103" t="s">
        <v>432</v>
      </c>
      <c r="H103" t="s">
        <v>1661</v>
      </c>
      <c r="I103" t="s">
        <v>1662</v>
      </c>
      <c r="J103">
        <v>0.88300000000000001</v>
      </c>
      <c r="K103" s="48">
        <v>281.01808577952613</v>
      </c>
      <c r="L103">
        <v>0.156</v>
      </c>
      <c r="M103">
        <v>1.68</v>
      </c>
      <c r="N103">
        <v>9.285714285714286E-2</v>
      </c>
      <c r="O103">
        <v>0.95</v>
      </c>
      <c r="P103" s="48">
        <v>187.6000905749178</v>
      </c>
      <c r="Q103">
        <v>9.7000000000000003E-2</v>
      </c>
      <c r="R103">
        <v>0.77400000000000002</v>
      </c>
      <c r="S103">
        <v>0.12532299741602068</v>
      </c>
      <c r="T103" s="21">
        <v>1.9998039215686274</v>
      </c>
      <c r="U103" s="21">
        <v>4.2488235294117649</v>
      </c>
      <c r="V103" s="21">
        <v>4.3676480129764803</v>
      </c>
      <c r="W103" s="21">
        <v>5.5825709651257096</v>
      </c>
      <c r="X103" s="21">
        <f t="shared" si="19"/>
        <v>3.1243137254901963</v>
      </c>
      <c r="Y103" s="21">
        <f t="shared" si="17"/>
        <v>4.9751094890510945</v>
      </c>
      <c r="Z103">
        <f>R103-M103</f>
        <v>-0.90599999999999992</v>
      </c>
      <c r="AA103">
        <f t="shared" si="18"/>
        <v>1.8507957635608983</v>
      </c>
      <c r="AB103" t="s">
        <v>2171</v>
      </c>
    </row>
    <row r="104" spans="1:28" x14ac:dyDescent="0.2">
      <c r="A104" t="s">
        <v>1988</v>
      </c>
      <c r="B104">
        <v>282</v>
      </c>
      <c r="C104" t="s">
        <v>1989</v>
      </c>
      <c r="D104" t="s">
        <v>1659</v>
      </c>
      <c r="E104" t="s">
        <v>1660</v>
      </c>
      <c r="F104" t="s">
        <v>1677</v>
      </c>
      <c r="G104" t="s">
        <v>140</v>
      </c>
      <c r="H104" t="s">
        <v>1663</v>
      </c>
      <c r="I104" t="s">
        <v>1662</v>
      </c>
      <c r="J104">
        <v>0.86799999999999999</v>
      </c>
      <c r="K104" s="48">
        <v>281.10845090769016</v>
      </c>
      <c r="O104">
        <v>0.94699999999999995</v>
      </c>
      <c r="P104" s="48">
        <v>180.24165262194853</v>
      </c>
      <c r="Q104">
        <v>8.5999999999999993E-2</v>
      </c>
      <c r="R104">
        <v>0.874</v>
      </c>
      <c r="S104">
        <v>9.8398169336384428E-2</v>
      </c>
      <c r="T104" s="21">
        <v>2.7485416666666667</v>
      </c>
      <c r="U104" s="21">
        <v>3.8618749999999999</v>
      </c>
      <c r="V104" s="21">
        <v>7.1851851851851842</v>
      </c>
      <c r="W104" s="21">
        <v>5.5925925925925926</v>
      </c>
      <c r="X104" s="21">
        <f t="shared" si="19"/>
        <v>3.3052083333333333</v>
      </c>
      <c r="Y104" s="21">
        <f t="shared" si="17"/>
        <v>6.3888888888888884</v>
      </c>
      <c r="AA104">
        <f t="shared" si="18"/>
        <v>3.0836805555555551</v>
      </c>
      <c r="AB104" t="s">
        <v>2171</v>
      </c>
    </row>
    <row r="105" spans="1:28" x14ac:dyDescent="0.2">
      <c r="A105" t="s">
        <v>1729</v>
      </c>
      <c r="B105">
        <v>241</v>
      </c>
      <c r="C105" t="s">
        <v>1730</v>
      </c>
      <c r="D105" t="s">
        <v>1659</v>
      </c>
      <c r="E105" t="s">
        <v>1660</v>
      </c>
      <c r="F105" t="s">
        <v>16</v>
      </c>
      <c r="G105" t="s">
        <v>241</v>
      </c>
      <c r="H105" t="s">
        <v>1661</v>
      </c>
      <c r="I105" t="s">
        <v>1662</v>
      </c>
      <c r="J105">
        <v>0.86499999999999999</v>
      </c>
      <c r="K105" s="48">
        <v>284.93883565271835</v>
      </c>
      <c r="L105">
        <v>0.17799999999999999</v>
      </c>
      <c r="M105">
        <v>1.6240000000000001</v>
      </c>
      <c r="N105">
        <v>0.10960591133004925</v>
      </c>
      <c r="O105">
        <v>0.91</v>
      </c>
      <c r="P105" s="48">
        <v>211.66561092711743</v>
      </c>
      <c r="Q105">
        <v>0.215</v>
      </c>
      <c r="R105">
        <v>1.931</v>
      </c>
      <c r="S105">
        <v>0.11134127395132055</v>
      </c>
      <c r="T105" s="21">
        <v>3.1413580246913582</v>
      </c>
      <c r="U105" s="21">
        <v>4.218395061728395</v>
      </c>
      <c r="V105" s="21">
        <v>4.2702339181286559</v>
      </c>
      <c r="W105" s="21">
        <v>5.1055789473684214</v>
      </c>
      <c r="X105" s="21">
        <f t="shared" si="19"/>
        <v>3.6798765432098763</v>
      </c>
      <c r="Y105" s="21">
        <f t="shared" si="17"/>
        <v>4.6879064327485391</v>
      </c>
      <c r="Z105">
        <f>R105-M105</f>
        <v>0.30699999999999994</v>
      </c>
      <c r="AA105">
        <f t="shared" si="18"/>
        <v>1.0080298895386628</v>
      </c>
      <c r="AB105" t="s">
        <v>2171</v>
      </c>
    </row>
    <row r="106" spans="1:28" x14ac:dyDescent="0.2">
      <c r="A106" t="s">
        <v>2027</v>
      </c>
      <c r="B106">
        <v>692</v>
      </c>
      <c r="C106" t="s">
        <v>2028</v>
      </c>
      <c r="D106" t="s">
        <v>1659</v>
      </c>
      <c r="E106" t="s">
        <v>1660</v>
      </c>
      <c r="F106" t="s">
        <v>645</v>
      </c>
      <c r="G106" t="s">
        <v>110</v>
      </c>
      <c r="H106" t="s">
        <v>1661</v>
      </c>
      <c r="I106" t="s">
        <v>1662</v>
      </c>
      <c r="J106">
        <v>0.88200000000000001</v>
      </c>
      <c r="K106" s="48">
        <v>289.32308736273313</v>
      </c>
      <c r="L106">
        <v>0.111</v>
      </c>
      <c r="M106">
        <v>1.0009999999999999</v>
      </c>
      <c r="N106">
        <v>0.11088911088911091</v>
      </c>
      <c r="O106">
        <v>0.91300000000000003</v>
      </c>
      <c r="P106" s="48">
        <v>231.51518964681441</v>
      </c>
      <c r="Q106">
        <v>0.187</v>
      </c>
      <c r="R106">
        <v>0.91</v>
      </c>
      <c r="S106">
        <v>0.20549450549450549</v>
      </c>
      <c r="T106" s="21">
        <v>7.1371874999999996</v>
      </c>
      <c r="U106" s="21">
        <v>6.8568749999999996</v>
      </c>
      <c r="V106" s="21"/>
      <c r="W106" s="21">
        <v>8.674931129476585</v>
      </c>
      <c r="X106" s="21">
        <f t="shared" si="19"/>
        <v>6.9970312499999991</v>
      </c>
      <c r="Y106" s="21">
        <f t="shared" si="17"/>
        <v>8.674931129476585</v>
      </c>
      <c r="Z106">
        <f>R106-M106</f>
        <v>-9.0999999999999859E-2</v>
      </c>
      <c r="AA106">
        <f t="shared" si="18"/>
        <v>1.6778998794765858</v>
      </c>
      <c r="AB106" t="s">
        <v>2171</v>
      </c>
    </row>
    <row r="107" spans="1:28" x14ac:dyDescent="0.2">
      <c r="A107" t="s">
        <v>1884</v>
      </c>
      <c r="B107">
        <v>471</v>
      </c>
      <c r="C107" t="s">
        <v>1885</v>
      </c>
      <c r="D107" t="s">
        <v>1659</v>
      </c>
      <c r="E107" t="s">
        <v>1660</v>
      </c>
      <c r="F107" t="s">
        <v>938</v>
      </c>
      <c r="G107" t="s">
        <v>184</v>
      </c>
      <c r="H107" t="s">
        <v>1661</v>
      </c>
      <c r="I107" t="s">
        <v>1662</v>
      </c>
      <c r="J107">
        <v>0.872</v>
      </c>
      <c r="K107" s="48">
        <v>293.31897595454723</v>
      </c>
      <c r="L107">
        <v>0.13200000000000001</v>
      </c>
      <c r="M107">
        <v>1.484</v>
      </c>
      <c r="N107">
        <v>8.8948787061994619E-2</v>
      </c>
      <c r="O107">
        <v>0.78100000000000003</v>
      </c>
      <c r="P107" s="48">
        <v>420.10900605363736</v>
      </c>
      <c r="Q107">
        <v>0.153</v>
      </c>
      <c r="R107">
        <v>1.724</v>
      </c>
      <c r="S107">
        <v>8.8747099767981438E-2</v>
      </c>
      <c r="T107" s="21">
        <v>5.1392708333333337</v>
      </c>
      <c r="U107" s="21">
        <v>4.1579861111111116</v>
      </c>
      <c r="V107" s="21">
        <v>6.2573412698412714</v>
      </c>
      <c r="W107" s="21">
        <v>4.8461111111111119</v>
      </c>
      <c r="X107" s="21">
        <f t="shared" si="19"/>
        <v>4.6486284722222226</v>
      </c>
      <c r="Y107" s="21">
        <f t="shared" si="17"/>
        <v>5.5517261904761916</v>
      </c>
      <c r="Z107">
        <f>R107-M107</f>
        <v>0.24</v>
      </c>
      <c r="AA107">
        <f t="shared" si="18"/>
        <v>0.90309771825396901</v>
      </c>
      <c r="AB107" t="s">
        <v>2171</v>
      </c>
    </row>
    <row r="108" spans="1:28" x14ac:dyDescent="0.2">
      <c r="A108" t="s">
        <v>1758</v>
      </c>
      <c r="B108">
        <v>674</v>
      </c>
      <c r="C108" t="s">
        <v>1759</v>
      </c>
      <c r="D108" t="s">
        <v>1659</v>
      </c>
      <c r="E108" t="s">
        <v>1660</v>
      </c>
      <c r="F108" t="s">
        <v>732</v>
      </c>
      <c r="G108" t="s">
        <v>119</v>
      </c>
      <c r="H108" t="s">
        <v>1661</v>
      </c>
      <c r="I108" t="s">
        <v>1662</v>
      </c>
      <c r="J108">
        <v>0.879</v>
      </c>
      <c r="K108" s="48">
        <v>293.45036204599444</v>
      </c>
      <c r="L108">
        <v>0.1</v>
      </c>
      <c r="M108">
        <v>0.89700000000000002</v>
      </c>
      <c r="N108">
        <v>0.11148272017837235</v>
      </c>
      <c r="O108">
        <v>1.0489999999999999</v>
      </c>
      <c r="P108" s="48">
        <v>46.728885009081537</v>
      </c>
      <c r="Q108">
        <v>9.6000000000000002E-2</v>
      </c>
      <c r="R108">
        <v>0.81499999999999995</v>
      </c>
      <c r="S108">
        <v>0.1177914110429448</v>
      </c>
      <c r="T108" s="21">
        <v>2.0523076923076919</v>
      </c>
      <c r="U108" s="21">
        <v>1.5003076923076921</v>
      </c>
      <c r="V108" s="21">
        <v>3.0666666666666664</v>
      </c>
      <c r="W108" s="21">
        <v>4.673976608187135</v>
      </c>
      <c r="X108" s="21">
        <f t="shared" si="19"/>
        <v>1.7763076923076921</v>
      </c>
      <c r="Y108" s="21">
        <f t="shared" si="17"/>
        <v>3.8703216374269007</v>
      </c>
      <c r="Z108">
        <f>R108-M108</f>
        <v>-8.2000000000000073E-2</v>
      </c>
      <c r="AA108">
        <f t="shared" si="18"/>
        <v>2.0940139451192086</v>
      </c>
      <c r="AB108" t="s">
        <v>2180</v>
      </c>
    </row>
    <row r="109" spans="1:28" x14ac:dyDescent="0.2">
      <c r="A109" t="s">
        <v>1897</v>
      </c>
      <c r="B109">
        <v>272</v>
      </c>
      <c r="C109" t="s">
        <v>1898</v>
      </c>
      <c r="D109" t="s">
        <v>1659</v>
      </c>
      <c r="E109" t="s">
        <v>1660</v>
      </c>
      <c r="F109" t="s">
        <v>1677</v>
      </c>
      <c r="G109" t="s">
        <v>138</v>
      </c>
      <c r="H109" t="s">
        <v>1663</v>
      </c>
      <c r="I109" t="s">
        <v>1662</v>
      </c>
      <c r="J109">
        <v>0.85599999999999998</v>
      </c>
      <c r="K109" s="48">
        <v>296.42998988780295</v>
      </c>
      <c r="O109">
        <v>0.75600000000000001</v>
      </c>
      <c r="P109" s="48">
        <v>424.10948138874181</v>
      </c>
      <c r="Q109">
        <v>0.153</v>
      </c>
      <c r="R109">
        <v>1.371</v>
      </c>
      <c r="S109">
        <v>0.11159737417943107</v>
      </c>
      <c r="T109" s="21">
        <v>6.2360493827160495</v>
      </c>
      <c r="U109" s="21">
        <v>5.9880246913580235</v>
      </c>
      <c r="V109" s="21">
        <v>6.8505555555555544</v>
      </c>
      <c r="W109" s="21">
        <v>6.5883333333333338</v>
      </c>
      <c r="X109" s="21">
        <f t="shared" si="19"/>
        <v>6.1120370370370365</v>
      </c>
      <c r="Y109" s="21">
        <f t="shared" si="17"/>
        <v>6.7194444444444441</v>
      </c>
      <c r="AA109">
        <f t="shared" si="18"/>
        <v>0.60740740740740762</v>
      </c>
      <c r="AB109" t="e">
        <v>#N/A</v>
      </c>
    </row>
    <row r="110" spans="1:28" x14ac:dyDescent="0.2">
      <c r="A110" t="s">
        <v>1951</v>
      </c>
      <c r="B110">
        <v>470</v>
      </c>
      <c r="C110" t="s">
        <v>1952</v>
      </c>
      <c r="D110" t="s">
        <v>1659</v>
      </c>
      <c r="E110" t="s">
        <v>1660</v>
      </c>
      <c r="F110" t="s">
        <v>938</v>
      </c>
      <c r="G110" t="s">
        <v>1953</v>
      </c>
      <c r="H110" t="s">
        <v>1661</v>
      </c>
      <c r="I110" t="s">
        <v>1662</v>
      </c>
      <c r="J110">
        <v>0.86899999999999999</v>
      </c>
      <c r="K110" s="48">
        <v>297.49886705671486</v>
      </c>
      <c r="L110">
        <v>0.13400000000000001</v>
      </c>
      <c r="M110">
        <v>1.133</v>
      </c>
      <c r="N110">
        <v>0.11827007943512799</v>
      </c>
      <c r="P110" s="48"/>
      <c r="T110" s="21"/>
      <c r="U110" s="21"/>
      <c r="V110" s="21"/>
      <c r="W110" s="21"/>
      <c r="X110" s="21"/>
      <c r="Y110" s="21"/>
      <c r="AB110" t="e">
        <v>#N/A</v>
      </c>
    </row>
    <row r="111" spans="1:28" x14ac:dyDescent="0.2">
      <c r="A111" t="s">
        <v>1800</v>
      </c>
      <c r="B111">
        <v>261</v>
      </c>
      <c r="C111" t="s">
        <v>1801</v>
      </c>
      <c r="D111" t="s">
        <v>1659</v>
      </c>
      <c r="E111" t="s">
        <v>1660</v>
      </c>
      <c r="F111" t="s">
        <v>4</v>
      </c>
      <c r="G111" t="s">
        <v>123</v>
      </c>
      <c r="H111" t="s">
        <v>1661</v>
      </c>
      <c r="I111" t="s">
        <v>1662</v>
      </c>
      <c r="J111">
        <v>0.85299999999999998</v>
      </c>
      <c r="K111" s="48">
        <v>300.26037463283114</v>
      </c>
      <c r="L111">
        <v>0.126</v>
      </c>
      <c r="M111">
        <v>1.163</v>
      </c>
      <c r="N111">
        <v>0.10834049871023216</v>
      </c>
      <c r="O111">
        <v>0.88300000000000001</v>
      </c>
      <c r="P111" s="48">
        <v>261.95652718254939</v>
      </c>
      <c r="Q111">
        <v>0.15</v>
      </c>
      <c r="R111">
        <v>1.349</v>
      </c>
      <c r="S111">
        <v>0.1111934766493699</v>
      </c>
      <c r="T111" s="21">
        <v>0.61444444444444457</v>
      </c>
      <c r="U111" s="21">
        <v>0.85555555555555574</v>
      </c>
      <c r="V111" s="21">
        <v>0.76228282828282834</v>
      </c>
      <c r="W111" s="21">
        <v>1.390969696969697</v>
      </c>
      <c r="X111" s="21">
        <f t="shared" ref="X111:X127" si="20">AVERAGE(T111:U111)</f>
        <v>0.7350000000000001</v>
      </c>
      <c r="Y111" s="21">
        <f t="shared" ref="Y111:Y127" si="21">AVERAGE(V111:W111)</f>
        <v>1.0766262626262626</v>
      </c>
      <c r="Z111">
        <f>R111-M111</f>
        <v>0.18599999999999994</v>
      </c>
      <c r="AA111">
        <f t="shared" ref="AA111:AA127" si="22">Y111-X111</f>
        <v>0.3416262626262625</v>
      </c>
      <c r="AB111" t="s">
        <v>2179</v>
      </c>
    </row>
    <row r="112" spans="1:28" x14ac:dyDescent="0.2">
      <c r="A112" t="s">
        <v>1998</v>
      </c>
      <c r="B112">
        <v>426</v>
      </c>
      <c r="C112" t="s">
        <v>1999</v>
      </c>
      <c r="D112" t="s">
        <v>1659</v>
      </c>
      <c r="E112" t="s">
        <v>1660</v>
      </c>
      <c r="F112" t="s">
        <v>196</v>
      </c>
      <c r="G112" t="s">
        <v>84</v>
      </c>
      <c r="H112" t="s">
        <v>1661</v>
      </c>
      <c r="I112" t="s">
        <v>1662</v>
      </c>
      <c r="J112">
        <v>0.86699999999999999</v>
      </c>
      <c r="K112" s="48">
        <v>300.2854611248269</v>
      </c>
      <c r="L112">
        <v>0.115</v>
      </c>
      <c r="M112">
        <v>1.234</v>
      </c>
      <c r="N112">
        <v>9.3192868719611022E-2</v>
      </c>
      <c r="P112" s="48"/>
      <c r="T112" s="21">
        <v>4.0502356902356906</v>
      </c>
      <c r="U112" s="21">
        <v>4.3407239057239062</v>
      </c>
      <c r="V112" s="21">
        <v>4.7640067340067347</v>
      </c>
      <c r="W112" s="21">
        <v>4.7889057239057244</v>
      </c>
      <c r="X112" s="21">
        <f t="shared" si="20"/>
        <v>4.1954797979797984</v>
      </c>
      <c r="Y112" s="21">
        <f t="shared" si="21"/>
        <v>4.7764562289562296</v>
      </c>
      <c r="AA112">
        <f t="shared" si="22"/>
        <v>0.58097643097643115</v>
      </c>
      <c r="AB112" t="e">
        <v>#N/A</v>
      </c>
    </row>
    <row r="113" spans="1:28" x14ac:dyDescent="0.2">
      <c r="A113" t="s">
        <v>1667</v>
      </c>
      <c r="B113">
        <v>645</v>
      </c>
      <c r="C113" t="s">
        <v>1668</v>
      </c>
      <c r="D113" t="s">
        <v>1659</v>
      </c>
      <c r="E113" t="s">
        <v>1660</v>
      </c>
      <c r="F113" t="s">
        <v>777</v>
      </c>
      <c r="G113" t="s">
        <v>215</v>
      </c>
      <c r="H113" t="s">
        <v>1661</v>
      </c>
      <c r="I113" t="s">
        <v>1662</v>
      </c>
      <c r="J113">
        <v>0.874</v>
      </c>
      <c r="K113" s="48">
        <v>300.32915318476392</v>
      </c>
      <c r="L113">
        <v>0.122</v>
      </c>
      <c r="M113">
        <v>1.3720000000000001</v>
      </c>
      <c r="N113">
        <v>8.8921282798833809E-2</v>
      </c>
      <c r="P113" s="48"/>
      <c r="T113" s="21">
        <v>0.92849462365591406</v>
      </c>
      <c r="U113" s="21">
        <v>0.84408602150537637</v>
      </c>
      <c r="V113" s="21">
        <v>3.6067538126361653</v>
      </c>
      <c r="W113" s="21">
        <v>3.464161220043573</v>
      </c>
      <c r="X113" s="21">
        <f t="shared" si="20"/>
        <v>0.88629032258064522</v>
      </c>
      <c r="Y113" s="21">
        <f t="shared" si="21"/>
        <v>3.5354575163398692</v>
      </c>
      <c r="AA113">
        <f t="shared" si="22"/>
        <v>2.649167193759224</v>
      </c>
      <c r="AB113" t="s">
        <v>2171</v>
      </c>
    </row>
    <row r="114" spans="1:28" x14ac:dyDescent="0.2">
      <c r="A114" t="s">
        <v>1929</v>
      </c>
      <c r="B114">
        <v>696</v>
      </c>
      <c r="C114" t="s">
        <v>1930</v>
      </c>
      <c r="D114" t="s">
        <v>1659</v>
      </c>
      <c r="E114" t="s">
        <v>1660</v>
      </c>
      <c r="F114" t="s">
        <v>24</v>
      </c>
      <c r="G114" t="s">
        <v>264</v>
      </c>
      <c r="H114" t="s">
        <v>1661</v>
      </c>
      <c r="I114" t="s">
        <v>1662</v>
      </c>
      <c r="J114">
        <v>0.873</v>
      </c>
      <c r="K114" s="48">
        <v>301.6024837174395</v>
      </c>
      <c r="L114">
        <v>0.1205</v>
      </c>
      <c r="M114">
        <v>1.2734999999999999</v>
      </c>
      <c r="N114">
        <v>9.4591632469840314E-2</v>
      </c>
      <c r="P114" s="48"/>
      <c r="T114" s="21">
        <v>5.9511111111111124</v>
      </c>
      <c r="U114" s="21">
        <v>3.7112698412698415</v>
      </c>
      <c r="V114" s="21">
        <v>7.7096938775510209</v>
      </c>
      <c r="W114" s="21">
        <v>7.4191836734693899</v>
      </c>
      <c r="X114" s="21">
        <f t="shared" si="20"/>
        <v>4.8311904761904767</v>
      </c>
      <c r="Y114" s="21">
        <f t="shared" si="21"/>
        <v>7.5644387755102054</v>
      </c>
      <c r="AA114">
        <f t="shared" si="22"/>
        <v>2.7332482993197287</v>
      </c>
      <c r="AB114" t="s">
        <v>2171</v>
      </c>
    </row>
    <row r="115" spans="1:28" x14ac:dyDescent="0.2">
      <c r="A115" t="s">
        <v>1917</v>
      </c>
      <c r="B115">
        <v>548</v>
      </c>
      <c r="C115" t="s">
        <v>1918</v>
      </c>
      <c r="D115" t="s">
        <v>1659</v>
      </c>
      <c r="E115" t="s">
        <v>1660</v>
      </c>
      <c r="F115" t="s">
        <v>1687</v>
      </c>
      <c r="G115" t="s">
        <v>157</v>
      </c>
      <c r="H115" t="s">
        <v>1661</v>
      </c>
      <c r="I115" t="s">
        <v>1662</v>
      </c>
      <c r="J115">
        <v>0.86699999999999999</v>
      </c>
      <c r="K115" s="48">
        <v>303.32686075376108</v>
      </c>
      <c r="L115">
        <v>0.13100000000000001</v>
      </c>
      <c r="M115">
        <v>1.202</v>
      </c>
      <c r="N115">
        <v>0.10898502495840268</v>
      </c>
      <c r="P115" s="48"/>
      <c r="T115" s="21">
        <v>6.3141530054644814</v>
      </c>
      <c r="U115" s="21">
        <v>6.2491256830601083</v>
      </c>
      <c r="V115" s="21">
        <v>8.3568008948545867</v>
      </c>
      <c r="W115" s="21">
        <v>6.4513646532438473</v>
      </c>
      <c r="X115" s="21">
        <f t="shared" si="20"/>
        <v>6.2816393442622953</v>
      </c>
      <c r="Y115" s="21">
        <f t="shared" si="21"/>
        <v>7.4040827740492166</v>
      </c>
      <c r="AA115">
        <f t="shared" si="22"/>
        <v>1.1224434297869212</v>
      </c>
      <c r="AB115" t="s">
        <v>2171</v>
      </c>
    </row>
    <row r="116" spans="1:28" x14ac:dyDescent="0.2">
      <c r="A116" t="s">
        <v>1768</v>
      </c>
      <c r="B116">
        <v>275</v>
      </c>
      <c r="C116" t="s">
        <v>1769</v>
      </c>
      <c r="D116" t="s">
        <v>1659</v>
      </c>
      <c r="E116" t="s">
        <v>1660</v>
      </c>
      <c r="F116" t="s">
        <v>1677</v>
      </c>
      <c r="G116" t="s">
        <v>136</v>
      </c>
      <c r="H116" t="s">
        <v>1661</v>
      </c>
      <c r="I116" t="s">
        <v>1662</v>
      </c>
      <c r="J116">
        <v>0.85</v>
      </c>
      <c r="K116" s="48">
        <v>304.09075937785911</v>
      </c>
      <c r="L116">
        <v>0.126</v>
      </c>
      <c r="M116">
        <v>1.27</v>
      </c>
      <c r="N116">
        <v>9.9212598425196849E-2</v>
      </c>
      <c r="O116">
        <v>0.80900000000000005</v>
      </c>
      <c r="P116" s="48">
        <v>356.43935089324413</v>
      </c>
      <c r="Q116">
        <v>0.14499999999999999</v>
      </c>
      <c r="R116">
        <v>1.5329999999999999</v>
      </c>
      <c r="S116">
        <v>9.4585779517286361E-2</v>
      </c>
      <c r="T116" s="21">
        <v>5.0914529914529911</v>
      </c>
      <c r="U116" s="21">
        <v>5.2242735042735049</v>
      </c>
      <c r="V116" s="21">
        <v>7.0931400966183586</v>
      </c>
      <c r="W116" s="21">
        <v>5.734879227053141</v>
      </c>
      <c r="X116" s="21">
        <f t="shared" si="20"/>
        <v>5.157863247863248</v>
      </c>
      <c r="Y116" s="21">
        <f t="shared" si="21"/>
        <v>6.4140096618357498</v>
      </c>
      <c r="Z116">
        <f t="shared" ref="Z116:Z127" si="23">R116-M116</f>
        <v>0.2629999999999999</v>
      </c>
      <c r="AA116">
        <f t="shared" si="22"/>
        <v>1.2561464139725018</v>
      </c>
      <c r="AB116" t="s">
        <v>2171</v>
      </c>
    </row>
    <row r="117" spans="1:28" x14ac:dyDescent="0.2">
      <c r="A117" t="s">
        <v>1754</v>
      </c>
      <c r="B117">
        <v>665</v>
      </c>
      <c r="C117" t="s">
        <v>1755</v>
      </c>
      <c r="D117" t="s">
        <v>1659</v>
      </c>
      <c r="E117" t="s">
        <v>1660</v>
      </c>
      <c r="F117" t="s">
        <v>196</v>
      </c>
      <c r="G117" t="s">
        <v>313</v>
      </c>
      <c r="H117" t="s">
        <v>1661</v>
      </c>
      <c r="I117" t="s">
        <v>1662</v>
      </c>
      <c r="J117">
        <v>0.87</v>
      </c>
      <c r="K117" s="48">
        <v>305.83218609577881</v>
      </c>
      <c r="L117">
        <v>0.111</v>
      </c>
      <c r="M117">
        <v>1.181</v>
      </c>
      <c r="N117">
        <v>9.3988145639288742E-2</v>
      </c>
      <c r="O117">
        <v>0.67300000000000004</v>
      </c>
      <c r="P117" s="48">
        <v>570.58508573167853</v>
      </c>
      <c r="Q117">
        <v>0.18</v>
      </c>
      <c r="R117">
        <v>1.784</v>
      </c>
      <c r="S117">
        <v>0.10089686098654709</v>
      </c>
      <c r="T117" s="21"/>
      <c r="U117" s="21">
        <v>6.5032258064516126</v>
      </c>
      <c r="V117" s="21"/>
      <c r="W117" s="21">
        <v>7.7997364672364675</v>
      </c>
      <c r="X117" s="21">
        <f t="shared" si="20"/>
        <v>6.5032258064516126</v>
      </c>
      <c r="Y117" s="21">
        <f t="shared" si="21"/>
        <v>7.7997364672364675</v>
      </c>
      <c r="Z117">
        <f t="shared" si="23"/>
        <v>0.60299999999999998</v>
      </c>
      <c r="AA117">
        <f t="shared" si="22"/>
        <v>1.2965106607848549</v>
      </c>
      <c r="AB117" t="s">
        <v>2174</v>
      </c>
    </row>
    <row r="118" spans="1:28" x14ac:dyDescent="0.2">
      <c r="A118" t="s">
        <v>1872</v>
      </c>
      <c r="B118">
        <v>243</v>
      </c>
      <c r="C118" t="s">
        <v>1873</v>
      </c>
      <c r="D118" t="s">
        <v>1659</v>
      </c>
      <c r="E118" t="s">
        <v>1660</v>
      </c>
      <c r="F118" t="s">
        <v>16</v>
      </c>
      <c r="G118" t="s">
        <v>380</v>
      </c>
      <c r="H118" t="s">
        <v>1661</v>
      </c>
      <c r="I118" t="s">
        <v>1662</v>
      </c>
      <c r="J118">
        <v>0.84599999999999997</v>
      </c>
      <c r="K118" s="48">
        <v>309.19793903789679</v>
      </c>
      <c r="L118">
        <v>0.187</v>
      </c>
      <c r="M118">
        <v>2.68</v>
      </c>
      <c r="N118">
        <v>6.9776119402985073E-2</v>
      </c>
      <c r="O118">
        <v>0.89200000000000002</v>
      </c>
      <c r="P118" s="48">
        <v>250.46537294746483</v>
      </c>
      <c r="Q118">
        <v>0.14899999999999999</v>
      </c>
      <c r="R118">
        <v>2.5049999999999999</v>
      </c>
      <c r="S118">
        <v>5.9481037924151693E-2</v>
      </c>
      <c r="T118" s="21">
        <v>3.4046031746031753</v>
      </c>
      <c r="U118" s="21">
        <v>5.4318253968253982</v>
      </c>
      <c r="V118" s="21">
        <v>1.7222222222222223</v>
      </c>
      <c r="W118" s="21">
        <v>1.9652777777777779</v>
      </c>
      <c r="X118" s="21">
        <f t="shared" si="20"/>
        <v>4.4182142857142868</v>
      </c>
      <c r="Y118" s="21">
        <f t="shared" si="21"/>
        <v>1.84375</v>
      </c>
      <c r="Z118">
        <f t="shared" si="23"/>
        <v>-0.17500000000000027</v>
      </c>
      <c r="AA118">
        <f t="shared" si="22"/>
        <v>-2.5744642857142868</v>
      </c>
      <c r="AB118" t="s">
        <v>2171</v>
      </c>
    </row>
    <row r="119" spans="1:28" x14ac:dyDescent="0.2">
      <c r="A119" t="s">
        <v>2068</v>
      </c>
      <c r="B119">
        <v>577</v>
      </c>
      <c r="C119" t="s">
        <v>2069</v>
      </c>
      <c r="D119" t="s">
        <v>1659</v>
      </c>
      <c r="E119" t="s">
        <v>1660</v>
      </c>
      <c r="F119" t="s">
        <v>1671</v>
      </c>
      <c r="G119" t="s">
        <v>410</v>
      </c>
      <c r="H119" t="s">
        <v>1661</v>
      </c>
      <c r="I119" t="s">
        <v>1662</v>
      </c>
      <c r="J119">
        <v>0.86099999999999999</v>
      </c>
      <c r="K119" s="48">
        <v>311.69265136909911</v>
      </c>
      <c r="L119">
        <v>0.16900000000000001</v>
      </c>
      <c r="M119">
        <v>1.71</v>
      </c>
      <c r="N119">
        <v>9.8830409356725157E-2</v>
      </c>
      <c r="O119">
        <v>0.82799999999999996</v>
      </c>
      <c r="P119" s="48">
        <v>363.32363792760424</v>
      </c>
      <c r="Q119">
        <v>0.13300000000000001</v>
      </c>
      <c r="R119">
        <v>1.194</v>
      </c>
      <c r="S119">
        <v>0.11139028475711894</v>
      </c>
      <c r="T119" s="21">
        <v>1.8176767676767676</v>
      </c>
      <c r="U119" s="21">
        <v>1.9905050505050506</v>
      </c>
      <c r="V119" s="21">
        <v>4.8997714736012616</v>
      </c>
      <c r="W119" s="21">
        <v>3.4404806934594174</v>
      </c>
      <c r="X119" s="21">
        <f t="shared" si="20"/>
        <v>1.9040909090909091</v>
      </c>
      <c r="Y119" s="21">
        <f t="shared" si="21"/>
        <v>4.1701260835303398</v>
      </c>
      <c r="Z119">
        <f t="shared" si="23"/>
        <v>-0.51600000000000001</v>
      </c>
      <c r="AA119">
        <f t="shared" si="22"/>
        <v>2.2660351744394305</v>
      </c>
      <c r="AB119" t="s">
        <v>2171</v>
      </c>
    </row>
    <row r="120" spans="1:28" x14ac:dyDescent="0.2">
      <c r="A120" t="s">
        <v>1939</v>
      </c>
      <c r="B120">
        <v>332</v>
      </c>
      <c r="C120" t="s">
        <v>1940</v>
      </c>
      <c r="D120" t="s">
        <v>1659</v>
      </c>
      <c r="E120" t="s">
        <v>1660</v>
      </c>
      <c r="F120" t="s">
        <v>15</v>
      </c>
      <c r="G120" t="s">
        <v>365</v>
      </c>
      <c r="H120" t="s">
        <v>1661</v>
      </c>
      <c r="I120" t="s">
        <v>1662</v>
      </c>
      <c r="J120">
        <v>0.84399999999999997</v>
      </c>
      <c r="K120" s="48">
        <v>311.75152886791551</v>
      </c>
      <c r="L120">
        <v>0.159</v>
      </c>
      <c r="M120">
        <v>1.323</v>
      </c>
      <c r="N120">
        <v>0.12018140589569161</v>
      </c>
      <c r="O120">
        <v>0.94099999999999995</v>
      </c>
      <c r="P120" s="48">
        <v>187.90242211200467</v>
      </c>
      <c r="Q120">
        <v>0.184</v>
      </c>
      <c r="R120">
        <v>1.554</v>
      </c>
      <c r="S120">
        <v>0.11840411840411839</v>
      </c>
      <c r="T120" s="21">
        <v>1.7051282051282051</v>
      </c>
      <c r="U120" s="21">
        <v>1.6239316239316239</v>
      </c>
      <c r="V120" s="21">
        <v>2.9527272727272726</v>
      </c>
      <c r="W120" s="21">
        <v>4.6157575757575753</v>
      </c>
      <c r="X120" s="21">
        <f t="shared" si="20"/>
        <v>1.6645299145299144</v>
      </c>
      <c r="Y120" s="21">
        <f t="shared" si="21"/>
        <v>3.7842424242424242</v>
      </c>
      <c r="Z120">
        <f t="shared" si="23"/>
        <v>0.23100000000000009</v>
      </c>
      <c r="AA120">
        <f t="shared" si="22"/>
        <v>2.1197125097125098</v>
      </c>
      <c r="AB120" t="s">
        <v>2171</v>
      </c>
    </row>
    <row r="121" spans="1:28" x14ac:dyDescent="0.2">
      <c r="A121" t="s">
        <v>2018</v>
      </c>
      <c r="B121">
        <v>263</v>
      </c>
      <c r="C121" t="s">
        <v>2019</v>
      </c>
      <c r="D121" t="s">
        <v>1659</v>
      </c>
      <c r="E121" t="s">
        <v>1660</v>
      </c>
      <c r="F121" t="s">
        <v>4</v>
      </c>
      <c r="G121" t="s">
        <v>344</v>
      </c>
      <c r="H121" t="s">
        <v>1661</v>
      </c>
      <c r="I121" t="s">
        <v>1662</v>
      </c>
      <c r="J121">
        <v>0.84399999999999997</v>
      </c>
      <c r="K121" s="48">
        <v>311.75152886791551</v>
      </c>
      <c r="L121">
        <v>0.14000000000000001</v>
      </c>
      <c r="M121">
        <v>1.4390000000000001</v>
      </c>
      <c r="N121">
        <v>9.7289784572619886E-2</v>
      </c>
      <c r="O121">
        <v>0.65700000000000003</v>
      </c>
      <c r="P121" s="48">
        <v>550.51217797467154</v>
      </c>
      <c r="Q121">
        <v>0.17399999999999999</v>
      </c>
      <c r="R121">
        <v>1.599</v>
      </c>
      <c r="S121">
        <v>0.10881801125703564</v>
      </c>
      <c r="T121" s="21">
        <v>3.452519561815337</v>
      </c>
      <c r="U121" s="21">
        <v>3.2545539906103294</v>
      </c>
      <c r="V121" s="21">
        <v>3.7722147651006712</v>
      </c>
      <c r="W121" s="21">
        <v>2.5218344519015661</v>
      </c>
      <c r="X121" s="21">
        <f t="shared" si="20"/>
        <v>3.3535367762128332</v>
      </c>
      <c r="Y121" s="21">
        <f t="shared" si="21"/>
        <v>3.1470246085011189</v>
      </c>
      <c r="Z121">
        <f t="shared" si="23"/>
        <v>0.15999999999999992</v>
      </c>
      <c r="AA121">
        <f t="shared" si="22"/>
        <v>-0.20651216771171432</v>
      </c>
      <c r="AB121" t="s">
        <v>2179</v>
      </c>
    </row>
    <row r="122" spans="1:28" x14ac:dyDescent="0.2">
      <c r="A122" t="s">
        <v>2103</v>
      </c>
      <c r="B122">
        <v>450</v>
      </c>
      <c r="C122" t="s">
        <v>2104</v>
      </c>
      <c r="D122" t="s">
        <v>1659</v>
      </c>
      <c r="E122" t="s">
        <v>1660</v>
      </c>
      <c r="F122" t="s">
        <v>196</v>
      </c>
      <c r="G122" t="s">
        <v>325</v>
      </c>
      <c r="H122" t="s">
        <v>1661</v>
      </c>
      <c r="I122" t="s">
        <v>1662</v>
      </c>
      <c r="J122">
        <v>0.85799999999999998</v>
      </c>
      <c r="K122" s="48">
        <v>312.82513443133035</v>
      </c>
      <c r="L122">
        <v>9.5000000000000001E-2</v>
      </c>
      <c r="M122">
        <v>0.95599999999999996</v>
      </c>
      <c r="N122">
        <v>9.9372384937238503E-2</v>
      </c>
      <c r="O122">
        <v>0.97799999999999998</v>
      </c>
      <c r="P122" s="48">
        <v>145.62949034461792</v>
      </c>
      <c r="Q122">
        <v>8.6999999999999994E-2</v>
      </c>
      <c r="R122">
        <v>0.85099999999999998</v>
      </c>
      <c r="S122">
        <v>0.10223266745005875</v>
      </c>
      <c r="T122" s="21">
        <v>4.4287179487179484</v>
      </c>
      <c r="U122" s="21">
        <v>4.4775641025641022</v>
      </c>
      <c r="V122" s="21">
        <v>6.9127969348659013</v>
      </c>
      <c r="W122" s="21">
        <v>6.4818390804597712</v>
      </c>
      <c r="X122" s="21">
        <f t="shared" si="20"/>
        <v>4.4531410256410258</v>
      </c>
      <c r="Y122" s="21">
        <f t="shared" si="21"/>
        <v>6.6973180076628367</v>
      </c>
      <c r="Z122">
        <f t="shared" si="23"/>
        <v>-0.10499999999999998</v>
      </c>
      <c r="AA122">
        <f t="shared" si="22"/>
        <v>2.2441769820218109</v>
      </c>
      <c r="AB122" t="s">
        <v>2171</v>
      </c>
    </row>
    <row r="123" spans="1:28" x14ac:dyDescent="0.2">
      <c r="A123" t="s">
        <v>2124</v>
      </c>
      <c r="B123">
        <v>484</v>
      </c>
      <c r="C123" t="s">
        <v>2125</v>
      </c>
      <c r="D123" t="s">
        <v>1659</v>
      </c>
      <c r="E123" t="s">
        <v>1660</v>
      </c>
      <c r="F123" t="s">
        <v>645</v>
      </c>
      <c r="G123" t="s">
        <v>339</v>
      </c>
      <c r="H123" t="s">
        <v>1661</v>
      </c>
      <c r="I123" t="s">
        <v>1662</v>
      </c>
      <c r="J123">
        <v>0.85499999999999998</v>
      </c>
      <c r="K123" s="48">
        <v>317.00502553349799</v>
      </c>
      <c r="L123">
        <v>0.11600000000000001</v>
      </c>
      <c r="M123">
        <v>1.1399999999999999</v>
      </c>
      <c r="N123">
        <v>0.10175438596491229</v>
      </c>
      <c r="O123">
        <v>0.93600000000000005</v>
      </c>
      <c r="P123" s="48">
        <v>204.14796577496708</v>
      </c>
      <c r="Q123">
        <v>0.14799999999999999</v>
      </c>
      <c r="R123">
        <v>1.29</v>
      </c>
      <c r="S123">
        <v>0.11472868217054262</v>
      </c>
      <c r="T123" s="21">
        <v>6.1862222222222218</v>
      </c>
      <c r="U123" s="21">
        <v>4.8256161616161615</v>
      </c>
      <c r="V123" s="21">
        <v>5.5057478632478638</v>
      </c>
      <c r="W123" s="21">
        <v>5.6888034188034187</v>
      </c>
      <c r="X123" s="21">
        <f t="shared" si="20"/>
        <v>5.5059191919191921</v>
      </c>
      <c r="Y123" s="21">
        <f t="shared" si="21"/>
        <v>5.5972756410256412</v>
      </c>
      <c r="Z123">
        <f t="shared" si="23"/>
        <v>0.15000000000000013</v>
      </c>
      <c r="AA123">
        <f t="shared" si="22"/>
        <v>9.1356449106449134E-2</v>
      </c>
      <c r="AB123" t="s">
        <v>2171</v>
      </c>
    </row>
    <row r="124" spans="1:28" x14ac:dyDescent="0.2">
      <c r="A124" t="s">
        <v>2134</v>
      </c>
      <c r="B124">
        <v>247</v>
      </c>
      <c r="C124" t="s">
        <v>2135</v>
      </c>
      <c r="D124" t="s">
        <v>1659</v>
      </c>
      <c r="E124" t="s">
        <v>1660</v>
      </c>
      <c r="F124" t="s">
        <v>16</v>
      </c>
      <c r="G124" t="s">
        <v>385</v>
      </c>
      <c r="H124" t="s">
        <v>1661</v>
      </c>
      <c r="I124" t="s">
        <v>1662</v>
      </c>
      <c r="J124">
        <v>0.83599999999999997</v>
      </c>
      <c r="K124" s="48">
        <v>321.96588818799074</v>
      </c>
      <c r="L124">
        <v>0.184</v>
      </c>
      <c r="M124">
        <v>1.623</v>
      </c>
      <c r="N124">
        <v>0.11337030191004313</v>
      </c>
      <c r="O124">
        <v>0.86699999999999999</v>
      </c>
      <c r="P124" s="48">
        <v>282.38524582269963</v>
      </c>
      <c r="Q124">
        <v>0.23499999999999999</v>
      </c>
      <c r="R124">
        <v>2.181</v>
      </c>
      <c r="S124">
        <v>0.10774873911049976</v>
      </c>
      <c r="T124" s="21">
        <v>2.1091503267973857</v>
      </c>
      <c r="U124" s="21">
        <v>2.4104575163398696</v>
      </c>
      <c r="V124" s="21">
        <v>3.0972839506172836</v>
      </c>
      <c r="W124" s="21">
        <v>2.3782716049382717</v>
      </c>
      <c r="X124" s="21">
        <f t="shared" si="20"/>
        <v>2.2598039215686274</v>
      </c>
      <c r="Y124" s="21">
        <f t="shared" si="21"/>
        <v>2.7377777777777776</v>
      </c>
      <c r="Z124">
        <f t="shared" si="23"/>
        <v>0.55800000000000005</v>
      </c>
      <c r="AA124">
        <f t="shared" si="22"/>
        <v>0.47797385620915023</v>
      </c>
      <c r="AB124" t="s">
        <v>2171</v>
      </c>
    </row>
    <row r="125" spans="1:28" x14ac:dyDescent="0.2">
      <c r="A125" t="s">
        <v>2085</v>
      </c>
      <c r="B125">
        <v>694</v>
      </c>
      <c r="C125" t="s">
        <v>2086</v>
      </c>
      <c r="D125" t="s">
        <v>1659</v>
      </c>
      <c r="E125" t="s">
        <v>1660</v>
      </c>
      <c r="F125" t="s">
        <v>1687</v>
      </c>
      <c r="G125" t="s">
        <v>167</v>
      </c>
      <c r="H125" t="s">
        <v>1661</v>
      </c>
      <c r="I125" t="s">
        <v>1662</v>
      </c>
      <c r="J125">
        <v>0.85799999999999998</v>
      </c>
      <c r="K125" s="48">
        <v>322.34128482882488</v>
      </c>
      <c r="L125">
        <v>0.13600000000000001</v>
      </c>
      <c r="M125">
        <v>1.1739999999999999</v>
      </c>
      <c r="N125">
        <v>0.11584327086882455</v>
      </c>
      <c r="O125">
        <v>1.0169999999999999</v>
      </c>
      <c r="P125" s="48">
        <v>103.59572661596685</v>
      </c>
      <c r="Q125">
        <v>8.3000000000000004E-2</v>
      </c>
      <c r="R125">
        <v>0.64100000000000001</v>
      </c>
      <c r="S125">
        <v>0.1294851794071763</v>
      </c>
      <c r="T125" s="21">
        <v>2.7472131147540986</v>
      </c>
      <c r="U125" s="21">
        <v>1.9872131147540983</v>
      </c>
      <c r="V125" s="21">
        <v>4.7725378787878787</v>
      </c>
      <c r="W125" s="21">
        <v>5.5857954545454538</v>
      </c>
      <c r="X125" s="21">
        <f t="shared" si="20"/>
        <v>2.3672131147540982</v>
      </c>
      <c r="Y125" s="21">
        <f t="shared" si="21"/>
        <v>5.1791666666666663</v>
      </c>
      <c r="Z125">
        <f t="shared" si="23"/>
        <v>-0.53299999999999992</v>
      </c>
      <c r="AA125">
        <f t="shared" si="22"/>
        <v>2.811953551912568</v>
      </c>
      <c r="AB125" t="e">
        <v>#N/A</v>
      </c>
    </row>
    <row r="126" spans="1:28" x14ac:dyDescent="0.2">
      <c r="A126" t="s">
        <v>1945</v>
      </c>
      <c r="B126">
        <v>535</v>
      </c>
      <c r="C126" t="s">
        <v>1946</v>
      </c>
      <c r="D126" t="s">
        <v>1659</v>
      </c>
      <c r="E126" t="s">
        <v>1660</v>
      </c>
      <c r="F126" t="s">
        <v>938</v>
      </c>
      <c r="G126" t="s">
        <v>360</v>
      </c>
      <c r="H126" t="s">
        <v>1661</v>
      </c>
      <c r="I126" t="s">
        <v>1662</v>
      </c>
      <c r="J126">
        <v>0.85299999999999998</v>
      </c>
      <c r="K126" s="48">
        <v>322.84703885621667</v>
      </c>
      <c r="L126">
        <v>0.17100000000000001</v>
      </c>
      <c r="M126">
        <v>1.464</v>
      </c>
      <c r="N126">
        <v>0.11680327868852459</v>
      </c>
      <c r="O126">
        <v>0.85599999999999998</v>
      </c>
      <c r="P126" s="48">
        <v>318.66414354854766</v>
      </c>
      <c r="Q126">
        <v>0.192</v>
      </c>
      <c r="R126">
        <v>1.71</v>
      </c>
      <c r="S126">
        <v>0.11228070175438597</v>
      </c>
      <c r="T126" s="21">
        <v>4.9519354838709679</v>
      </c>
      <c r="U126" s="21">
        <v>4.7983870967741939</v>
      </c>
      <c r="V126" s="21">
        <v>6.9337448559670776</v>
      </c>
      <c r="W126" s="21"/>
      <c r="X126" s="21">
        <f t="shared" si="20"/>
        <v>4.8751612903225805</v>
      </c>
      <c r="Y126" s="21">
        <f t="shared" si="21"/>
        <v>6.9337448559670776</v>
      </c>
      <c r="Z126">
        <f t="shared" si="23"/>
        <v>0.246</v>
      </c>
      <c r="AA126">
        <f t="shared" si="22"/>
        <v>2.0585835656444971</v>
      </c>
      <c r="AB126" t="e">
        <v>#N/A</v>
      </c>
    </row>
    <row r="127" spans="1:28" x14ac:dyDescent="0.2">
      <c r="A127" t="s">
        <v>2081</v>
      </c>
      <c r="B127">
        <v>682</v>
      </c>
      <c r="C127" t="s">
        <v>2082</v>
      </c>
      <c r="D127" t="s">
        <v>1659</v>
      </c>
      <c r="E127" t="s">
        <v>1660</v>
      </c>
      <c r="F127" t="s">
        <v>777</v>
      </c>
      <c r="G127" t="s">
        <v>377</v>
      </c>
      <c r="H127" t="s">
        <v>1661</v>
      </c>
      <c r="I127" t="s">
        <v>1662</v>
      </c>
      <c r="J127">
        <v>0.85399999999999998</v>
      </c>
      <c r="K127" s="48">
        <v>327.84431773984028</v>
      </c>
      <c r="L127">
        <v>0.14299999999999999</v>
      </c>
      <c r="M127">
        <v>1.4890000000000001</v>
      </c>
      <c r="N127">
        <v>9.6037609133646729E-2</v>
      </c>
      <c r="O127">
        <v>0.877</v>
      </c>
      <c r="P127" s="48">
        <v>296.20187850150211</v>
      </c>
      <c r="Q127">
        <v>0.13500000000000001</v>
      </c>
      <c r="R127">
        <v>1.421</v>
      </c>
      <c r="S127">
        <v>9.5003518648838853E-2</v>
      </c>
      <c r="T127" s="21">
        <v>3.9929292929292934</v>
      </c>
      <c r="U127" s="21">
        <v>2.4732323232323234</v>
      </c>
      <c r="V127" s="21">
        <v>8.1427350427350422</v>
      </c>
      <c r="W127" s="21">
        <v>6.7008547008547001</v>
      </c>
      <c r="X127" s="21">
        <f t="shared" si="20"/>
        <v>3.2330808080808087</v>
      </c>
      <c r="Y127" s="21">
        <f t="shared" si="21"/>
        <v>7.4217948717948712</v>
      </c>
      <c r="Z127">
        <f t="shared" si="23"/>
        <v>-6.800000000000006E-2</v>
      </c>
      <c r="AA127">
        <f t="shared" si="22"/>
        <v>4.1887140637140625</v>
      </c>
      <c r="AB127" t="s">
        <v>2171</v>
      </c>
    </row>
    <row r="128" spans="1:28" x14ac:dyDescent="0.2">
      <c r="A128" t="s">
        <v>1780</v>
      </c>
      <c r="B128">
        <v>233</v>
      </c>
      <c r="C128" t="s">
        <v>1781</v>
      </c>
      <c r="D128" t="s">
        <v>1659</v>
      </c>
      <c r="E128" t="s">
        <v>1660</v>
      </c>
      <c r="F128" t="s">
        <v>16</v>
      </c>
      <c r="G128" t="s">
        <v>1782</v>
      </c>
      <c r="H128" t="s">
        <v>1661</v>
      </c>
      <c r="I128" t="s">
        <v>1662</v>
      </c>
      <c r="J128">
        <v>0.83099999999999996</v>
      </c>
      <c r="K128" s="48">
        <v>328.34986276303766</v>
      </c>
      <c r="O128">
        <v>1.014</v>
      </c>
      <c r="P128" s="48">
        <v>94.696393316319188</v>
      </c>
      <c r="T128" s="21"/>
      <c r="U128" s="21"/>
      <c r="V128" s="21"/>
      <c r="W128" s="21"/>
      <c r="X128" s="21"/>
      <c r="Y128" s="21"/>
      <c r="AB128" t="e">
        <v>#N/A</v>
      </c>
    </row>
    <row r="129" spans="1:28" x14ac:dyDescent="0.2">
      <c r="A129" t="s">
        <v>1882</v>
      </c>
      <c r="B129">
        <v>558</v>
      </c>
      <c r="C129" t="s">
        <v>1883</v>
      </c>
      <c r="D129" t="s">
        <v>1659</v>
      </c>
      <c r="E129" t="s">
        <v>1660</v>
      </c>
      <c r="F129" t="s">
        <v>732</v>
      </c>
      <c r="G129" t="s">
        <v>126</v>
      </c>
      <c r="H129" t="s">
        <v>1661</v>
      </c>
      <c r="I129" t="s">
        <v>1662</v>
      </c>
      <c r="J129">
        <v>0.84899999999999998</v>
      </c>
      <c r="K129" s="48">
        <v>328.42423259977534</v>
      </c>
      <c r="L129">
        <v>0.13800000000000001</v>
      </c>
      <c r="M129">
        <v>1.236</v>
      </c>
      <c r="N129">
        <v>0.11165048543689321</v>
      </c>
      <c r="O129">
        <v>0.997</v>
      </c>
      <c r="P129" s="48">
        <v>122.06806408810331</v>
      </c>
      <c r="Q129">
        <v>0.11899999999999999</v>
      </c>
      <c r="R129">
        <v>1.0509999999999999</v>
      </c>
      <c r="S129">
        <v>0.11322549952426261</v>
      </c>
      <c r="T129" s="21">
        <v>1.7349382716049384</v>
      </c>
      <c r="U129" s="21">
        <v>0.79979423868312749</v>
      </c>
      <c r="V129" s="21">
        <v>3.1124007936507936</v>
      </c>
      <c r="W129" s="21">
        <v>3.5065476190476188</v>
      </c>
      <c r="X129" s="21">
        <f>AVERAGE(T129:U129)</f>
        <v>1.267366255144033</v>
      </c>
      <c r="Y129" s="21">
        <f>AVERAGE(V129:W129)</f>
        <v>3.309474206349206</v>
      </c>
      <c r="Z129">
        <f t="shared" ref="Z129:Z153" si="24">R129-M129</f>
        <v>-0.18500000000000005</v>
      </c>
      <c r="AA129">
        <f>Y129-X129</f>
        <v>2.042107951205173</v>
      </c>
      <c r="AB129" t="e">
        <v>#N/A</v>
      </c>
    </row>
    <row r="130" spans="1:28" x14ac:dyDescent="0.2">
      <c r="A130" t="s">
        <v>1727</v>
      </c>
      <c r="B130">
        <v>501</v>
      </c>
      <c r="C130" t="s">
        <v>1728</v>
      </c>
      <c r="D130" t="s">
        <v>1659</v>
      </c>
      <c r="E130" t="s">
        <v>1660</v>
      </c>
      <c r="F130" t="s">
        <v>1671</v>
      </c>
      <c r="G130" t="s">
        <v>401</v>
      </c>
      <c r="H130" t="s">
        <v>1661</v>
      </c>
      <c r="I130" t="s">
        <v>1662</v>
      </c>
      <c r="J130">
        <v>0.84599999999999997</v>
      </c>
      <c r="K130" s="48">
        <v>329.54469884000144</v>
      </c>
      <c r="L130">
        <v>0.113</v>
      </c>
      <c r="M130">
        <v>1.198</v>
      </c>
      <c r="N130">
        <v>9.4323873121869795E-2</v>
      </c>
      <c r="O130">
        <v>0.97</v>
      </c>
      <c r="P130" s="48">
        <v>156.77586661706525</v>
      </c>
      <c r="Q130">
        <v>0.112</v>
      </c>
      <c r="R130">
        <v>1.036</v>
      </c>
      <c r="S130">
        <v>0.1081081081081081</v>
      </c>
      <c r="T130" s="21">
        <v>3.0733333333333337</v>
      </c>
      <c r="U130" s="21">
        <v>2.3933333333333335</v>
      </c>
      <c r="V130" s="21">
        <v>2.9907295173961841</v>
      </c>
      <c r="W130" s="21">
        <v>2.8663748597081935</v>
      </c>
      <c r="X130" s="21">
        <f>AVERAGE(T130:U130)</f>
        <v>2.7333333333333334</v>
      </c>
      <c r="Y130" s="21">
        <f>AVERAGE(V130:W130)</f>
        <v>2.9285521885521888</v>
      </c>
      <c r="Z130">
        <f t="shared" si="24"/>
        <v>-0.16199999999999992</v>
      </c>
      <c r="AA130">
        <f>Y130-X130</f>
        <v>0.1952188552188554</v>
      </c>
      <c r="AB130" t="s">
        <v>2179</v>
      </c>
    </row>
    <row r="131" spans="1:28" x14ac:dyDescent="0.2">
      <c r="A131" t="s">
        <v>1685</v>
      </c>
      <c r="B131">
        <v>550</v>
      </c>
      <c r="C131" t="s">
        <v>1686</v>
      </c>
      <c r="D131" t="s">
        <v>1659</v>
      </c>
      <c r="E131" t="s">
        <v>1660</v>
      </c>
      <c r="F131" t="s">
        <v>1687</v>
      </c>
      <c r="G131" t="s">
        <v>145</v>
      </c>
      <c r="H131" t="s">
        <v>1661</v>
      </c>
      <c r="I131" t="s">
        <v>1662</v>
      </c>
      <c r="J131">
        <v>0.84699999999999998</v>
      </c>
      <c r="K131" s="48">
        <v>331.21282947155476</v>
      </c>
      <c r="L131">
        <v>0.14599999999999999</v>
      </c>
      <c r="M131">
        <v>1.452</v>
      </c>
      <c r="N131">
        <v>0.10055096418732783</v>
      </c>
      <c r="O131">
        <v>0.89800000000000002</v>
      </c>
      <c r="P131" s="48">
        <v>260.103609241181</v>
      </c>
      <c r="Q131">
        <v>0.14199999999999999</v>
      </c>
      <c r="R131">
        <v>1.5880000000000001</v>
      </c>
      <c r="S131">
        <v>8.9420654911838773E-2</v>
      </c>
      <c r="T131" s="21">
        <v>4.3767041198501868</v>
      </c>
      <c r="U131" s="21">
        <v>4.3828339575530588</v>
      </c>
      <c r="V131" s="21">
        <v>6.9186936936936947</v>
      </c>
      <c r="W131" s="21">
        <v>5.0152702702702703</v>
      </c>
      <c r="X131" s="21">
        <f>AVERAGE(T131:U131)</f>
        <v>4.3797690387016228</v>
      </c>
      <c r="Y131" s="21">
        <f>AVERAGE(V131:W131)</f>
        <v>5.9669819819819825</v>
      </c>
      <c r="Z131">
        <f t="shared" si="24"/>
        <v>0.13600000000000012</v>
      </c>
      <c r="AA131">
        <f>Y131-X131</f>
        <v>1.5872129432803597</v>
      </c>
      <c r="AB131" t="e">
        <v>#N/A</v>
      </c>
    </row>
    <row r="132" spans="1:28" x14ac:dyDescent="0.2">
      <c r="A132" t="s">
        <v>1984</v>
      </c>
      <c r="B132">
        <v>717</v>
      </c>
      <c r="C132" t="s">
        <v>1985</v>
      </c>
      <c r="D132" t="s">
        <v>1659</v>
      </c>
      <c r="E132" t="s">
        <v>1660</v>
      </c>
      <c r="F132" t="s">
        <v>1671</v>
      </c>
      <c r="G132" t="s">
        <v>297</v>
      </c>
      <c r="H132" t="s">
        <v>1661</v>
      </c>
      <c r="I132" t="s">
        <v>1662</v>
      </c>
      <c r="J132">
        <v>0.85099999999999998</v>
      </c>
      <c r="K132" s="48">
        <v>332.0746750701914</v>
      </c>
      <c r="L132">
        <v>0.10299999999999999</v>
      </c>
      <c r="M132">
        <v>1.117</v>
      </c>
      <c r="N132">
        <v>9.2211280214861233E-2</v>
      </c>
      <c r="O132">
        <v>0.47</v>
      </c>
      <c r="P132" s="48"/>
      <c r="Q132">
        <v>0.157</v>
      </c>
      <c r="R132">
        <v>1.712</v>
      </c>
      <c r="S132">
        <v>9.1705607476635517E-2</v>
      </c>
      <c r="T132" s="21"/>
      <c r="U132" s="21"/>
      <c r="V132" s="21"/>
      <c r="W132" s="21"/>
      <c r="X132" s="21"/>
      <c r="Y132" s="21"/>
      <c r="Z132">
        <f t="shared" si="24"/>
        <v>0.59499999999999997</v>
      </c>
      <c r="AB132" t="s">
        <v>2179</v>
      </c>
    </row>
    <row r="133" spans="1:28" x14ac:dyDescent="0.2">
      <c r="A133" t="s">
        <v>1954</v>
      </c>
      <c r="B133">
        <v>355</v>
      </c>
      <c r="C133" t="s">
        <v>1955</v>
      </c>
      <c r="D133" t="s">
        <v>1659</v>
      </c>
      <c r="E133" t="s">
        <v>1660</v>
      </c>
      <c r="F133" t="s">
        <v>3</v>
      </c>
      <c r="G133" t="s">
        <v>283</v>
      </c>
      <c r="H133" t="s">
        <v>1661</v>
      </c>
      <c r="I133" t="s">
        <v>1662</v>
      </c>
      <c r="J133">
        <v>0.81100000000000005</v>
      </c>
      <c r="K133" s="48">
        <v>332.34959195945368</v>
      </c>
      <c r="L133">
        <v>0.14499999999999999</v>
      </c>
      <c r="M133">
        <v>1.4390000000000001</v>
      </c>
      <c r="N133">
        <v>0.10076441973592772</v>
      </c>
      <c r="O133">
        <v>0.93</v>
      </c>
      <c r="P133" s="48">
        <v>186.15334557858839</v>
      </c>
      <c r="Q133">
        <v>0.14499999999999999</v>
      </c>
      <c r="R133">
        <v>1.3069999999999999</v>
      </c>
      <c r="S133">
        <v>0.11094108645753634</v>
      </c>
      <c r="T133" s="21"/>
      <c r="U133" s="21">
        <v>3.3598432457353624</v>
      </c>
      <c r="V133" s="21">
        <v>4.1839557399723377</v>
      </c>
      <c r="W133" s="21">
        <v>4.2790456431535278</v>
      </c>
      <c r="X133" s="21">
        <f t="shared" ref="X133:X173" si="25">AVERAGE(T133:U133)</f>
        <v>3.3598432457353624</v>
      </c>
      <c r="Y133" s="21">
        <f t="shared" ref="Y133:Y173" si="26">AVERAGE(V133:W133)</f>
        <v>4.2315006915629327</v>
      </c>
      <c r="Z133">
        <f t="shared" si="24"/>
        <v>-0.13200000000000012</v>
      </c>
      <c r="AA133">
        <f t="shared" ref="AA133:AA173" si="27">Y133-X133</f>
        <v>0.87165744582757032</v>
      </c>
      <c r="AB133" t="s">
        <v>2171</v>
      </c>
    </row>
    <row r="134" spans="1:28" x14ac:dyDescent="0.2">
      <c r="A134" t="s">
        <v>2046</v>
      </c>
      <c r="B134">
        <v>713</v>
      </c>
      <c r="C134" t="s">
        <v>2047</v>
      </c>
      <c r="D134" t="s">
        <v>1659</v>
      </c>
      <c r="E134" t="s">
        <v>1660</v>
      </c>
      <c r="F134" t="s">
        <v>1687</v>
      </c>
      <c r="G134" t="s">
        <v>351</v>
      </c>
      <c r="H134" t="s">
        <v>1661</v>
      </c>
      <c r="I134" t="s">
        <v>1662</v>
      </c>
      <c r="J134">
        <v>0.84799999999999998</v>
      </c>
      <c r="K134" s="48">
        <v>336.15062674724533</v>
      </c>
      <c r="L134">
        <v>0.12</v>
      </c>
      <c r="M134">
        <v>1.083</v>
      </c>
      <c r="N134">
        <v>0.11080332409972299</v>
      </c>
      <c r="O134">
        <v>0.90500000000000003</v>
      </c>
      <c r="P134" s="48">
        <v>250.34352018995361</v>
      </c>
      <c r="Q134">
        <v>0.14199999999999999</v>
      </c>
      <c r="R134">
        <v>1.4670000000000001</v>
      </c>
      <c r="S134">
        <v>9.6796182685753226E-2</v>
      </c>
      <c r="T134" s="21">
        <v>3.3281466113416327</v>
      </c>
      <c r="U134" s="21">
        <v>3.4359151682803142</v>
      </c>
      <c r="V134" s="21">
        <v>6.8147763946519149</v>
      </c>
      <c r="W134" s="21">
        <v>5.9906639004149378</v>
      </c>
      <c r="X134" s="21">
        <f t="shared" si="25"/>
        <v>3.3820308898109737</v>
      </c>
      <c r="Y134" s="21">
        <f t="shared" si="26"/>
        <v>6.4027201475334259</v>
      </c>
      <c r="Z134">
        <f t="shared" si="24"/>
        <v>0.38400000000000012</v>
      </c>
      <c r="AA134">
        <f t="shared" si="27"/>
        <v>3.0206892577224522</v>
      </c>
      <c r="AB134" t="s">
        <v>2171</v>
      </c>
    </row>
    <row r="135" spans="1:28" x14ac:dyDescent="0.2">
      <c r="A135" t="s">
        <v>1963</v>
      </c>
      <c r="B135">
        <v>657</v>
      </c>
      <c r="C135" t="s">
        <v>1962</v>
      </c>
      <c r="D135" t="s">
        <v>1659</v>
      </c>
      <c r="E135" t="s">
        <v>1660</v>
      </c>
      <c r="F135" t="s">
        <v>1042</v>
      </c>
      <c r="G135" t="s">
        <v>208</v>
      </c>
      <c r="H135" t="s">
        <v>1661</v>
      </c>
      <c r="I135" t="s">
        <v>1662</v>
      </c>
      <c r="J135">
        <v>0.84599999999999997</v>
      </c>
      <c r="K135" s="48">
        <v>338.85038356187079</v>
      </c>
      <c r="L135">
        <v>0.17799999999999999</v>
      </c>
      <c r="M135">
        <v>1.661</v>
      </c>
      <c r="N135">
        <v>0.10716435881998795</v>
      </c>
      <c r="O135">
        <v>0.89800000000000002</v>
      </c>
      <c r="P135" s="48">
        <v>267.31095571867206</v>
      </c>
      <c r="Q135">
        <v>0.17</v>
      </c>
      <c r="R135">
        <v>1.5309999999999999</v>
      </c>
      <c r="S135">
        <v>0.11103853690398434</v>
      </c>
      <c r="T135" s="21">
        <v>1.7948717948717949</v>
      </c>
      <c r="U135" s="42">
        <v>5.7264957264957266</v>
      </c>
      <c r="V135" s="42">
        <v>0.56944444444444442</v>
      </c>
      <c r="W135" s="21">
        <v>2.0955555555555554</v>
      </c>
      <c r="X135" s="21">
        <f t="shared" si="25"/>
        <v>3.7606837606837606</v>
      </c>
      <c r="Y135" s="21">
        <f t="shared" si="26"/>
        <v>1.3325</v>
      </c>
      <c r="Z135">
        <f t="shared" si="24"/>
        <v>-0.13000000000000012</v>
      </c>
      <c r="AA135">
        <f t="shared" si="27"/>
        <v>-2.4281837606837606</v>
      </c>
      <c r="AB135" t="e">
        <v>#N/A</v>
      </c>
    </row>
    <row r="136" spans="1:28" x14ac:dyDescent="0.2">
      <c r="A136" t="s">
        <v>2035</v>
      </c>
      <c r="B136">
        <v>237</v>
      </c>
      <c r="C136" t="s">
        <v>2036</v>
      </c>
      <c r="D136" t="s">
        <v>1659</v>
      </c>
      <c r="E136" t="s">
        <v>1660</v>
      </c>
      <c r="F136" t="s">
        <v>16</v>
      </c>
      <c r="G136" t="s">
        <v>433</v>
      </c>
      <c r="H136" t="s">
        <v>1661</v>
      </c>
      <c r="I136" t="s">
        <v>1662</v>
      </c>
      <c r="J136">
        <v>0.82199999999999995</v>
      </c>
      <c r="K136" s="48">
        <v>339.84101699812226</v>
      </c>
      <c r="L136">
        <v>0.16</v>
      </c>
      <c r="M136">
        <v>1.4239999999999999</v>
      </c>
      <c r="N136">
        <v>0.11235955056179776</v>
      </c>
      <c r="O136">
        <v>0.79700000000000004</v>
      </c>
      <c r="P136" s="48">
        <v>371.7608898733568</v>
      </c>
      <c r="Q136">
        <v>0.216</v>
      </c>
      <c r="R136">
        <v>1.8540000000000001</v>
      </c>
      <c r="S136">
        <v>0.11650485436893203</v>
      </c>
      <c r="T136" s="21">
        <v>4.35511756569848</v>
      </c>
      <c r="U136" s="21">
        <v>5.8955739972337504</v>
      </c>
      <c r="V136" s="21">
        <v>3.8352927616413104</v>
      </c>
      <c r="W136" s="21">
        <v>4.1205624711848783</v>
      </c>
      <c r="X136" s="21">
        <f t="shared" si="25"/>
        <v>5.1253457814661152</v>
      </c>
      <c r="Y136" s="21">
        <f t="shared" si="26"/>
        <v>3.9779276164130941</v>
      </c>
      <c r="Z136">
        <f t="shared" si="24"/>
        <v>0.43000000000000016</v>
      </c>
      <c r="AA136">
        <f t="shared" si="27"/>
        <v>-1.1474181650530211</v>
      </c>
      <c r="AB136" t="s">
        <v>2174</v>
      </c>
    </row>
    <row r="137" spans="1:28" x14ac:dyDescent="0.2">
      <c r="A137" t="s">
        <v>1878</v>
      </c>
      <c r="B137">
        <v>711</v>
      </c>
      <c r="C137" t="s">
        <v>1879</v>
      </c>
      <c r="D137" t="s">
        <v>1659</v>
      </c>
      <c r="E137" t="s">
        <v>1660</v>
      </c>
      <c r="F137" t="s">
        <v>777</v>
      </c>
      <c r="G137" t="s">
        <v>373</v>
      </c>
      <c r="H137" t="s">
        <v>1661</v>
      </c>
      <c r="I137" t="s">
        <v>1662</v>
      </c>
      <c r="J137">
        <v>0.84299999999999997</v>
      </c>
      <c r="K137" s="48">
        <v>342.94387954233508</v>
      </c>
      <c r="L137">
        <v>0.14299999999999999</v>
      </c>
      <c r="M137">
        <v>1.7629999999999999</v>
      </c>
      <c r="N137">
        <v>8.1111741349971636E-2</v>
      </c>
      <c r="O137">
        <v>0.88800000000000001</v>
      </c>
      <c r="P137" s="48">
        <v>265.48326035228052</v>
      </c>
      <c r="Q137">
        <v>0.14799999999999999</v>
      </c>
      <c r="R137">
        <v>1.8480000000000001</v>
      </c>
      <c r="S137">
        <v>8.0086580086580081E-2</v>
      </c>
      <c r="T137" s="21">
        <v>2.8951375137513748</v>
      </c>
      <c r="U137" s="21">
        <v>4.224422442244224</v>
      </c>
      <c r="V137" s="21">
        <v>4.1796842105263163</v>
      </c>
      <c r="W137" s="21">
        <v>6.0845497076023403</v>
      </c>
      <c r="X137" s="21">
        <f t="shared" si="25"/>
        <v>3.5597799779977994</v>
      </c>
      <c r="Y137" s="21">
        <f t="shared" si="26"/>
        <v>5.1321169590643283</v>
      </c>
      <c r="Z137">
        <f t="shared" si="24"/>
        <v>8.5000000000000187E-2</v>
      </c>
      <c r="AA137">
        <f t="shared" si="27"/>
        <v>1.5723369810665289</v>
      </c>
      <c r="AB137" t="s">
        <v>2171</v>
      </c>
    </row>
    <row r="138" spans="1:28" x14ac:dyDescent="0.2">
      <c r="A138" t="s">
        <v>2031</v>
      </c>
      <c r="B138">
        <v>467</v>
      </c>
      <c r="C138" t="s">
        <v>2032</v>
      </c>
      <c r="D138" t="s">
        <v>1659</v>
      </c>
      <c r="E138" t="s">
        <v>1660</v>
      </c>
      <c r="F138" t="s">
        <v>938</v>
      </c>
      <c r="G138" t="s">
        <v>190</v>
      </c>
      <c r="H138" t="s">
        <v>1661</v>
      </c>
      <c r="I138" t="s">
        <v>1662</v>
      </c>
      <c r="J138">
        <v>0.83599999999999997</v>
      </c>
      <c r="K138" s="48">
        <v>343.47766918056078</v>
      </c>
      <c r="L138">
        <v>9.9000000000000005E-2</v>
      </c>
      <c r="M138">
        <v>0.997</v>
      </c>
      <c r="N138">
        <v>9.9297893681043137E-2</v>
      </c>
      <c r="O138">
        <v>0.90800000000000003</v>
      </c>
      <c r="P138" s="48">
        <v>243.16028272853336</v>
      </c>
      <c r="Q138">
        <v>0.111</v>
      </c>
      <c r="R138">
        <v>1.012</v>
      </c>
      <c r="S138">
        <v>0.10968379446640317</v>
      </c>
      <c r="T138" s="21">
        <v>3.0327160493827159</v>
      </c>
      <c r="U138" s="21">
        <v>2.3611111111111112</v>
      </c>
      <c r="V138" s="21">
        <v>3.4472934472934473</v>
      </c>
      <c r="W138" s="21">
        <v>4.183760683760684</v>
      </c>
      <c r="X138" s="21">
        <f t="shared" si="25"/>
        <v>2.6969135802469135</v>
      </c>
      <c r="Y138" s="21">
        <f t="shared" si="26"/>
        <v>3.8155270655270659</v>
      </c>
      <c r="Z138">
        <f t="shared" si="24"/>
        <v>1.5000000000000013E-2</v>
      </c>
      <c r="AA138">
        <f t="shared" si="27"/>
        <v>1.1186134852801524</v>
      </c>
      <c r="AB138" t="s">
        <v>2171</v>
      </c>
    </row>
    <row r="139" spans="1:28" x14ac:dyDescent="0.2">
      <c r="A139" t="s">
        <v>1893</v>
      </c>
      <c r="B139">
        <v>350</v>
      </c>
      <c r="C139" t="s">
        <v>1894</v>
      </c>
      <c r="D139" t="s">
        <v>1659</v>
      </c>
      <c r="E139" t="s">
        <v>1660</v>
      </c>
      <c r="F139" t="s">
        <v>15</v>
      </c>
      <c r="G139" t="s">
        <v>204</v>
      </c>
      <c r="H139" t="s">
        <v>1661</v>
      </c>
      <c r="I139" t="s">
        <v>1662</v>
      </c>
      <c r="J139">
        <v>0.80200000000000005</v>
      </c>
      <c r="K139" s="48">
        <v>343.83334765054559</v>
      </c>
      <c r="L139">
        <v>0.14599999999999999</v>
      </c>
      <c r="M139">
        <v>1.37</v>
      </c>
      <c r="N139">
        <v>0.10656934306569342</v>
      </c>
      <c r="O139">
        <v>0.81699999999999995</v>
      </c>
      <c r="P139" s="48">
        <v>346.22499157316912</v>
      </c>
      <c r="Q139">
        <v>0.16500000000000001</v>
      </c>
      <c r="R139">
        <v>1.7030000000000001</v>
      </c>
      <c r="S139">
        <v>9.6887844979448037E-2</v>
      </c>
      <c r="T139" s="21">
        <v>3.1148571428571432</v>
      </c>
      <c r="U139" s="21">
        <v>2.1243148688046647</v>
      </c>
      <c r="V139" s="21">
        <v>3.6360000000000001</v>
      </c>
      <c r="W139" s="21">
        <v>3.5686666666666671</v>
      </c>
      <c r="X139" s="21">
        <f t="shared" si="25"/>
        <v>2.6195860058309037</v>
      </c>
      <c r="Y139" s="21">
        <f t="shared" si="26"/>
        <v>3.6023333333333336</v>
      </c>
      <c r="Z139">
        <f t="shared" si="24"/>
        <v>0.33299999999999996</v>
      </c>
      <c r="AA139">
        <f t="shared" si="27"/>
        <v>0.98274732750242988</v>
      </c>
      <c r="AB139" t="s">
        <v>2171</v>
      </c>
    </row>
    <row r="140" spans="1:28" x14ac:dyDescent="0.2">
      <c r="A140" t="s">
        <v>2089</v>
      </c>
      <c r="B140">
        <v>215</v>
      </c>
      <c r="C140" t="s">
        <v>2090</v>
      </c>
      <c r="D140" t="s">
        <v>1659</v>
      </c>
      <c r="E140" t="s">
        <v>1660</v>
      </c>
      <c r="F140" t="s">
        <v>16</v>
      </c>
      <c r="G140" t="s">
        <v>383</v>
      </c>
      <c r="H140" t="s">
        <v>1661</v>
      </c>
      <c r="I140" t="s">
        <v>1662</v>
      </c>
      <c r="J140">
        <v>0.80600000000000005</v>
      </c>
      <c r="K140" s="48">
        <v>344.32939073946693</v>
      </c>
      <c r="L140">
        <v>0.21299999999999999</v>
      </c>
      <c r="M140">
        <v>2</v>
      </c>
      <c r="N140">
        <v>0.1065</v>
      </c>
      <c r="O140">
        <v>0.92800000000000005</v>
      </c>
      <c r="P140" s="48">
        <v>188.70457211344129</v>
      </c>
      <c r="Q140">
        <v>0.20399999999999999</v>
      </c>
      <c r="R140">
        <v>1.8620000000000001</v>
      </c>
      <c r="S140">
        <v>0.1095596133190118</v>
      </c>
      <c r="T140" s="21">
        <v>2.125</v>
      </c>
      <c r="U140" s="21">
        <v>5.1416666666666666</v>
      </c>
      <c r="V140" s="21"/>
      <c r="W140" s="21">
        <v>8.0635294117647067</v>
      </c>
      <c r="X140" s="21">
        <f t="shared" si="25"/>
        <v>3.6333333333333333</v>
      </c>
      <c r="Y140" s="21">
        <f t="shared" si="26"/>
        <v>8.0635294117647067</v>
      </c>
      <c r="Z140">
        <f t="shared" si="24"/>
        <v>-0.1379999999999999</v>
      </c>
      <c r="AA140">
        <f t="shared" si="27"/>
        <v>4.4301960784313739</v>
      </c>
      <c r="AB140" t="s">
        <v>2171</v>
      </c>
    </row>
    <row r="141" spans="1:28" x14ac:dyDescent="0.2">
      <c r="A141" t="s">
        <v>1972</v>
      </c>
      <c r="B141">
        <v>432</v>
      </c>
      <c r="C141" t="s">
        <v>1973</v>
      </c>
      <c r="D141" t="s">
        <v>1659</v>
      </c>
      <c r="E141" t="s">
        <v>1660</v>
      </c>
      <c r="F141" t="s">
        <v>196</v>
      </c>
      <c r="G141" t="s">
        <v>80</v>
      </c>
      <c r="H141" t="s">
        <v>1661</v>
      </c>
      <c r="I141" t="s">
        <v>1662</v>
      </c>
      <c r="J141">
        <v>0.83299999999999996</v>
      </c>
      <c r="K141" s="48">
        <v>347.6575602827287</v>
      </c>
      <c r="L141">
        <v>0.127</v>
      </c>
      <c r="M141">
        <v>1.4930000000000001</v>
      </c>
      <c r="N141">
        <v>8.506363027461486E-2</v>
      </c>
      <c r="O141">
        <v>0.79700000000000004</v>
      </c>
      <c r="P141" s="48">
        <v>397.81625350874231</v>
      </c>
      <c r="Q141">
        <v>0.13300000000000001</v>
      </c>
      <c r="R141">
        <v>1.5649999999999999</v>
      </c>
      <c r="S141">
        <v>8.4984025559105433E-2</v>
      </c>
      <c r="T141" s="21">
        <v>5.2756892230576442</v>
      </c>
      <c r="U141" s="21">
        <v>6.1403508771929838</v>
      </c>
      <c r="V141" s="21"/>
      <c r="W141" s="21">
        <v>5.4256716417910447</v>
      </c>
      <c r="X141" s="21">
        <f t="shared" si="25"/>
        <v>5.708020050125314</v>
      </c>
      <c r="Y141" s="21">
        <f t="shared" si="26"/>
        <v>5.4256716417910447</v>
      </c>
      <c r="Z141">
        <f t="shared" si="24"/>
        <v>7.1999999999999842E-2</v>
      </c>
      <c r="AA141">
        <f t="shared" si="27"/>
        <v>-0.28234840833426933</v>
      </c>
      <c r="AB141" t="e">
        <v>#N/A</v>
      </c>
    </row>
    <row r="142" spans="1:28" x14ac:dyDescent="0.2">
      <c r="A142" t="s">
        <v>2054</v>
      </c>
      <c r="B142">
        <v>720</v>
      </c>
      <c r="C142" t="s">
        <v>2055</v>
      </c>
      <c r="D142" t="s">
        <v>1659</v>
      </c>
      <c r="E142" t="s">
        <v>1660</v>
      </c>
      <c r="F142" t="s">
        <v>1671</v>
      </c>
      <c r="G142" t="s">
        <v>409</v>
      </c>
      <c r="H142" t="s">
        <v>1661</v>
      </c>
      <c r="I142" t="s">
        <v>1662</v>
      </c>
      <c r="J142">
        <v>0.83799999999999997</v>
      </c>
      <c r="K142" s="48">
        <v>349.7371323374249</v>
      </c>
      <c r="L142">
        <v>0.13</v>
      </c>
      <c r="M142">
        <v>1.2689999999999999</v>
      </c>
      <c r="N142">
        <v>0.10244286840031522</v>
      </c>
      <c r="O142">
        <v>0.87</v>
      </c>
      <c r="P142" s="48">
        <v>299.14396544609201</v>
      </c>
      <c r="Q142">
        <v>0.17499999999999999</v>
      </c>
      <c r="R142">
        <v>1.8180000000000001</v>
      </c>
      <c r="S142">
        <v>9.6259625962596254E-2</v>
      </c>
      <c r="T142" s="21">
        <v>5.4114747474747471</v>
      </c>
      <c r="U142" s="21">
        <v>4.6580808080808085</v>
      </c>
      <c r="V142" s="21">
        <v>1.9759759759759761</v>
      </c>
      <c r="W142" s="21">
        <v>1.6943993993993995</v>
      </c>
      <c r="X142" s="21">
        <f t="shared" si="25"/>
        <v>5.0347777777777782</v>
      </c>
      <c r="Y142" s="21">
        <f t="shared" si="26"/>
        <v>1.8351876876876878</v>
      </c>
      <c r="Z142">
        <f t="shared" si="24"/>
        <v>0.54900000000000015</v>
      </c>
      <c r="AA142">
        <f t="shared" si="27"/>
        <v>-3.1995900900900907</v>
      </c>
      <c r="AB142" t="s">
        <v>2171</v>
      </c>
    </row>
    <row r="143" spans="1:28" x14ac:dyDescent="0.2">
      <c r="A143" t="s">
        <v>1921</v>
      </c>
      <c r="B143">
        <v>456</v>
      </c>
      <c r="C143" t="s">
        <v>1922</v>
      </c>
      <c r="D143" t="s">
        <v>1659</v>
      </c>
      <c r="E143" t="s">
        <v>1660</v>
      </c>
      <c r="F143" t="s">
        <v>645</v>
      </c>
      <c r="G143" t="s">
        <v>332</v>
      </c>
      <c r="H143" t="s">
        <v>1661</v>
      </c>
      <c r="I143" t="s">
        <v>1662</v>
      </c>
      <c r="J143">
        <v>0.83099999999999996</v>
      </c>
      <c r="K143" s="48">
        <v>350.44415435084073</v>
      </c>
      <c r="L143">
        <v>0.13700000000000001</v>
      </c>
      <c r="M143">
        <v>1.3740000000000001</v>
      </c>
      <c r="N143">
        <v>9.9708879184861723E-2</v>
      </c>
      <c r="O143">
        <v>0.78300000000000003</v>
      </c>
      <c r="P143" s="48">
        <v>417.32241198552543</v>
      </c>
      <c r="Q143">
        <v>0.14399999999999999</v>
      </c>
      <c r="R143">
        <v>1.55</v>
      </c>
      <c r="S143">
        <v>9.2903225806451606E-2</v>
      </c>
      <c r="T143" s="21">
        <v>4.7101198709082537</v>
      </c>
      <c r="U143" s="21">
        <v>4.2790456431535278</v>
      </c>
      <c r="V143" s="21">
        <v>7.0366528354080229</v>
      </c>
      <c r="W143" s="21">
        <v>5.3503918856615957</v>
      </c>
      <c r="X143" s="21">
        <f t="shared" si="25"/>
        <v>4.4945827570308907</v>
      </c>
      <c r="Y143" s="21">
        <f t="shared" si="26"/>
        <v>6.1935223605348089</v>
      </c>
      <c r="Z143">
        <f t="shared" si="24"/>
        <v>0.17599999999999993</v>
      </c>
      <c r="AA143">
        <f t="shared" si="27"/>
        <v>1.6989396035039181</v>
      </c>
      <c r="AB143" t="e">
        <v>#N/A</v>
      </c>
    </row>
    <row r="144" spans="1:28" x14ac:dyDescent="0.2">
      <c r="A144" t="s">
        <v>1723</v>
      </c>
      <c r="B144">
        <v>540</v>
      </c>
      <c r="C144" t="s">
        <v>1724</v>
      </c>
      <c r="D144" t="s">
        <v>1659</v>
      </c>
      <c r="E144" t="s">
        <v>1660</v>
      </c>
      <c r="F144" t="s">
        <v>938</v>
      </c>
      <c r="G144" t="s">
        <v>174</v>
      </c>
      <c r="H144" t="s">
        <v>1661</v>
      </c>
      <c r="I144" t="s">
        <v>1662</v>
      </c>
      <c r="J144">
        <v>0.83050000000000002</v>
      </c>
      <c r="K144" s="48">
        <v>354.21875366373445</v>
      </c>
      <c r="L144">
        <v>0.17699999999999999</v>
      </c>
      <c r="M144">
        <v>1.9690000000000001</v>
      </c>
      <c r="N144">
        <v>8.9893346876587094E-2</v>
      </c>
      <c r="O144">
        <v>0.8145</v>
      </c>
      <c r="P144" s="48">
        <v>378.60631624917158</v>
      </c>
      <c r="Q144">
        <v>0.17599999999999999</v>
      </c>
      <c r="R144">
        <v>1.758</v>
      </c>
      <c r="S144">
        <v>0.10011376564277588</v>
      </c>
      <c r="T144" s="21">
        <v>4.1539094650205763</v>
      </c>
      <c r="U144" s="21">
        <v>4.5947325102880656</v>
      </c>
      <c r="V144" s="21">
        <v>6.7044444444444444</v>
      </c>
      <c r="W144" s="21">
        <v>4.511111111111112</v>
      </c>
      <c r="X144" s="21">
        <f t="shared" si="25"/>
        <v>4.374320987654321</v>
      </c>
      <c r="Y144" s="21">
        <f t="shared" si="26"/>
        <v>5.6077777777777786</v>
      </c>
      <c r="Z144">
        <f t="shared" si="24"/>
        <v>-0.21100000000000008</v>
      </c>
      <c r="AA144">
        <f t="shared" si="27"/>
        <v>1.2334567901234577</v>
      </c>
      <c r="AB144" t="s">
        <v>2171</v>
      </c>
    </row>
    <row r="145" spans="1:29" x14ac:dyDescent="0.2">
      <c r="A145" t="s">
        <v>1698</v>
      </c>
      <c r="B145">
        <v>684</v>
      </c>
      <c r="C145" t="s">
        <v>1699</v>
      </c>
      <c r="D145" t="s">
        <v>1659</v>
      </c>
      <c r="E145" t="s">
        <v>1660</v>
      </c>
      <c r="F145" t="s">
        <v>732</v>
      </c>
      <c r="G145" t="s">
        <v>418</v>
      </c>
      <c r="H145" t="s">
        <v>1661</v>
      </c>
      <c r="I145" t="s">
        <v>1662</v>
      </c>
      <c r="J145">
        <v>0.83199999999999996</v>
      </c>
      <c r="K145" s="48">
        <v>358.11099875042441</v>
      </c>
      <c r="L145">
        <v>0.13600000000000001</v>
      </c>
      <c r="M145">
        <v>1.5169999999999999</v>
      </c>
      <c r="N145">
        <v>8.9650626235992098E-2</v>
      </c>
      <c r="O145">
        <v>0.94199999999999995</v>
      </c>
      <c r="P145" s="48">
        <v>198.75447806203553</v>
      </c>
      <c r="Q145">
        <v>0.123</v>
      </c>
      <c r="R145">
        <v>1.258</v>
      </c>
      <c r="S145">
        <v>9.7774244833068361E-2</v>
      </c>
      <c r="T145" s="21">
        <v>0.54986568986568995</v>
      </c>
      <c r="U145" s="21">
        <v>0.75374847374847387</v>
      </c>
      <c r="V145" s="21">
        <v>1.3547463768115942</v>
      </c>
      <c r="W145" s="21">
        <v>1.3094202898550724</v>
      </c>
      <c r="X145" s="21">
        <f t="shared" si="25"/>
        <v>0.65180708180708191</v>
      </c>
      <c r="Y145" s="21">
        <f t="shared" si="26"/>
        <v>1.3320833333333333</v>
      </c>
      <c r="Z145">
        <f t="shared" si="24"/>
        <v>-0.2589999999999999</v>
      </c>
      <c r="AA145">
        <f t="shared" si="27"/>
        <v>0.68027625152625137</v>
      </c>
      <c r="AB145" t="e">
        <v>#N/A</v>
      </c>
      <c r="AC145" s="21"/>
    </row>
    <row r="146" spans="1:29" x14ac:dyDescent="0.2">
      <c r="A146" t="s">
        <v>1943</v>
      </c>
      <c r="B146">
        <v>698</v>
      </c>
      <c r="C146" t="s">
        <v>1944</v>
      </c>
      <c r="D146" t="s">
        <v>1659</v>
      </c>
      <c r="E146" t="s">
        <v>1660</v>
      </c>
      <c r="F146" t="s">
        <v>1687</v>
      </c>
      <c r="G146" t="s">
        <v>158</v>
      </c>
      <c r="H146" t="s">
        <v>1661</v>
      </c>
      <c r="I146" t="s">
        <v>1662</v>
      </c>
      <c r="J146">
        <v>0.83</v>
      </c>
      <c r="K146" s="48">
        <v>360.60633680956835</v>
      </c>
      <c r="L146">
        <v>0.158</v>
      </c>
      <c r="M146">
        <v>1.8540000000000001</v>
      </c>
      <c r="N146">
        <v>8.5221143473570654E-2</v>
      </c>
      <c r="O146">
        <v>0.80600000000000005</v>
      </c>
      <c r="P146" s="48">
        <v>376.8985322662075</v>
      </c>
      <c r="Q146">
        <v>0.155</v>
      </c>
      <c r="R146">
        <v>1.7549999999999999</v>
      </c>
      <c r="S146">
        <v>8.8319088319088329E-2</v>
      </c>
      <c r="T146" s="21">
        <v>4.3584362139917694</v>
      </c>
      <c r="U146" s="21">
        <v>4.3279149519890261</v>
      </c>
      <c r="V146" s="21">
        <v>5.483109243697478</v>
      </c>
      <c r="W146" s="21">
        <v>4.5225210084033618</v>
      </c>
      <c r="X146" s="21">
        <f t="shared" si="25"/>
        <v>4.3431755829903977</v>
      </c>
      <c r="Y146" s="21">
        <f t="shared" si="26"/>
        <v>5.0028151260504199</v>
      </c>
      <c r="Z146">
        <f t="shared" si="24"/>
        <v>-9.9000000000000199E-2</v>
      </c>
      <c r="AA146">
        <f t="shared" si="27"/>
        <v>0.65963954306002215</v>
      </c>
      <c r="AB146" t="s">
        <v>2171</v>
      </c>
    </row>
    <row r="147" spans="1:29" x14ac:dyDescent="0.2">
      <c r="A147" t="s">
        <v>1835</v>
      </c>
      <c r="B147">
        <v>541</v>
      </c>
      <c r="C147" t="s">
        <v>1836</v>
      </c>
      <c r="D147" t="s">
        <v>1659</v>
      </c>
      <c r="E147" t="s">
        <v>1660</v>
      </c>
      <c r="F147" t="s">
        <v>777</v>
      </c>
      <c r="G147" t="s">
        <v>371</v>
      </c>
      <c r="H147" t="s">
        <v>1661</v>
      </c>
      <c r="I147" t="s">
        <v>1662</v>
      </c>
      <c r="J147">
        <v>0.82499999999999996</v>
      </c>
      <c r="K147" s="48">
        <v>361.88739506112773</v>
      </c>
      <c r="L147">
        <v>0.14199999999999999</v>
      </c>
      <c r="M147">
        <v>1.5309999999999999</v>
      </c>
      <c r="N147">
        <v>9.2749836708033967E-2</v>
      </c>
      <c r="O147">
        <v>0.73299999999999998</v>
      </c>
      <c r="P147" s="48">
        <v>490.1628511629778</v>
      </c>
      <c r="Q147">
        <v>0.14199999999999999</v>
      </c>
      <c r="R147">
        <v>1.464</v>
      </c>
      <c r="S147">
        <v>9.699453551912568E-2</v>
      </c>
      <c r="T147" s="21">
        <v>4.4186449864498645</v>
      </c>
      <c r="U147" s="21">
        <v>2.1803794037940376</v>
      </c>
      <c r="V147" s="21">
        <v>4.7406240487062403</v>
      </c>
      <c r="W147" s="21">
        <v>4.5626484018264843</v>
      </c>
      <c r="X147" s="21">
        <f t="shared" si="25"/>
        <v>3.299512195121951</v>
      </c>
      <c r="Y147" s="21">
        <f t="shared" si="26"/>
        <v>4.6516362252663619</v>
      </c>
      <c r="Z147">
        <f t="shared" si="24"/>
        <v>-6.6999999999999948E-2</v>
      </c>
      <c r="AA147">
        <f t="shared" si="27"/>
        <v>1.3521240301444108</v>
      </c>
      <c r="AB147" t="e">
        <v>#N/A</v>
      </c>
    </row>
    <row r="148" spans="1:29" x14ac:dyDescent="0.2">
      <c r="A148" t="s">
        <v>1853</v>
      </c>
      <c r="B148">
        <v>621</v>
      </c>
      <c r="C148" t="s">
        <v>1854</v>
      </c>
      <c r="D148" t="s">
        <v>1659</v>
      </c>
      <c r="E148" t="s">
        <v>1660</v>
      </c>
      <c r="F148" t="s">
        <v>777</v>
      </c>
      <c r="G148" t="s">
        <v>224</v>
      </c>
      <c r="H148" t="s">
        <v>1661</v>
      </c>
      <c r="I148" t="s">
        <v>1662</v>
      </c>
      <c r="J148">
        <v>0.81599999999999995</v>
      </c>
      <c r="K148" s="48">
        <v>363.31130398402144</v>
      </c>
      <c r="L148">
        <v>0.18099999999999999</v>
      </c>
      <c r="M148">
        <v>2.0019999999999998</v>
      </c>
      <c r="N148">
        <v>9.0409590409590415E-2</v>
      </c>
      <c r="O148">
        <v>0.82799999999999996</v>
      </c>
      <c r="P148" s="48">
        <v>357.70449975345872</v>
      </c>
      <c r="Q148">
        <v>0.14899999999999999</v>
      </c>
      <c r="R148">
        <v>1.6839999999999999</v>
      </c>
      <c r="S148">
        <v>8.8479809976247034E-2</v>
      </c>
      <c r="T148" s="21">
        <v>5.3979091995221022</v>
      </c>
      <c r="U148" s="21">
        <v>4.3430704898446839</v>
      </c>
      <c r="V148" s="21">
        <v>4.3090381426202322</v>
      </c>
      <c r="W148" s="21">
        <v>5.6303897180762856</v>
      </c>
      <c r="X148" s="21">
        <f t="shared" si="25"/>
        <v>4.8704898446833926</v>
      </c>
      <c r="Y148" s="21">
        <f t="shared" si="26"/>
        <v>4.9697139303482594</v>
      </c>
      <c r="Z148">
        <f t="shared" si="24"/>
        <v>-0.31799999999999984</v>
      </c>
      <c r="AA148">
        <f t="shared" si="27"/>
        <v>9.9224085664866735E-2</v>
      </c>
      <c r="AB148" t="e">
        <v>#N/A</v>
      </c>
    </row>
    <row r="149" spans="1:29" x14ac:dyDescent="0.2">
      <c r="A149" t="s">
        <v>1743</v>
      </c>
      <c r="B149">
        <v>197</v>
      </c>
      <c r="C149" t="s">
        <v>1744</v>
      </c>
      <c r="D149" t="s">
        <v>1659</v>
      </c>
      <c r="E149" t="s">
        <v>1660</v>
      </c>
      <c r="F149" t="s">
        <v>3</v>
      </c>
      <c r="G149" t="s">
        <v>395</v>
      </c>
      <c r="H149" t="s">
        <v>1661</v>
      </c>
      <c r="I149" t="s">
        <v>1662</v>
      </c>
      <c r="J149">
        <v>0.78800000000000003</v>
      </c>
      <c r="K149" s="48">
        <v>367.29042955314293</v>
      </c>
      <c r="L149">
        <v>0.17199999999999999</v>
      </c>
      <c r="M149">
        <v>1.5880000000000001</v>
      </c>
      <c r="N149">
        <v>0.10831234256926951</v>
      </c>
      <c r="O149">
        <v>0.82099999999999995</v>
      </c>
      <c r="P149" s="48">
        <v>319.58986341379625</v>
      </c>
      <c r="Q149">
        <v>0.157</v>
      </c>
      <c r="R149">
        <v>1.4410000000000001</v>
      </c>
      <c r="S149">
        <v>0.10895211658570436</v>
      </c>
      <c r="T149" s="21">
        <v>5.7633333333333336</v>
      </c>
      <c r="U149" s="21">
        <v>5.9800000000000013</v>
      </c>
      <c r="V149" s="21">
        <v>7.1306666666666665</v>
      </c>
      <c r="W149" s="21">
        <v>5.4328888888888889</v>
      </c>
      <c r="X149" s="21">
        <f t="shared" si="25"/>
        <v>5.8716666666666679</v>
      </c>
      <c r="Y149" s="21">
        <f t="shared" si="26"/>
        <v>6.2817777777777781</v>
      </c>
      <c r="Z149">
        <f t="shared" si="24"/>
        <v>-0.14700000000000002</v>
      </c>
      <c r="AA149">
        <f t="shared" si="27"/>
        <v>0.4101111111111102</v>
      </c>
      <c r="AB149" t="s">
        <v>2171</v>
      </c>
    </row>
    <row r="150" spans="1:29" x14ac:dyDescent="0.2">
      <c r="A150" t="s">
        <v>2037</v>
      </c>
      <c r="B150">
        <v>229</v>
      </c>
      <c r="C150" t="s">
        <v>2038</v>
      </c>
      <c r="D150" t="s">
        <v>1659</v>
      </c>
      <c r="E150" t="s">
        <v>1660</v>
      </c>
      <c r="F150" t="s">
        <v>16</v>
      </c>
      <c r="G150" t="s">
        <v>382</v>
      </c>
      <c r="H150" t="s">
        <v>1661</v>
      </c>
      <c r="I150" t="s">
        <v>1662</v>
      </c>
      <c r="J150">
        <v>0.8</v>
      </c>
      <c r="K150" s="48">
        <v>367.93050512832872</v>
      </c>
      <c r="L150">
        <v>0.16400000000000001</v>
      </c>
      <c r="M150">
        <v>1.5589999999999999</v>
      </c>
      <c r="N150">
        <v>0.10519563822963439</v>
      </c>
      <c r="O150">
        <v>0.85099999999999998</v>
      </c>
      <c r="P150" s="48">
        <v>302.81396446284987</v>
      </c>
      <c r="Q150">
        <v>0.155</v>
      </c>
      <c r="R150">
        <v>1.304</v>
      </c>
      <c r="S150">
        <v>0.11886503067484662</v>
      </c>
      <c r="T150" s="21">
        <v>2.1672514619883048</v>
      </c>
      <c r="U150" s="21">
        <v>2.5178362573099422</v>
      </c>
      <c r="V150" s="21"/>
      <c r="W150" s="21">
        <v>2.9973099415204687</v>
      </c>
      <c r="X150" s="21">
        <f t="shared" si="25"/>
        <v>2.3425438596491235</v>
      </c>
      <c r="Y150" s="21">
        <f t="shared" si="26"/>
        <v>2.9973099415204687</v>
      </c>
      <c r="Z150">
        <f t="shared" si="24"/>
        <v>-0.25499999999999989</v>
      </c>
      <c r="AA150">
        <f t="shared" si="27"/>
        <v>0.65476608187134522</v>
      </c>
      <c r="AB150" t="s">
        <v>2171</v>
      </c>
    </row>
    <row r="151" spans="1:29" x14ac:dyDescent="0.2">
      <c r="A151" t="s">
        <v>2029</v>
      </c>
      <c r="B151">
        <v>496</v>
      </c>
      <c r="C151" t="s">
        <v>2030</v>
      </c>
      <c r="D151" t="s">
        <v>1659</v>
      </c>
      <c r="E151" t="s">
        <v>1660</v>
      </c>
      <c r="F151" t="s">
        <v>1706</v>
      </c>
      <c r="G151" t="s">
        <v>142</v>
      </c>
      <c r="H151" t="s">
        <v>1661</v>
      </c>
      <c r="I151" t="s">
        <v>1662</v>
      </c>
      <c r="J151">
        <v>0.81699999999999995</v>
      </c>
      <c r="K151" s="48">
        <v>369.95031282762386</v>
      </c>
      <c r="L151">
        <v>0.125</v>
      </c>
      <c r="M151">
        <v>1.171</v>
      </c>
      <c r="N151">
        <v>0.1067463706233988</v>
      </c>
      <c r="O151">
        <v>0.88700000000000001</v>
      </c>
      <c r="P151" s="48">
        <v>272.41952044370817</v>
      </c>
      <c r="Q151">
        <v>0.11700000000000001</v>
      </c>
      <c r="R151">
        <v>0.97299999999999998</v>
      </c>
      <c r="S151">
        <v>0.12024665981500515</v>
      </c>
      <c r="T151" s="21">
        <v>3.2716666666666665</v>
      </c>
      <c r="U151" s="21"/>
      <c r="V151" s="21">
        <v>5.9519323671497597</v>
      </c>
      <c r="W151" s="21">
        <v>5.7777294685990341</v>
      </c>
      <c r="X151" s="21">
        <f t="shared" si="25"/>
        <v>3.2716666666666665</v>
      </c>
      <c r="Y151" s="21">
        <f t="shared" si="26"/>
        <v>5.8648309178743965</v>
      </c>
      <c r="Z151">
        <f t="shared" si="24"/>
        <v>-0.19800000000000006</v>
      </c>
      <c r="AA151">
        <f t="shared" si="27"/>
        <v>2.59316425120773</v>
      </c>
      <c r="AB151" t="s">
        <v>2171</v>
      </c>
    </row>
    <row r="152" spans="1:29" x14ac:dyDescent="0.2">
      <c r="A152" t="s">
        <v>2020</v>
      </c>
      <c r="B152">
        <v>693</v>
      </c>
      <c r="C152" t="s">
        <v>2021</v>
      </c>
      <c r="D152" t="s">
        <v>1659</v>
      </c>
      <c r="E152" t="s">
        <v>1660</v>
      </c>
      <c r="F152" t="s">
        <v>24</v>
      </c>
      <c r="G152" t="s">
        <v>269</v>
      </c>
      <c r="H152" t="s">
        <v>1661</v>
      </c>
      <c r="I152" t="s">
        <v>1662</v>
      </c>
      <c r="J152">
        <v>0.82099999999999995</v>
      </c>
      <c r="K152" s="48">
        <v>373.24433925571651</v>
      </c>
      <c r="L152">
        <v>0.13300000000000001</v>
      </c>
      <c r="M152">
        <v>1.111</v>
      </c>
      <c r="N152">
        <v>0.11971197119711972</v>
      </c>
      <c r="O152">
        <v>0.95599999999999996</v>
      </c>
      <c r="P152" s="48">
        <v>189.4163663733074</v>
      </c>
      <c r="Q152">
        <v>0.115</v>
      </c>
      <c r="R152">
        <v>0.95799999999999996</v>
      </c>
      <c r="S152">
        <v>0.12004175365344469</v>
      </c>
      <c r="T152" s="21">
        <v>2.7438596491228071</v>
      </c>
      <c r="U152" s="21">
        <v>1.312280701754386</v>
      </c>
      <c r="V152" s="21">
        <v>5.3059349593495941</v>
      </c>
      <c r="W152" s="21">
        <v>5.1386991869918708</v>
      </c>
      <c r="X152" s="21">
        <f t="shared" si="25"/>
        <v>2.0280701754385966</v>
      </c>
      <c r="Y152" s="21">
        <f t="shared" si="26"/>
        <v>5.222317073170732</v>
      </c>
      <c r="Z152">
        <f t="shared" si="24"/>
        <v>-0.15300000000000002</v>
      </c>
      <c r="AA152">
        <f t="shared" si="27"/>
        <v>3.1942468977321354</v>
      </c>
      <c r="AB152" t="e">
        <v>#N/A</v>
      </c>
    </row>
    <row r="153" spans="1:29" x14ac:dyDescent="0.2">
      <c r="A153" t="s">
        <v>1982</v>
      </c>
      <c r="B153">
        <v>445</v>
      </c>
      <c r="C153" t="s">
        <v>1983</v>
      </c>
      <c r="D153" t="s">
        <v>1659</v>
      </c>
      <c r="E153" t="s">
        <v>1660</v>
      </c>
      <c r="F153" t="s">
        <v>196</v>
      </c>
      <c r="G153" t="s">
        <v>319</v>
      </c>
      <c r="H153" t="s">
        <v>1661</v>
      </c>
      <c r="I153" t="s">
        <v>1662</v>
      </c>
      <c r="J153">
        <v>0.81200000000000006</v>
      </c>
      <c r="K153" s="48">
        <v>376.9167979979033</v>
      </c>
      <c r="L153">
        <v>0.124</v>
      </c>
      <c r="M153">
        <v>1.2130000000000001</v>
      </c>
      <c r="N153">
        <v>0.10222588623248144</v>
      </c>
      <c r="O153">
        <v>0.95</v>
      </c>
      <c r="P153" s="48">
        <v>184.6418072981842</v>
      </c>
      <c r="Q153">
        <v>0.10199999999999999</v>
      </c>
      <c r="R153">
        <v>0.88300000000000001</v>
      </c>
      <c r="S153">
        <v>0.11551528878822197</v>
      </c>
      <c r="T153" s="21">
        <v>5.9994000000000005</v>
      </c>
      <c r="U153" s="21"/>
      <c r="V153" s="21">
        <v>4.589026629935721</v>
      </c>
      <c r="W153" s="21">
        <v>5.0438475665748399</v>
      </c>
      <c r="X153" s="21">
        <f t="shared" si="25"/>
        <v>5.9994000000000005</v>
      </c>
      <c r="Y153" s="21">
        <f t="shared" si="26"/>
        <v>4.81643709825528</v>
      </c>
      <c r="Z153">
        <f t="shared" si="24"/>
        <v>-0.33000000000000007</v>
      </c>
      <c r="AA153">
        <f t="shared" si="27"/>
        <v>-1.1829629017447205</v>
      </c>
      <c r="AB153" t="s">
        <v>2175</v>
      </c>
    </row>
    <row r="154" spans="1:29" x14ac:dyDescent="0.2">
      <c r="A154" t="s">
        <v>1774</v>
      </c>
      <c r="B154">
        <v>334</v>
      </c>
      <c r="C154" t="s">
        <v>1775</v>
      </c>
      <c r="D154" t="s">
        <v>1659</v>
      </c>
      <c r="E154" t="s">
        <v>1660</v>
      </c>
      <c r="F154" t="s">
        <v>15</v>
      </c>
      <c r="G154" t="s">
        <v>199</v>
      </c>
      <c r="H154" t="s">
        <v>1661</v>
      </c>
      <c r="I154" t="s">
        <v>1662</v>
      </c>
      <c r="J154">
        <v>0.78049999999999997</v>
      </c>
      <c r="K154" s="48">
        <v>382.05211184491145</v>
      </c>
      <c r="L154">
        <v>0.19700000000000001</v>
      </c>
      <c r="M154">
        <v>1.6505000000000001</v>
      </c>
      <c r="N154">
        <v>0.11934874620521048</v>
      </c>
      <c r="P154" s="48"/>
      <c r="T154" s="21">
        <v>4.5749360613810746</v>
      </c>
      <c r="U154" s="21">
        <v>4.8368880455407979</v>
      </c>
      <c r="V154" s="21">
        <v>3.9555000000000002</v>
      </c>
      <c r="W154" s="21">
        <v>4.4749090909090903</v>
      </c>
      <c r="X154" s="21">
        <f t="shared" si="25"/>
        <v>4.7059120534609367</v>
      </c>
      <c r="Y154" s="21">
        <f t="shared" si="26"/>
        <v>4.2152045454545455</v>
      </c>
      <c r="AA154">
        <f t="shared" si="27"/>
        <v>-0.49070750800639118</v>
      </c>
      <c r="AB154" t="s">
        <v>2171</v>
      </c>
    </row>
    <row r="155" spans="1:29" x14ac:dyDescent="0.2">
      <c r="A155" t="s">
        <v>1741</v>
      </c>
      <c r="B155">
        <v>199</v>
      </c>
      <c r="C155" t="s">
        <v>1742</v>
      </c>
      <c r="D155" t="s">
        <v>1659</v>
      </c>
      <c r="E155" t="s">
        <v>1660</v>
      </c>
      <c r="F155" t="s">
        <v>3</v>
      </c>
      <c r="G155" t="s">
        <v>394</v>
      </c>
      <c r="H155" t="s">
        <v>1661</v>
      </c>
      <c r="I155" t="s">
        <v>1662</v>
      </c>
      <c r="J155">
        <v>0.77500000000000002</v>
      </c>
      <c r="K155" s="48">
        <v>383.87340202968664</v>
      </c>
      <c r="L155">
        <v>0.16800000000000001</v>
      </c>
      <c r="M155">
        <v>1.593</v>
      </c>
      <c r="N155">
        <v>0.10546139359698682</v>
      </c>
      <c r="O155">
        <v>0.58899999999999997</v>
      </c>
      <c r="P155" s="48">
        <v>615.6155656730524</v>
      </c>
      <c r="Q155">
        <v>0.24199999999999999</v>
      </c>
      <c r="R155">
        <v>2.39</v>
      </c>
      <c r="S155">
        <v>0.10125523012552301</v>
      </c>
      <c r="T155" s="21">
        <v>5.6502525252525242</v>
      </c>
      <c r="U155" s="21">
        <v>4.4570707070707067</v>
      </c>
      <c r="V155" s="21">
        <v>2.1400732600732604</v>
      </c>
      <c r="W155" s="21">
        <v>3.5389743589743587</v>
      </c>
      <c r="X155" s="21">
        <f t="shared" si="25"/>
        <v>5.0536616161616159</v>
      </c>
      <c r="Y155" s="21">
        <f t="shared" si="26"/>
        <v>2.8395238095238096</v>
      </c>
      <c r="Z155">
        <f>R155-M155</f>
        <v>0.79700000000000015</v>
      </c>
      <c r="AA155">
        <f t="shared" si="27"/>
        <v>-2.2141378066378063</v>
      </c>
      <c r="AB155" t="s">
        <v>2171</v>
      </c>
    </row>
    <row r="156" spans="1:29" x14ac:dyDescent="0.2">
      <c r="A156" t="s">
        <v>1704</v>
      </c>
      <c r="B156">
        <v>492</v>
      </c>
      <c r="C156" t="s">
        <v>1705</v>
      </c>
      <c r="D156" t="s">
        <v>1659</v>
      </c>
      <c r="E156" t="s">
        <v>1660</v>
      </c>
      <c r="F156" t="s">
        <v>1706</v>
      </c>
      <c r="G156" t="s">
        <v>346</v>
      </c>
      <c r="H156" t="s">
        <v>1661</v>
      </c>
      <c r="I156" t="s">
        <v>1662</v>
      </c>
      <c r="J156">
        <v>0.80500000000000005</v>
      </c>
      <c r="K156" s="48">
        <v>386.66987723629484</v>
      </c>
      <c r="L156">
        <v>0.13</v>
      </c>
      <c r="M156">
        <v>1.1639999999999999</v>
      </c>
      <c r="N156">
        <v>0.11168384879725086</v>
      </c>
      <c r="P156" s="48"/>
      <c r="T156" s="21">
        <v>4.5600000000000005</v>
      </c>
      <c r="U156" s="21">
        <v>5.7949999999999999</v>
      </c>
      <c r="V156" s="21">
        <v>6.4555555555555566</v>
      </c>
      <c r="W156" s="21">
        <v>6.7417624521072801</v>
      </c>
      <c r="X156" s="21">
        <f t="shared" si="25"/>
        <v>5.1775000000000002</v>
      </c>
      <c r="Y156" s="21">
        <f t="shared" si="26"/>
        <v>6.5986590038314183</v>
      </c>
      <c r="AA156">
        <f t="shared" si="27"/>
        <v>1.4211590038314181</v>
      </c>
      <c r="AB156" t="s">
        <v>2171</v>
      </c>
    </row>
    <row r="157" spans="1:29" x14ac:dyDescent="0.2">
      <c r="A157" t="s">
        <v>2099</v>
      </c>
      <c r="B157">
        <v>601</v>
      </c>
      <c r="C157" t="s">
        <v>2100</v>
      </c>
      <c r="D157" t="s">
        <v>1659</v>
      </c>
      <c r="E157" t="s">
        <v>1660</v>
      </c>
      <c r="F157" t="s">
        <v>732</v>
      </c>
      <c r="G157" t="s">
        <v>133</v>
      </c>
      <c r="H157" t="s">
        <v>1661</v>
      </c>
      <c r="I157" t="s">
        <v>1662</v>
      </c>
      <c r="J157">
        <v>0.79800000000000004</v>
      </c>
      <c r="K157" s="48">
        <v>387.76831489195655</v>
      </c>
      <c r="L157">
        <v>0.121</v>
      </c>
      <c r="M157">
        <v>1.1619999999999999</v>
      </c>
      <c r="N157">
        <v>0.10413080895008606</v>
      </c>
      <c r="O157">
        <v>0.94599999999999995</v>
      </c>
      <c r="P157" s="48">
        <v>201.27456078648834</v>
      </c>
      <c r="Q157">
        <v>9.9000000000000005E-2</v>
      </c>
      <c r="R157">
        <v>0.74</v>
      </c>
      <c r="S157">
        <v>0.13378378378378381</v>
      </c>
      <c r="T157" s="21">
        <v>1.825364583333333</v>
      </c>
      <c r="U157" s="21">
        <v>1.7470486111111108</v>
      </c>
      <c r="V157" s="21">
        <v>1.4205050505050507</v>
      </c>
      <c r="W157" s="21">
        <v>1.603636363636364</v>
      </c>
      <c r="X157" s="21">
        <f t="shared" si="25"/>
        <v>1.7862065972222219</v>
      </c>
      <c r="Y157" s="21">
        <f t="shared" si="26"/>
        <v>1.5120707070707073</v>
      </c>
      <c r="Z157">
        <f t="shared" ref="Z157:Z171" si="28">R157-M157</f>
        <v>-0.42199999999999993</v>
      </c>
      <c r="AA157">
        <f t="shared" si="27"/>
        <v>-0.27413589015151452</v>
      </c>
      <c r="AB157" t="e">
        <v>#N/A</v>
      </c>
    </row>
    <row r="158" spans="1:29" x14ac:dyDescent="0.2">
      <c r="A158" t="s">
        <v>1899</v>
      </c>
      <c r="B158">
        <v>279</v>
      </c>
      <c r="C158" t="s">
        <v>1900</v>
      </c>
      <c r="D158" t="s">
        <v>1659</v>
      </c>
      <c r="E158" t="s">
        <v>1660</v>
      </c>
      <c r="F158" t="s">
        <v>1677</v>
      </c>
      <c r="G158" t="s">
        <v>139</v>
      </c>
      <c r="H158" t="s">
        <v>1661</v>
      </c>
      <c r="I158" t="s">
        <v>1662</v>
      </c>
      <c r="J158">
        <v>0.78200000000000003</v>
      </c>
      <c r="K158" s="48">
        <v>390.91281359849768</v>
      </c>
      <c r="L158">
        <v>0.121</v>
      </c>
      <c r="M158">
        <v>1.399</v>
      </c>
      <c r="N158">
        <v>8.6490350250178691E-2</v>
      </c>
      <c r="O158">
        <v>0.88700000000000001</v>
      </c>
      <c r="P158" s="48">
        <v>256.84934752251172</v>
      </c>
      <c r="Q158">
        <v>0.10299999999999999</v>
      </c>
      <c r="R158">
        <v>0.91500000000000004</v>
      </c>
      <c r="S158">
        <v>0.11256830601092895</v>
      </c>
      <c r="T158" s="21">
        <v>5.0789473684210531</v>
      </c>
      <c r="U158" s="21">
        <v>4.8757894736842102</v>
      </c>
      <c r="V158" s="21">
        <v>6.3372222222222225</v>
      </c>
      <c r="W158" s="21">
        <v>6.1338888888888894</v>
      </c>
      <c r="X158" s="21">
        <f t="shared" si="25"/>
        <v>4.9773684210526312</v>
      </c>
      <c r="Y158" s="21">
        <f t="shared" si="26"/>
        <v>6.235555555555556</v>
      </c>
      <c r="Z158">
        <f t="shared" si="28"/>
        <v>-0.48399999999999999</v>
      </c>
      <c r="AA158">
        <f t="shared" si="27"/>
        <v>1.2581871345029247</v>
      </c>
      <c r="AB158" t="s">
        <v>2171</v>
      </c>
    </row>
    <row r="159" spans="1:29" x14ac:dyDescent="0.2">
      <c r="A159" t="s">
        <v>2050</v>
      </c>
      <c r="B159">
        <v>451</v>
      </c>
      <c r="C159" t="s">
        <v>2051</v>
      </c>
      <c r="D159" t="s">
        <v>1659</v>
      </c>
      <c r="E159" t="s">
        <v>1660</v>
      </c>
      <c r="F159" t="s">
        <v>196</v>
      </c>
      <c r="G159" t="s">
        <v>322</v>
      </c>
      <c r="H159" t="s">
        <v>1661</v>
      </c>
      <c r="I159" t="s">
        <v>1662</v>
      </c>
      <c r="J159">
        <v>0.79900000000000004</v>
      </c>
      <c r="K159" s="48">
        <v>395.02965944063055</v>
      </c>
      <c r="L159">
        <v>0.11799999999999999</v>
      </c>
      <c r="M159">
        <v>1.151</v>
      </c>
      <c r="N159">
        <v>0.10251954821894005</v>
      </c>
      <c r="O159">
        <v>1.0029999999999999</v>
      </c>
      <c r="P159" s="48">
        <v>110.79706449321955</v>
      </c>
      <c r="Q159">
        <v>0.10100000000000001</v>
      </c>
      <c r="R159">
        <v>0.94499999999999995</v>
      </c>
      <c r="S159">
        <v>0.10687830687830689</v>
      </c>
      <c r="T159" s="21">
        <v>5.7438095238095235</v>
      </c>
      <c r="U159" s="21">
        <v>5.4795238095238101</v>
      </c>
      <c r="V159" s="21">
        <v>6.1792562724014344</v>
      </c>
      <c r="W159" s="21">
        <v>5.8872759856630843</v>
      </c>
      <c r="X159" s="21">
        <f t="shared" si="25"/>
        <v>5.6116666666666664</v>
      </c>
      <c r="Y159" s="21">
        <f t="shared" si="26"/>
        <v>6.0332661290322598</v>
      </c>
      <c r="Z159">
        <f t="shared" si="28"/>
        <v>-0.20600000000000007</v>
      </c>
      <c r="AA159">
        <f t="shared" si="27"/>
        <v>0.42159946236559342</v>
      </c>
      <c r="AB159" t="s">
        <v>2171</v>
      </c>
    </row>
    <row r="160" spans="1:29" x14ac:dyDescent="0.2">
      <c r="A160" t="s">
        <v>2107</v>
      </c>
      <c r="B160">
        <v>512</v>
      </c>
      <c r="C160" t="s">
        <v>2108</v>
      </c>
      <c r="D160" t="s">
        <v>1659</v>
      </c>
      <c r="E160" t="s">
        <v>1660</v>
      </c>
      <c r="F160" t="s">
        <v>1687</v>
      </c>
      <c r="G160" t="s">
        <v>354</v>
      </c>
      <c r="H160" t="s">
        <v>1661</v>
      </c>
      <c r="I160" t="s">
        <v>1662</v>
      </c>
      <c r="J160">
        <v>0.8</v>
      </c>
      <c r="K160" s="48">
        <v>396.7448559583695</v>
      </c>
      <c r="L160">
        <v>0.154</v>
      </c>
      <c r="M160">
        <v>1.506</v>
      </c>
      <c r="N160">
        <v>0.10225763612217795</v>
      </c>
      <c r="O160">
        <v>0.91800000000000004</v>
      </c>
      <c r="P160" s="48">
        <v>229.227312387974</v>
      </c>
      <c r="Q160">
        <v>0.14199999999999999</v>
      </c>
      <c r="R160">
        <v>1.4650000000000001</v>
      </c>
      <c r="S160">
        <v>9.6928327645051174E-2</v>
      </c>
      <c r="T160" s="21">
        <v>5.3797777777777771</v>
      </c>
      <c r="U160" s="21"/>
      <c r="V160" s="21">
        <v>6.7460846560846557</v>
      </c>
      <c r="W160" s="21">
        <v>7.2140211640211636</v>
      </c>
      <c r="X160" s="21">
        <f t="shared" si="25"/>
        <v>5.3797777777777771</v>
      </c>
      <c r="Y160" s="21">
        <f t="shared" si="26"/>
        <v>6.9800529100529101</v>
      </c>
      <c r="Z160">
        <f t="shared" si="28"/>
        <v>-4.0999999999999925E-2</v>
      </c>
      <c r="AA160">
        <f t="shared" si="27"/>
        <v>1.600275132275133</v>
      </c>
      <c r="AB160" t="e">
        <v>#N/A</v>
      </c>
    </row>
    <row r="161" spans="1:28" x14ac:dyDescent="0.2">
      <c r="A161" t="s">
        <v>1809</v>
      </c>
      <c r="B161">
        <v>340</v>
      </c>
      <c r="C161" t="s">
        <v>1810</v>
      </c>
      <c r="D161" t="s">
        <v>1659</v>
      </c>
      <c r="E161" t="s">
        <v>1660</v>
      </c>
      <c r="F161" t="s">
        <v>15</v>
      </c>
      <c r="G161" t="s">
        <v>201</v>
      </c>
      <c r="H161" t="s">
        <v>1661</v>
      </c>
      <c r="I161" t="s">
        <v>1662</v>
      </c>
      <c r="J161">
        <v>0.77400000000000002</v>
      </c>
      <c r="K161" s="48">
        <v>401.12717291857291</v>
      </c>
      <c r="L161">
        <v>0.17399999999999999</v>
      </c>
      <c r="M161">
        <v>1.5229999999999999</v>
      </c>
      <c r="N161">
        <v>0.11424819435325016</v>
      </c>
      <c r="O161">
        <v>0.84499999999999997</v>
      </c>
      <c r="P161" s="48">
        <v>288.96651490421789</v>
      </c>
      <c r="Q161">
        <v>0.157</v>
      </c>
      <c r="R161">
        <v>1.421</v>
      </c>
      <c r="S161">
        <v>0.11048557353976073</v>
      </c>
      <c r="T161" s="21">
        <v>1.8287500000000003</v>
      </c>
      <c r="U161" s="21">
        <v>2.8233333333333337</v>
      </c>
      <c r="V161" s="21">
        <v>2.8890196078431374</v>
      </c>
      <c r="W161" s="21">
        <v>1.4990196078431373</v>
      </c>
      <c r="X161" s="21">
        <f t="shared" si="25"/>
        <v>2.3260416666666668</v>
      </c>
      <c r="Y161" s="21">
        <f t="shared" si="26"/>
        <v>2.1940196078431375</v>
      </c>
      <c r="Z161">
        <f t="shared" si="28"/>
        <v>-0.10199999999999987</v>
      </c>
      <c r="AA161">
        <f t="shared" si="27"/>
        <v>-0.13202205882352924</v>
      </c>
      <c r="AB161" t="s">
        <v>2171</v>
      </c>
    </row>
    <row r="162" spans="1:28" x14ac:dyDescent="0.2">
      <c r="A162" t="s">
        <v>1858</v>
      </c>
      <c r="B162">
        <v>680</v>
      </c>
      <c r="C162" t="s">
        <v>1859</v>
      </c>
      <c r="D162" t="s">
        <v>1659</v>
      </c>
      <c r="E162" t="s">
        <v>1660</v>
      </c>
      <c r="F162" t="s">
        <v>777</v>
      </c>
      <c r="G162" t="s">
        <v>372</v>
      </c>
      <c r="H162" t="s">
        <v>1661</v>
      </c>
      <c r="I162" t="s">
        <v>1662</v>
      </c>
      <c r="J162">
        <v>0.8</v>
      </c>
      <c r="K162" s="48">
        <v>402.13526203854667</v>
      </c>
      <c r="L162">
        <v>0.158</v>
      </c>
      <c r="M162">
        <v>2.1419999999999999</v>
      </c>
      <c r="N162">
        <v>7.3762838468720823E-2</v>
      </c>
      <c r="O162">
        <v>0.77600000000000002</v>
      </c>
      <c r="P162" s="48">
        <v>417.66021711276636</v>
      </c>
      <c r="Q162">
        <v>0.14299999999999999</v>
      </c>
      <c r="R162">
        <v>1.8759999999999999</v>
      </c>
      <c r="S162">
        <v>7.6226012793176964E-2</v>
      </c>
      <c r="T162" s="21">
        <v>4.7089285714285714</v>
      </c>
      <c r="U162" s="21">
        <v>3.1178571428571429</v>
      </c>
      <c r="V162" s="21">
        <v>3.8820430107526889</v>
      </c>
      <c r="W162" s="21">
        <v>5.4381362007168468</v>
      </c>
      <c r="X162" s="21">
        <f t="shared" si="25"/>
        <v>3.9133928571428571</v>
      </c>
      <c r="Y162" s="21">
        <f t="shared" si="26"/>
        <v>4.6600896057347683</v>
      </c>
      <c r="Z162">
        <f t="shared" si="28"/>
        <v>-0.26600000000000001</v>
      </c>
      <c r="AA162">
        <f t="shared" si="27"/>
        <v>0.74669674859191115</v>
      </c>
      <c r="AB162" t="s">
        <v>2171</v>
      </c>
    </row>
    <row r="163" spans="1:28" x14ac:dyDescent="0.2">
      <c r="A163" t="s">
        <v>2039</v>
      </c>
      <c r="B163">
        <v>690</v>
      </c>
      <c r="C163" t="s">
        <v>2040</v>
      </c>
      <c r="D163" t="s">
        <v>1659</v>
      </c>
      <c r="E163" t="s">
        <v>1660</v>
      </c>
      <c r="F163" t="s">
        <v>1687</v>
      </c>
      <c r="G163" t="s">
        <v>350</v>
      </c>
      <c r="H163" t="s">
        <v>1661</v>
      </c>
      <c r="I163" t="s">
        <v>1662</v>
      </c>
      <c r="J163">
        <v>0.79800000000000004</v>
      </c>
      <c r="K163" s="48">
        <v>404.8867784940544</v>
      </c>
      <c r="L163">
        <v>0.157</v>
      </c>
      <c r="M163">
        <v>1.5669999999999999</v>
      </c>
      <c r="N163">
        <v>0.1001914486279515</v>
      </c>
      <c r="O163">
        <v>0.78600000000000003</v>
      </c>
      <c r="P163" s="48">
        <v>416.26503406082486</v>
      </c>
      <c r="Q163">
        <v>0.13300000000000001</v>
      </c>
      <c r="R163">
        <v>1.2709999999999999</v>
      </c>
      <c r="S163">
        <v>0.10464201416207712</v>
      </c>
      <c r="T163" s="21">
        <v>4.3424389119409872</v>
      </c>
      <c r="U163" s="21">
        <v>4.1142231443061323</v>
      </c>
      <c r="V163" s="21">
        <v>4.152259105578608</v>
      </c>
      <c r="W163" s="21">
        <v>4.4502074688796682</v>
      </c>
      <c r="X163" s="21">
        <f t="shared" si="25"/>
        <v>4.2283310281235593</v>
      </c>
      <c r="Y163" s="21">
        <f t="shared" si="26"/>
        <v>4.3012332872291381</v>
      </c>
      <c r="Z163">
        <f t="shared" si="28"/>
        <v>-0.29600000000000004</v>
      </c>
      <c r="AA163">
        <f t="shared" si="27"/>
        <v>7.2902259105578793E-2</v>
      </c>
      <c r="AB163" t="e">
        <v>#N/A</v>
      </c>
    </row>
    <row r="164" spans="1:28" x14ac:dyDescent="0.2">
      <c r="A164" t="s">
        <v>1915</v>
      </c>
      <c r="B164">
        <v>195</v>
      </c>
      <c r="C164" t="s">
        <v>1916</v>
      </c>
      <c r="D164" t="s">
        <v>1659</v>
      </c>
      <c r="E164" t="s">
        <v>1660</v>
      </c>
      <c r="F164" t="s">
        <v>3</v>
      </c>
      <c r="G164" t="s">
        <v>282</v>
      </c>
      <c r="H164" t="s">
        <v>1661</v>
      </c>
      <c r="I164" t="s">
        <v>1662</v>
      </c>
      <c r="J164">
        <v>0.755</v>
      </c>
      <c r="K164" s="48">
        <v>409.38566737821543</v>
      </c>
      <c r="L164">
        <v>0.17599999999999999</v>
      </c>
      <c r="M164">
        <v>1.7490000000000001</v>
      </c>
      <c r="N164">
        <v>0.10062893081761005</v>
      </c>
      <c r="O164">
        <v>0.76500000000000001</v>
      </c>
      <c r="P164" s="48">
        <v>396.62953470395104</v>
      </c>
      <c r="Q164">
        <v>0.19800000000000001</v>
      </c>
      <c r="R164">
        <v>1.802</v>
      </c>
      <c r="S164">
        <v>0.10987791342952276</v>
      </c>
      <c r="T164" s="21">
        <v>1.6928339575530587</v>
      </c>
      <c r="U164" s="21">
        <v>1.7635955056179777</v>
      </c>
      <c r="V164" s="21">
        <v>3.5448275862068965</v>
      </c>
      <c r="W164" s="21">
        <v>2.5241379310344829</v>
      </c>
      <c r="X164" s="21">
        <f t="shared" si="25"/>
        <v>1.7282147315855183</v>
      </c>
      <c r="Y164" s="21">
        <f t="shared" si="26"/>
        <v>3.0344827586206895</v>
      </c>
      <c r="Z164">
        <f t="shared" si="28"/>
        <v>5.2999999999999936E-2</v>
      </c>
      <c r="AA164">
        <f t="shared" si="27"/>
        <v>1.3062680270351712</v>
      </c>
      <c r="AB164" t="e">
        <v>#N/A</v>
      </c>
    </row>
    <row r="165" spans="1:28" x14ac:dyDescent="0.2">
      <c r="A165" t="s">
        <v>1672</v>
      </c>
      <c r="B165">
        <v>457</v>
      </c>
      <c r="C165" t="s">
        <v>1673</v>
      </c>
      <c r="D165" t="s">
        <v>1659</v>
      </c>
      <c r="E165" t="s">
        <v>1660</v>
      </c>
      <c r="F165" t="s">
        <v>645</v>
      </c>
      <c r="G165" t="s">
        <v>326</v>
      </c>
      <c r="H165" t="s">
        <v>1661</v>
      </c>
      <c r="I165" t="s">
        <v>1662</v>
      </c>
      <c r="J165">
        <v>0.78600000000000003</v>
      </c>
      <c r="K165" s="48">
        <v>413.14252088335769</v>
      </c>
      <c r="L165">
        <v>0.157</v>
      </c>
      <c r="M165">
        <v>1.516</v>
      </c>
      <c r="N165">
        <v>0.10356200527704486</v>
      </c>
      <c r="O165">
        <v>0.77100000000000002</v>
      </c>
      <c r="P165" s="48">
        <v>434.04197639419681</v>
      </c>
      <c r="Q165">
        <v>0.154</v>
      </c>
      <c r="R165">
        <v>1.415</v>
      </c>
      <c r="S165">
        <v>0.1088339222614841</v>
      </c>
      <c r="T165" s="21">
        <v>3.4929691101890277</v>
      </c>
      <c r="U165" s="21">
        <v>2.3709082526509917</v>
      </c>
      <c r="V165" s="21">
        <v>5.2553019824804066</v>
      </c>
      <c r="W165" s="21">
        <v>6.8591516828031365</v>
      </c>
      <c r="X165" s="21">
        <f t="shared" si="25"/>
        <v>2.9319386814200099</v>
      </c>
      <c r="Y165" s="21">
        <f t="shared" si="26"/>
        <v>6.0572268326417715</v>
      </c>
      <c r="Z165">
        <f t="shared" si="28"/>
        <v>-0.10099999999999998</v>
      </c>
      <c r="AA165">
        <f t="shared" si="27"/>
        <v>3.1252881512217616</v>
      </c>
      <c r="AB165" t="s">
        <v>2174</v>
      </c>
    </row>
    <row r="166" spans="1:28" x14ac:dyDescent="0.2">
      <c r="A166" t="s">
        <v>1711</v>
      </c>
      <c r="B166">
        <v>526</v>
      </c>
      <c r="C166" t="s">
        <v>1712</v>
      </c>
      <c r="D166" t="s">
        <v>1659</v>
      </c>
      <c r="E166" t="s">
        <v>1660</v>
      </c>
      <c r="F166" t="s">
        <v>938</v>
      </c>
      <c r="G166" t="s">
        <v>173</v>
      </c>
      <c r="H166" t="s">
        <v>1661</v>
      </c>
      <c r="I166" t="s">
        <v>1662</v>
      </c>
      <c r="J166">
        <v>0.78800000000000003</v>
      </c>
      <c r="K166" s="48">
        <v>413.47643718904555</v>
      </c>
      <c r="L166">
        <v>0.17599999999999999</v>
      </c>
      <c r="M166">
        <v>1.6579999999999999</v>
      </c>
      <c r="N166">
        <v>0.10615199034981906</v>
      </c>
      <c r="O166">
        <v>0.89900000000000002</v>
      </c>
      <c r="P166" s="48">
        <v>255.69995603503682</v>
      </c>
      <c r="Q166">
        <v>0.14299999999999999</v>
      </c>
      <c r="R166">
        <v>1.621</v>
      </c>
      <c r="S166">
        <v>8.8217149907464515E-2</v>
      </c>
      <c r="T166" s="21">
        <v>3.4260481099656364</v>
      </c>
      <c r="U166" s="21">
        <v>3.469415807560138</v>
      </c>
      <c r="V166" s="21">
        <v>1.8938827838827839</v>
      </c>
      <c r="W166" s="21">
        <v>2.3175702075702076</v>
      </c>
      <c r="X166" s="21">
        <f t="shared" si="25"/>
        <v>3.447731958762887</v>
      </c>
      <c r="Y166" s="21">
        <f t="shared" si="26"/>
        <v>2.1057264957264956</v>
      </c>
      <c r="Z166">
        <f t="shared" si="28"/>
        <v>-3.6999999999999922E-2</v>
      </c>
      <c r="AA166">
        <f t="shared" si="27"/>
        <v>-1.3420054630363913</v>
      </c>
      <c r="AB166" t="s">
        <v>2171</v>
      </c>
    </row>
    <row r="167" spans="1:28" x14ac:dyDescent="0.2">
      <c r="A167" t="s">
        <v>1737</v>
      </c>
      <c r="B167">
        <v>648</v>
      </c>
      <c r="C167" t="s">
        <v>1738</v>
      </c>
      <c r="D167" t="s">
        <v>1659</v>
      </c>
      <c r="E167" t="s">
        <v>1660</v>
      </c>
      <c r="F167" t="s">
        <v>777</v>
      </c>
      <c r="G167" t="s">
        <v>370</v>
      </c>
      <c r="H167" t="s">
        <v>1661</v>
      </c>
      <c r="I167" t="s">
        <v>1662</v>
      </c>
      <c r="J167">
        <v>0.79100000000000004</v>
      </c>
      <c r="K167" s="48">
        <v>414.51708608833121</v>
      </c>
      <c r="L167">
        <v>0.14899999999999999</v>
      </c>
      <c r="M167">
        <v>1.339</v>
      </c>
      <c r="N167">
        <v>0.11127707244212098</v>
      </c>
      <c r="O167">
        <v>1.0669999999999999</v>
      </c>
      <c r="P167" s="48">
        <v>22.271874101146533</v>
      </c>
      <c r="Q167">
        <v>0.14899999999999999</v>
      </c>
      <c r="R167">
        <v>1.365</v>
      </c>
      <c r="S167">
        <v>0.10915750915750916</v>
      </c>
      <c r="T167" s="21">
        <v>2.8333333333333335</v>
      </c>
      <c r="U167" s="21">
        <v>3.9666666666666668</v>
      </c>
      <c r="V167" s="21">
        <v>4.4172016460905352</v>
      </c>
      <c r="W167" s="21">
        <v>4.0088888888888894</v>
      </c>
      <c r="X167" s="21">
        <f t="shared" si="25"/>
        <v>3.4000000000000004</v>
      </c>
      <c r="Y167" s="21">
        <f t="shared" si="26"/>
        <v>4.2130452674897123</v>
      </c>
      <c r="Z167">
        <f t="shared" si="28"/>
        <v>2.6000000000000023E-2</v>
      </c>
      <c r="AA167">
        <f t="shared" si="27"/>
        <v>0.81304526748971195</v>
      </c>
      <c r="AB167" t="s">
        <v>2171</v>
      </c>
    </row>
    <row r="168" spans="1:28" x14ac:dyDescent="0.2">
      <c r="A168" t="s">
        <v>2132</v>
      </c>
      <c r="B168">
        <v>231</v>
      </c>
      <c r="C168" t="s">
        <v>2133</v>
      </c>
      <c r="D168" t="s">
        <v>1659</v>
      </c>
      <c r="E168" t="s">
        <v>1660</v>
      </c>
      <c r="F168" t="s">
        <v>16</v>
      </c>
      <c r="G168" t="s">
        <v>255</v>
      </c>
      <c r="H168" t="s">
        <v>1661</v>
      </c>
      <c r="I168" t="s">
        <v>1662</v>
      </c>
      <c r="J168">
        <v>0.76100000000000001</v>
      </c>
      <c r="K168" s="48">
        <v>417.72550681369495</v>
      </c>
      <c r="L168">
        <v>0.188</v>
      </c>
      <c r="M168">
        <v>1.6459999999999999</v>
      </c>
      <c r="N168">
        <v>0.11421628189550426</v>
      </c>
      <c r="O168">
        <v>0.91200000000000003</v>
      </c>
      <c r="P168" s="48">
        <v>224.92947464727692</v>
      </c>
      <c r="Q168">
        <v>0.153</v>
      </c>
      <c r="R168">
        <v>1.3340000000000001</v>
      </c>
      <c r="S168">
        <v>0.11469265367316341</v>
      </c>
      <c r="T168" s="21">
        <v>3.5712169312169313</v>
      </c>
      <c r="U168" s="21">
        <v>1.9729100529100529</v>
      </c>
      <c r="V168" s="21">
        <v>2.9644444444444447</v>
      </c>
      <c r="W168" s="21">
        <v>3.6033333333333339</v>
      </c>
      <c r="X168" s="21">
        <f t="shared" si="25"/>
        <v>2.7720634920634923</v>
      </c>
      <c r="Y168" s="21">
        <f t="shared" si="26"/>
        <v>3.2838888888888893</v>
      </c>
      <c r="Z168">
        <f t="shared" si="28"/>
        <v>-0.31199999999999983</v>
      </c>
      <c r="AA168">
        <f t="shared" si="27"/>
        <v>0.51182539682539696</v>
      </c>
      <c r="AB168" t="e">
        <v>#N/A</v>
      </c>
    </row>
    <row r="169" spans="1:28" x14ac:dyDescent="0.2">
      <c r="A169" t="s">
        <v>1825</v>
      </c>
      <c r="B169">
        <v>458</v>
      </c>
      <c r="C169" t="s">
        <v>1826</v>
      </c>
      <c r="D169" t="s">
        <v>1659</v>
      </c>
      <c r="E169" t="s">
        <v>1660</v>
      </c>
      <c r="F169" t="s">
        <v>645</v>
      </c>
      <c r="G169" t="s">
        <v>329</v>
      </c>
      <c r="H169" t="s">
        <v>1661</v>
      </c>
      <c r="I169" t="s">
        <v>1662</v>
      </c>
      <c r="J169">
        <v>0.77800000000000002</v>
      </c>
      <c r="K169" s="48">
        <v>424.28889715580522</v>
      </c>
      <c r="L169">
        <v>0.14699999999999999</v>
      </c>
      <c r="M169">
        <v>1.488</v>
      </c>
      <c r="N169">
        <v>9.8790322580645157E-2</v>
      </c>
      <c r="O169">
        <v>0.77600000000000002</v>
      </c>
      <c r="P169" s="48">
        <v>427.07549122391703</v>
      </c>
      <c r="Q169">
        <v>0.14299999999999999</v>
      </c>
      <c r="R169">
        <v>1.4910000000000001</v>
      </c>
      <c r="S169">
        <v>9.5908786049631101E-2</v>
      </c>
      <c r="T169" s="21">
        <v>4.7427160493827163</v>
      </c>
      <c r="U169" s="21">
        <v>1.8320987654320988</v>
      </c>
      <c r="V169" s="21">
        <v>5.128579234972678</v>
      </c>
      <c r="W169" s="21">
        <v>4.8093442622950819</v>
      </c>
      <c r="X169" s="21">
        <f t="shared" si="25"/>
        <v>3.2874074074074073</v>
      </c>
      <c r="Y169" s="21">
        <f t="shared" si="26"/>
        <v>4.9689617486338804</v>
      </c>
      <c r="Z169">
        <f t="shared" si="28"/>
        <v>3.0000000000001137E-3</v>
      </c>
      <c r="AA169">
        <f t="shared" si="27"/>
        <v>1.6815543412264731</v>
      </c>
      <c r="AB169" t="s">
        <v>2181</v>
      </c>
    </row>
    <row r="170" spans="1:28" x14ac:dyDescent="0.2">
      <c r="A170" t="s">
        <v>1669</v>
      </c>
      <c r="B170">
        <v>716</v>
      </c>
      <c r="C170" t="s">
        <v>1670</v>
      </c>
      <c r="D170" t="s">
        <v>1659</v>
      </c>
      <c r="E170" t="s">
        <v>1660</v>
      </c>
      <c r="F170" t="s">
        <v>1671</v>
      </c>
      <c r="G170" t="s">
        <v>285</v>
      </c>
      <c r="H170" t="s">
        <v>1661</v>
      </c>
      <c r="I170" t="s">
        <v>1662</v>
      </c>
      <c r="J170">
        <v>0.78200000000000003</v>
      </c>
      <c r="K170" s="48">
        <v>425.82156364242962</v>
      </c>
      <c r="L170">
        <v>0.13200000000000001</v>
      </c>
      <c r="M170">
        <v>1.2529999999999999</v>
      </c>
      <c r="N170">
        <v>0.10534716679968079</v>
      </c>
      <c r="O170">
        <v>0.80700000000000005</v>
      </c>
      <c r="P170" s="48">
        <v>392.50495444426986</v>
      </c>
      <c r="Q170">
        <v>0.153</v>
      </c>
      <c r="R170">
        <v>1.7470000000000001</v>
      </c>
      <c r="S170">
        <v>8.7578706353749272E-2</v>
      </c>
      <c r="T170" s="21">
        <v>1.2888383838383837</v>
      </c>
      <c r="U170" s="21">
        <v>2.7530808080808078</v>
      </c>
      <c r="V170" s="21">
        <v>2.1895026455026456</v>
      </c>
      <c r="W170" s="21">
        <v>1.6842328042328039</v>
      </c>
      <c r="X170" s="21">
        <f t="shared" si="25"/>
        <v>2.0209595959595958</v>
      </c>
      <c r="Y170" s="21">
        <f t="shared" si="26"/>
        <v>1.9368677248677248</v>
      </c>
      <c r="Z170">
        <f t="shared" si="28"/>
        <v>0.49400000000000022</v>
      </c>
      <c r="AA170">
        <f t="shared" si="27"/>
        <v>-8.4091871091870996E-2</v>
      </c>
      <c r="AB170" t="s">
        <v>2179</v>
      </c>
    </row>
    <row r="171" spans="1:28" x14ac:dyDescent="0.2">
      <c r="A171" t="s">
        <v>1927</v>
      </c>
      <c r="B171">
        <v>219</v>
      </c>
      <c r="C171" t="s">
        <v>1928</v>
      </c>
      <c r="D171" t="s">
        <v>1659</v>
      </c>
      <c r="E171" t="s">
        <v>1660</v>
      </c>
      <c r="F171" t="s">
        <v>16</v>
      </c>
      <c r="G171" t="s">
        <v>427</v>
      </c>
      <c r="H171" t="s">
        <v>1661</v>
      </c>
      <c r="I171" t="s">
        <v>1662</v>
      </c>
      <c r="J171">
        <v>0.74199999999999999</v>
      </c>
      <c r="K171" s="48">
        <v>425.96863985475915</v>
      </c>
      <c r="L171">
        <v>0.154</v>
      </c>
      <c r="M171">
        <v>1.462</v>
      </c>
      <c r="N171">
        <v>0.10533515731874145</v>
      </c>
      <c r="O171">
        <v>0.98</v>
      </c>
      <c r="P171" s="48">
        <v>122.37268220726635</v>
      </c>
      <c r="Q171">
        <v>0.21199999999999999</v>
      </c>
      <c r="R171">
        <v>1.8169999999999999</v>
      </c>
      <c r="S171">
        <v>0.11667583929554211</v>
      </c>
      <c r="T171" s="21">
        <v>3.0338333333333338</v>
      </c>
      <c r="U171" s="21">
        <v>3.0338333333333338</v>
      </c>
      <c r="V171" s="21">
        <v>2.7817777777777781</v>
      </c>
      <c r="W171" s="21">
        <v>4.9313333333333329</v>
      </c>
      <c r="X171" s="21">
        <f t="shared" si="25"/>
        <v>3.0338333333333338</v>
      </c>
      <c r="Y171" s="21">
        <f t="shared" si="26"/>
        <v>3.8565555555555555</v>
      </c>
      <c r="Z171">
        <f t="shared" si="28"/>
        <v>0.35499999999999998</v>
      </c>
      <c r="AA171">
        <f t="shared" si="27"/>
        <v>0.82272222222222169</v>
      </c>
      <c r="AB171" t="s">
        <v>2183</v>
      </c>
    </row>
    <row r="172" spans="1:28" x14ac:dyDescent="0.2">
      <c r="A172" t="s">
        <v>1692</v>
      </c>
      <c r="B172">
        <v>594</v>
      </c>
      <c r="C172" t="s">
        <v>1693</v>
      </c>
      <c r="D172" t="s">
        <v>1659</v>
      </c>
      <c r="E172" t="s">
        <v>1660</v>
      </c>
      <c r="F172" t="s">
        <v>1687</v>
      </c>
      <c r="G172" t="s">
        <v>146</v>
      </c>
      <c r="H172" t="s">
        <v>1661</v>
      </c>
      <c r="I172" t="s">
        <v>1662</v>
      </c>
      <c r="J172">
        <v>0.76400000000000001</v>
      </c>
      <c r="K172" s="48">
        <v>433.96489105138988</v>
      </c>
      <c r="L172">
        <v>0.156</v>
      </c>
      <c r="M172">
        <v>1.472</v>
      </c>
      <c r="N172">
        <v>0.10597826086956522</v>
      </c>
      <c r="P172" s="48"/>
      <c r="T172" s="21">
        <v>4.9301851851851861</v>
      </c>
      <c r="U172" s="21">
        <v>4.9521296296296304</v>
      </c>
      <c r="V172" s="21">
        <v>5.3434733893557427</v>
      </c>
      <c r="W172" s="21">
        <v>5.1733893557422981</v>
      </c>
      <c r="X172" s="21">
        <f t="shared" si="25"/>
        <v>4.9411574074074078</v>
      </c>
      <c r="Y172" s="21">
        <f t="shared" si="26"/>
        <v>5.2584313725490208</v>
      </c>
      <c r="AA172">
        <f t="shared" si="27"/>
        <v>0.31727396514161299</v>
      </c>
      <c r="AB172" t="e">
        <v>#N/A</v>
      </c>
    </row>
    <row r="173" spans="1:28" x14ac:dyDescent="0.2">
      <c r="A173" t="s">
        <v>1813</v>
      </c>
      <c r="B173">
        <v>544</v>
      </c>
      <c r="C173" t="s">
        <v>1814</v>
      </c>
      <c r="D173" t="s">
        <v>1659</v>
      </c>
      <c r="E173" t="s">
        <v>1660</v>
      </c>
      <c r="F173" t="s">
        <v>777</v>
      </c>
      <c r="G173" t="s">
        <v>221</v>
      </c>
      <c r="H173" t="s">
        <v>1661</v>
      </c>
      <c r="I173" t="s">
        <v>1662</v>
      </c>
      <c r="J173">
        <v>0.77300000000000002</v>
      </c>
      <c r="K173" s="48">
        <v>434.39091372739068</v>
      </c>
      <c r="L173">
        <v>0.129</v>
      </c>
      <c r="M173">
        <v>1.3169999999999999</v>
      </c>
      <c r="N173">
        <v>9.7949886104783612E-2</v>
      </c>
      <c r="O173">
        <v>0.76</v>
      </c>
      <c r="P173" s="48">
        <v>439.39978236426435</v>
      </c>
      <c r="Q173">
        <v>0.13</v>
      </c>
      <c r="R173">
        <v>1.4430000000000001</v>
      </c>
      <c r="S173">
        <v>9.0090090090090086E-2</v>
      </c>
      <c r="T173" s="21">
        <v>2.7136363636363638</v>
      </c>
      <c r="U173" s="21">
        <v>2.0454545454545454</v>
      </c>
      <c r="V173" s="21">
        <v>4.1023391812865491</v>
      </c>
      <c r="W173" s="21">
        <v>3.2953216374269005</v>
      </c>
      <c r="X173" s="21">
        <f t="shared" si="25"/>
        <v>2.3795454545454549</v>
      </c>
      <c r="Y173" s="21">
        <f t="shared" si="26"/>
        <v>3.6988304093567246</v>
      </c>
      <c r="Z173">
        <f>R173-M173</f>
        <v>0.12600000000000011</v>
      </c>
      <c r="AA173">
        <f t="shared" si="27"/>
        <v>1.3192849548112697</v>
      </c>
      <c r="AB173" t="s">
        <v>2171</v>
      </c>
    </row>
    <row r="174" spans="1:28" x14ac:dyDescent="0.2">
      <c r="A174" t="s">
        <v>2120</v>
      </c>
      <c r="B174">
        <v>697</v>
      </c>
      <c r="C174" t="s">
        <v>2121</v>
      </c>
      <c r="D174" t="s">
        <v>1659</v>
      </c>
      <c r="E174" t="s">
        <v>1660</v>
      </c>
      <c r="F174" t="s">
        <v>24</v>
      </c>
      <c r="G174" t="s">
        <v>391</v>
      </c>
      <c r="H174" t="s">
        <v>1661</v>
      </c>
      <c r="I174" t="s">
        <v>1662</v>
      </c>
      <c r="J174">
        <v>0.77400000000000002</v>
      </c>
      <c r="K174" s="48">
        <v>436.69076811457319</v>
      </c>
      <c r="P174" s="48"/>
      <c r="AB174" t="s">
        <v>2171</v>
      </c>
    </row>
    <row r="175" spans="1:28" x14ac:dyDescent="0.2">
      <c r="A175" t="s">
        <v>2114</v>
      </c>
      <c r="B175">
        <v>722</v>
      </c>
      <c r="C175" t="s">
        <v>2115</v>
      </c>
      <c r="D175" t="s">
        <v>1659</v>
      </c>
      <c r="E175" t="s">
        <v>1660</v>
      </c>
      <c r="F175" t="s">
        <v>938</v>
      </c>
      <c r="G175" t="s">
        <v>362</v>
      </c>
      <c r="H175" t="s">
        <v>1661</v>
      </c>
      <c r="I175" t="s">
        <v>1662</v>
      </c>
      <c r="J175">
        <v>0.76900000000000002</v>
      </c>
      <c r="K175" s="48">
        <v>443.484020909663</v>
      </c>
      <c r="L175">
        <v>0.13400000000000001</v>
      </c>
      <c r="M175">
        <v>1.1539999999999999</v>
      </c>
      <c r="N175">
        <v>0.11611785095320626</v>
      </c>
      <c r="O175">
        <v>0.752</v>
      </c>
      <c r="P175" s="48">
        <v>468.1716569707304</v>
      </c>
      <c r="Q175">
        <v>0.12</v>
      </c>
      <c r="R175">
        <v>1.04</v>
      </c>
      <c r="S175">
        <v>0.11538461538461538</v>
      </c>
      <c r="T175" s="21">
        <v>2.0517489711934158</v>
      </c>
      <c r="U175" s="21">
        <v>1.8842592592592593</v>
      </c>
      <c r="V175" s="21">
        <v>4.1087704918032788</v>
      </c>
      <c r="W175" s="21">
        <v>5.0681147540983593</v>
      </c>
      <c r="X175" s="21">
        <f>AVERAGE(T175:U175)</f>
        <v>1.9680041152263374</v>
      </c>
      <c r="Y175" s="21">
        <f t="shared" ref="Y175:Y180" si="29">AVERAGE(V175:W175)</f>
        <v>4.5884426229508186</v>
      </c>
      <c r="Z175">
        <f t="shared" ref="Z175:Z181" si="30">R175-M175</f>
        <v>-0.11399999999999988</v>
      </c>
      <c r="AA175">
        <f t="shared" ref="AA175:AA180" si="31">Y175-X175</f>
        <v>2.6204385077244812</v>
      </c>
      <c r="AB175" t="s">
        <v>2171</v>
      </c>
    </row>
    <row r="176" spans="1:28" x14ac:dyDescent="0.2">
      <c r="A176" t="s">
        <v>1748</v>
      </c>
      <c r="B176">
        <v>359</v>
      </c>
      <c r="C176" t="s">
        <v>1749</v>
      </c>
      <c r="D176" t="s">
        <v>1659</v>
      </c>
      <c r="E176" t="s">
        <v>1660</v>
      </c>
      <c r="F176" t="s">
        <v>3</v>
      </c>
      <c r="G176" t="s">
        <v>281</v>
      </c>
      <c r="H176" t="s">
        <v>1661</v>
      </c>
      <c r="I176" t="s">
        <v>1662</v>
      </c>
      <c r="J176">
        <v>0.72299999999999998</v>
      </c>
      <c r="K176" s="48">
        <v>444.63520316124055</v>
      </c>
      <c r="L176">
        <v>0.20200000000000001</v>
      </c>
      <c r="M176">
        <v>1.8720000000000001</v>
      </c>
      <c r="N176">
        <v>0.10790598290598291</v>
      </c>
      <c r="O176">
        <v>0.60599999999999998</v>
      </c>
      <c r="P176" s="48">
        <v>593.92402714543437</v>
      </c>
      <c r="Q176">
        <v>0.21</v>
      </c>
      <c r="R176">
        <v>2.4180000000000001</v>
      </c>
      <c r="S176">
        <v>8.6848635235731997E-2</v>
      </c>
      <c r="T176" s="21">
        <v>4.6545777777777779</v>
      </c>
      <c r="U176" s="21">
        <v>4.4284444444444446</v>
      </c>
      <c r="V176" s="21">
        <v>5.6288888888888886</v>
      </c>
      <c r="W176" s="21">
        <v>6.0066666666666668</v>
      </c>
      <c r="X176" s="21">
        <f>AVERAGE(T176:U176)</f>
        <v>4.5415111111111113</v>
      </c>
      <c r="Y176" s="21">
        <f t="shared" si="29"/>
        <v>5.8177777777777777</v>
      </c>
      <c r="Z176">
        <f t="shared" si="30"/>
        <v>0.54600000000000004</v>
      </c>
      <c r="AA176">
        <f t="shared" si="31"/>
        <v>1.2762666666666664</v>
      </c>
      <c r="AB176" t="s">
        <v>2171</v>
      </c>
    </row>
    <row r="177" spans="1:28" x14ac:dyDescent="0.2">
      <c r="A177" t="s">
        <v>1990</v>
      </c>
      <c r="B177">
        <v>589</v>
      </c>
      <c r="C177" t="s">
        <v>1991</v>
      </c>
      <c r="D177" t="s">
        <v>1659</v>
      </c>
      <c r="E177" t="s">
        <v>1660</v>
      </c>
      <c r="F177" t="s">
        <v>196</v>
      </c>
      <c r="G177" t="s">
        <v>320</v>
      </c>
      <c r="H177" t="s">
        <v>1661</v>
      </c>
      <c r="I177" t="s">
        <v>1662</v>
      </c>
      <c r="J177">
        <v>0.75600000000000001</v>
      </c>
      <c r="K177" s="48">
        <v>444.83467367713882</v>
      </c>
      <c r="L177">
        <v>0.152</v>
      </c>
      <c r="M177">
        <v>1.7689999999999999</v>
      </c>
      <c r="N177">
        <v>8.5924250989259474E-2</v>
      </c>
      <c r="O177">
        <v>0.86599999999999999</v>
      </c>
      <c r="P177" s="48">
        <v>295.37516257308982</v>
      </c>
      <c r="Q177">
        <v>0.127</v>
      </c>
      <c r="R177">
        <v>1.345</v>
      </c>
      <c r="S177">
        <v>9.442379182156134E-2</v>
      </c>
      <c r="T177" s="21"/>
      <c r="U177" s="21"/>
      <c r="V177" s="21">
        <v>5.5541520467836261</v>
      </c>
      <c r="W177" s="21">
        <v>5.4690058479532153</v>
      </c>
      <c r="X177" s="21"/>
      <c r="Y177" s="21">
        <f t="shared" si="29"/>
        <v>5.5115789473684202</v>
      </c>
      <c r="Z177">
        <f t="shared" si="30"/>
        <v>-0.42399999999999993</v>
      </c>
      <c r="AA177">
        <f t="shared" si="31"/>
        <v>5.5115789473684202</v>
      </c>
      <c r="AB177" t="s">
        <v>2171</v>
      </c>
    </row>
    <row r="178" spans="1:28" x14ac:dyDescent="0.2">
      <c r="A178" t="s">
        <v>1756</v>
      </c>
      <c r="B178">
        <v>485</v>
      </c>
      <c r="C178" t="s">
        <v>1757</v>
      </c>
      <c r="D178" t="s">
        <v>1659</v>
      </c>
      <c r="E178" t="s">
        <v>1660</v>
      </c>
      <c r="F178" t="s">
        <v>645</v>
      </c>
      <c r="G178" t="s">
        <v>327</v>
      </c>
      <c r="H178" t="s">
        <v>1661</v>
      </c>
      <c r="I178" t="s">
        <v>1662</v>
      </c>
      <c r="J178">
        <v>0.76</v>
      </c>
      <c r="K178" s="48">
        <v>449.36824376881202</v>
      </c>
      <c r="L178">
        <v>0.124</v>
      </c>
      <c r="M178">
        <v>1.262</v>
      </c>
      <c r="N178">
        <v>9.8256735340728998E-2</v>
      </c>
      <c r="O178">
        <v>0.78500000000000003</v>
      </c>
      <c r="P178" s="48">
        <v>414.53581791741368</v>
      </c>
      <c r="Q178">
        <v>0.14599999999999999</v>
      </c>
      <c r="R178">
        <v>1.542</v>
      </c>
      <c r="S178">
        <v>9.4682230869001294E-2</v>
      </c>
      <c r="T178" s="21">
        <v>3.1139412997903562</v>
      </c>
      <c r="U178" s="21">
        <v>3.4406498951781974</v>
      </c>
      <c r="V178" s="21">
        <v>3.0334697855750496</v>
      </c>
      <c r="W178" s="21">
        <v>2.3793177387914239</v>
      </c>
      <c r="X178" s="21">
        <f>AVERAGE(T178:U178)</f>
        <v>3.2772955974842768</v>
      </c>
      <c r="Y178" s="21">
        <f t="shared" si="29"/>
        <v>2.7063937621832368</v>
      </c>
      <c r="Z178">
        <f t="shared" si="30"/>
        <v>0.28000000000000003</v>
      </c>
      <c r="AA178">
        <f t="shared" si="31"/>
        <v>-0.57090183530103999</v>
      </c>
      <c r="AB178" t="e">
        <v>#N/A</v>
      </c>
    </row>
    <row r="179" spans="1:28" x14ac:dyDescent="0.2">
      <c r="A179" t="s">
        <v>1770</v>
      </c>
      <c r="B179">
        <v>460</v>
      </c>
      <c r="C179" t="s">
        <v>1771</v>
      </c>
      <c r="D179" t="s">
        <v>1659</v>
      </c>
      <c r="E179" t="s">
        <v>1660</v>
      </c>
      <c r="F179" t="s">
        <v>938</v>
      </c>
      <c r="G179" t="s">
        <v>357</v>
      </c>
      <c r="H179" t="s">
        <v>1661</v>
      </c>
      <c r="I179" t="s">
        <v>1662</v>
      </c>
      <c r="J179">
        <v>0.76</v>
      </c>
      <c r="K179" s="48">
        <v>449.36824376881202</v>
      </c>
      <c r="L179">
        <v>0.18</v>
      </c>
      <c r="M179">
        <v>2.3410000000000002</v>
      </c>
      <c r="N179">
        <v>7.6890217855617254E-2</v>
      </c>
      <c r="O179">
        <v>0.82799999999999996</v>
      </c>
      <c r="P179" s="48">
        <v>354.62404545300836</v>
      </c>
      <c r="Q179">
        <v>0.14499999999999999</v>
      </c>
      <c r="R179">
        <v>1.6279999999999999</v>
      </c>
      <c r="S179">
        <v>8.9066339066339067E-2</v>
      </c>
      <c r="T179" s="21">
        <v>6.593461538461538</v>
      </c>
      <c r="U179" s="21">
        <v>7.0503561253561253</v>
      </c>
      <c r="V179" s="21">
        <v>5.6942342342342345</v>
      </c>
      <c r="W179" s="21">
        <v>4.7859909909909915</v>
      </c>
      <c r="X179" s="21">
        <f>AVERAGE(T179:U179)</f>
        <v>6.8219088319088321</v>
      </c>
      <c r="Y179" s="21">
        <f t="shared" si="29"/>
        <v>5.240112612612613</v>
      </c>
      <c r="Z179">
        <f t="shared" si="30"/>
        <v>-0.7130000000000003</v>
      </c>
      <c r="AA179">
        <f t="shared" si="31"/>
        <v>-1.5817962192962192</v>
      </c>
      <c r="AB179" t="s">
        <v>2171</v>
      </c>
    </row>
    <row r="180" spans="1:28" x14ac:dyDescent="0.2">
      <c r="A180" t="s">
        <v>2002</v>
      </c>
      <c r="B180">
        <v>700</v>
      </c>
      <c r="C180" t="s">
        <v>2003</v>
      </c>
      <c r="D180" t="s">
        <v>1659</v>
      </c>
      <c r="E180" t="s">
        <v>1660</v>
      </c>
      <c r="F180" t="s">
        <v>1687</v>
      </c>
      <c r="G180" t="s">
        <v>160</v>
      </c>
      <c r="H180" t="s">
        <v>1661</v>
      </c>
      <c r="I180" t="s">
        <v>1662</v>
      </c>
      <c r="J180">
        <v>0.75900000000000001</v>
      </c>
      <c r="K180" s="48">
        <v>457.07052649984234</v>
      </c>
      <c r="L180">
        <v>0.153</v>
      </c>
      <c r="M180">
        <v>1.796</v>
      </c>
      <c r="N180">
        <v>8.5189309576837416E-2</v>
      </c>
      <c r="O180">
        <v>0.87</v>
      </c>
      <c r="P180" s="48">
        <v>299.14396544609201</v>
      </c>
      <c r="Q180">
        <v>0.17</v>
      </c>
      <c r="R180">
        <v>1.903</v>
      </c>
      <c r="S180">
        <v>8.9332632685233851E-2</v>
      </c>
      <c r="T180" s="21">
        <v>4.2137948717948728</v>
      </c>
      <c r="U180" s="21">
        <v>3.6386837606837608</v>
      </c>
      <c r="V180" s="21">
        <v>5.4784722222222237</v>
      </c>
      <c r="W180" s="21">
        <v>5.0368402777777783</v>
      </c>
      <c r="X180" s="21">
        <f>AVERAGE(T180:U180)</f>
        <v>3.9262393162393168</v>
      </c>
      <c r="Y180" s="21">
        <f t="shared" si="29"/>
        <v>5.257656250000001</v>
      </c>
      <c r="Z180">
        <f t="shared" si="30"/>
        <v>0.10699999999999998</v>
      </c>
      <c r="AA180">
        <f t="shared" si="31"/>
        <v>1.3314169337606843</v>
      </c>
      <c r="AB180" t="s">
        <v>2171</v>
      </c>
    </row>
    <row r="181" spans="1:28" x14ac:dyDescent="0.2">
      <c r="A181" t="s">
        <v>1739</v>
      </c>
      <c r="B181">
        <v>646</v>
      </c>
      <c r="C181" t="s">
        <v>1740</v>
      </c>
      <c r="D181" t="s">
        <v>1659</v>
      </c>
      <c r="E181" t="s">
        <v>1660</v>
      </c>
      <c r="F181" t="s">
        <v>777</v>
      </c>
      <c r="G181" t="s">
        <v>218</v>
      </c>
      <c r="H181" t="s">
        <v>1661</v>
      </c>
      <c r="I181" t="s">
        <v>1662</v>
      </c>
      <c r="J181">
        <v>0.76</v>
      </c>
      <c r="K181" s="48">
        <v>457.16559114869972</v>
      </c>
      <c r="L181">
        <v>0.14199999999999999</v>
      </c>
      <c r="M181">
        <v>1.85</v>
      </c>
      <c r="N181">
        <v>7.675675675675675E-2</v>
      </c>
      <c r="O181">
        <v>0.96699999999999997</v>
      </c>
      <c r="P181" s="48">
        <v>158.14415692300889</v>
      </c>
      <c r="Q181">
        <v>0.122</v>
      </c>
      <c r="R181">
        <v>1.5129999999999999</v>
      </c>
      <c r="S181">
        <v>8.0634500991407801E-2</v>
      </c>
      <c r="T181" s="21"/>
      <c r="U181" s="21"/>
      <c r="V181" s="21"/>
      <c r="W181" s="21"/>
      <c r="X181" s="21"/>
      <c r="Y181" s="21"/>
      <c r="Z181">
        <f t="shared" si="30"/>
        <v>-0.33700000000000019</v>
      </c>
      <c r="AB181" t="s">
        <v>2171</v>
      </c>
    </row>
    <row r="182" spans="1:28" x14ac:dyDescent="0.2">
      <c r="A182" t="s">
        <v>2128</v>
      </c>
      <c r="B182">
        <v>714</v>
      </c>
      <c r="C182" t="s">
        <v>2129</v>
      </c>
      <c r="D182" t="s">
        <v>1659</v>
      </c>
      <c r="E182" t="s">
        <v>1660</v>
      </c>
      <c r="F182" t="s">
        <v>1671</v>
      </c>
      <c r="G182" t="s">
        <v>411</v>
      </c>
      <c r="H182" t="s">
        <v>1661</v>
      </c>
      <c r="I182" t="s">
        <v>1662</v>
      </c>
      <c r="J182">
        <v>0.755</v>
      </c>
      <c r="K182" s="48">
        <v>462.50512873591418</v>
      </c>
      <c r="L182">
        <v>0.156</v>
      </c>
      <c r="M182">
        <v>1.476</v>
      </c>
      <c r="N182">
        <v>0.10569105691056911</v>
      </c>
      <c r="O182">
        <v>0.80300000000000005</v>
      </c>
      <c r="P182" s="48">
        <v>380.97470075086335</v>
      </c>
      <c r="Q182">
        <v>0.15</v>
      </c>
      <c r="R182">
        <v>1.464</v>
      </c>
      <c r="S182">
        <v>0.10245901639344263</v>
      </c>
      <c r="T182" s="21"/>
      <c r="U182" s="21"/>
      <c r="V182" s="21">
        <v>3.0618948824343022</v>
      </c>
      <c r="W182" s="21">
        <v>3.3598432457353624</v>
      </c>
      <c r="X182" s="21"/>
      <c r="Y182" s="21">
        <f>AVERAGE(V182:W182)</f>
        <v>3.2108690640848323</v>
      </c>
      <c r="AA182">
        <f>Y182-X182</f>
        <v>3.2108690640848323</v>
      </c>
      <c r="AB182" t="s">
        <v>2179</v>
      </c>
    </row>
    <row r="183" spans="1:28" x14ac:dyDescent="0.2">
      <c r="A183" t="s">
        <v>1937</v>
      </c>
      <c r="B183">
        <v>322</v>
      </c>
      <c r="C183" t="s">
        <v>1938</v>
      </c>
      <c r="D183" t="s">
        <v>1659</v>
      </c>
      <c r="E183" t="s">
        <v>1660</v>
      </c>
      <c r="F183" t="s">
        <v>15</v>
      </c>
      <c r="G183" t="s">
        <v>205</v>
      </c>
      <c r="H183" t="s">
        <v>1661</v>
      </c>
      <c r="I183" t="s">
        <v>1662</v>
      </c>
      <c r="J183">
        <v>0.72299999999999998</v>
      </c>
      <c r="K183" s="48">
        <v>466.24371358405176</v>
      </c>
      <c r="L183">
        <v>0.21</v>
      </c>
      <c r="M183">
        <v>1.9</v>
      </c>
      <c r="N183">
        <v>0.11052631578947368</v>
      </c>
      <c r="P183" s="48"/>
      <c r="T183" s="21">
        <v>2.4099999999999997</v>
      </c>
      <c r="U183" s="21">
        <v>1.9748611111111112</v>
      </c>
      <c r="V183" s="21">
        <v>3.6366013071895424</v>
      </c>
      <c r="W183" s="21">
        <v>2.9568627450980394</v>
      </c>
      <c r="X183" s="21">
        <f>AVERAGE(T183:U183)</f>
        <v>2.1924305555555552</v>
      </c>
      <c r="Y183" s="21">
        <f>AVERAGE(V183:W183)</f>
        <v>3.2967320261437907</v>
      </c>
      <c r="AA183">
        <f>Y183-X183</f>
        <v>1.1043014705882355</v>
      </c>
      <c r="AB183" t="s">
        <v>2171</v>
      </c>
    </row>
    <row r="184" spans="1:28" x14ac:dyDescent="0.2">
      <c r="A184" t="s">
        <v>1700</v>
      </c>
      <c r="B184">
        <v>563</v>
      </c>
      <c r="C184" t="s">
        <v>1701</v>
      </c>
      <c r="D184" t="s">
        <v>1659</v>
      </c>
      <c r="E184" t="s">
        <v>1660</v>
      </c>
      <c r="F184" t="s">
        <v>1671</v>
      </c>
      <c r="G184" t="s">
        <v>400</v>
      </c>
      <c r="H184" t="s">
        <v>1661</v>
      </c>
      <c r="I184" t="s">
        <v>1662</v>
      </c>
      <c r="J184">
        <v>0.75</v>
      </c>
      <c r="K184" s="48">
        <v>466.45977775285326</v>
      </c>
      <c r="L184">
        <v>0.15</v>
      </c>
      <c r="M184">
        <v>1.8160000000000001</v>
      </c>
      <c r="N184">
        <v>8.2599118942731267E-2</v>
      </c>
      <c r="O184">
        <v>0.71599999999999997</v>
      </c>
      <c r="P184" s="48">
        <v>513.86592457310235</v>
      </c>
      <c r="Q184">
        <v>0.16300000000000001</v>
      </c>
      <c r="R184">
        <v>2.2240000000000002</v>
      </c>
      <c r="S184">
        <v>7.3291366906474822E-2</v>
      </c>
      <c r="T184" s="21">
        <v>4.1790579710144922</v>
      </c>
      <c r="U184" s="21">
        <v>3.600869565217391</v>
      </c>
      <c r="V184" s="21">
        <v>6.8713333333333324</v>
      </c>
      <c r="W184" s="21">
        <v>6.5339999999999998</v>
      </c>
      <c r="X184" s="21">
        <f>AVERAGE(T184:U184)</f>
        <v>3.8899637681159414</v>
      </c>
      <c r="Y184" s="21">
        <f>AVERAGE(V184:W184)</f>
        <v>6.7026666666666657</v>
      </c>
      <c r="Z184">
        <f>R184-M184</f>
        <v>0.40800000000000014</v>
      </c>
      <c r="AA184">
        <f>Y184-X184</f>
        <v>2.8127028985507243</v>
      </c>
      <c r="AB184" t="s">
        <v>2179</v>
      </c>
    </row>
    <row r="185" spans="1:28" x14ac:dyDescent="0.2">
      <c r="A185" t="s">
        <v>1657</v>
      </c>
      <c r="B185">
        <v>435</v>
      </c>
      <c r="C185" t="s">
        <v>1658</v>
      </c>
      <c r="D185" t="s">
        <v>1659</v>
      </c>
      <c r="E185" t="s">
        <v>1660</v>
      </c>
      <c r="F185" t="s">
        <v>196</v>
      </c>
      <c r="G185" t="s">
        <v>429</v>
      </c>
      <c r="H185" t="s">
        <v>1661</v>
      </c>
      <c r="I185" t="s">
        <v>1662</v>
      </c>
      <c r="J185">
        <v>0.745</v>
      </c>
      <c r="K185" s="48">
        <v>470.2676992796512</v>
      </c>
      <c r="L185">
        <v>0.16500000000000001</v>
      </c>
      <c r="M185">
        <v>2.2480000000000002</v>
      </c>
      <c r="N185">
        <v>7.3398576512455516E-2</v>
      </c>
      <c r="O185">
        <v>0.76700000000000002</v>
      </c>
      <c r="P185" s="48">
        <v>439.61516453042049</v>
      </c>
      <c r="Q185">
        <v>0.14299999999999999</v>
      </c>
      <c r="R185">
        <v>1.8280000000000001</v>
      </c>
      <c r="S185">
        <v>7.8227571115973726E-2</v>
      </c>
      <c r="T185" s="21">
        <v>6.261868686868687</v>
      </c>
      <c r="U185" s="21">
        <v>5.3831313131313134</v>
      </c>
      <c r="V185" s="21">
        <v>6.6190412186379932</v>
      </c>
      <c r="W185" s="21">
        <v>6.3587813620071687</v>
      </c>
      <c r="X185" s="21">
        <f>AVERAGE(T185:U185)</f>
        <v>5.8224999999999998</v>
      </c>
      <c r="Y185" s="21">
        <f>AVERAGE(V185:W185)</f>
        <v>6.488911290322581</v>
      </c>
      <c r="Z185">
        <f>R185-M185</f>
        <v>-0.42000000000000015</v>
      </c>
      <c r="AA185">
        <f>Y185-X185</f>
        <v>0.66641129032258117</v>
      </c>
      <c r="AB185" t="e">
        <v>#N/A</v>
      </c>
    </row>
    <row r="186" spans="1:28" x14ac:dyDescent="0.2">
      <c r="A186" t="s">
        <v>2087</v>
      </c>
      <c r="B186">
        <v>446</v>
      </c>
      <c r="C186" t="s">
        <v>2088</v>
      </c>
      <c r="D186" t="s">
        <v>1659</v>
      </c>
      <c r="E186" t="s">
        <v>1660</v>
      </c>
      <c r="F186" t="s">
        <v>196</v>
      </c>
      <c r="G186" t="s">
        <v>324</v>
      </c>
      <c r="H186" t="s">
        <v>1661</v>
      </c>
      <c r="I186" t="s">
        <v>1662</v>
      </c>
      <c r="J186">
        <v>0.73499999999999999</v>
      </c>
      <c r="K186" s="48">
        <v>484.20066962021053</v>
      </c>
      <c r="L186">
        <v>0.159</v>
      </c>
      <c r="M186">
        <v>2.056</v>
      </c>
      <c r="N186">
        <v>7.7334630350194555E-2</v>
      </c>
      <c r="O186">
        <v>0.81599999999999995</v>
      </c>
      <c r="P186" s="48">
        <v>371.34360986167974</v>
      </c>
      <c r="Q186">
        <v>0.16800000000000001</v>
      </c>
      <c r="R186">
        <v>1.704</v>
      </c>
      <c r="S186">
        <v>9.8591549295774655E-2</v>
      </c>
      <c r="T186" s="21">
        <v>4.4112820512820505</v>
      </c>
      <c r="U186" s="21">
        <v>5.1897435897435891</v>
      </c>
      <c r="V186" s="21">
        <v>5.3983333333333325</v>
      </c>
      <c r="W186" s="21">
        <v>6.3379166666666666</v>
      </c>
      <c r="X186" s="21">
        <f>AVERAGE(T186:U186)</f>
        <v>4.8005128205128198</v>
      </c>
      <c r="Y186" s="21">
        <f>AVERAGE(V186:W186)</f>
        <v>5.8681249999999991</v>
      </c>
      <c r="Z186">
        <f>R186-M186</f>
        <v>-0.35200000000000009</v>
      </c>
      <c r="AA186">
        <f>Y186-X186</f>
        <v>1.0676121794871793</v>
      </c>
      <c r="AB186" t="s">
        <v>2171</v>
      </c>
    </row>
    <row r="187" spans="1:28" x14ac:dyDescent="0.2">
      <c r="A187" t="s">
        <v>1776</v>
      </c>
      <c r="B187">
        <v>661</v>
      </c>
      <c r="C187" t="s">
        <v>1777</v>
      </c>
      <c r="D187" t="s">
        <v>1659</v>
      </c>
      <c r="E187" t="s">
        <v>1660</v>
      </c>
      <c r="F187" t="s">
        <v>1778</v>
      </c>
      <c r="G187" t="s">
        <v>1779</v>
      </c>
      <c r="H187" t="s">
        <v>1661</v>
      </c>
      <c r="I187" t="s">
        <v>1662</v>
      </c>
      <c r="J187">
        <v>0.73799999999999999</v>
      </c>
      <c r="K187" s="48">
        <v>487.43227215928391</v>
      </c>
      <c r="L187">
        <v>0.14000000000000001</v>
      </c>
      <c r="M187">
        <v>1.6080000000000001</v>
      </c>
      <c r="N187">
        <v>8.7064676616915429E-2</v>
      </c>
      <c r="P187" s="48"/>
      <c r="T187" s="21"/>
      <c r="U187" s="21"/>
      <c r="V187" s="21"/>
      <c r="W187" s="21"/>
      <c r="X187" s="21"/>
      <c r="Y187" s="21"/>
      <c r="AB187" t="e">
        <v>#N/A</v>
      </c>
    </row>
    <row r="188" spans="1:28" x14ac:dyDescent="0.2">
      <c r="A188" t="s">
        <v>1889</v>
      </c>
      <c r="B188">
        <v>434</v>
      </c>
      <c r="C188" t="s">
        <v>1890</v>
      </c>
      <c r="D188" t="s">
        <v>1659</v>
      </c>
      <c r="E188" t="s">
        <v>1660</v>
      </c>
      <c r="F188" t="s">
        <v>196</v>
      </c>
      <c r="G188" t="s">
        <v>428</v>
      </c>
      <c r="H188" t="s">
        <v>1661</v>
      </c>
      <c r="I188" t="s">
        <v>1662</v>
      </c>
      <c r="J188">
        <v>0.73199999999999998</v>
      </c>
      <c r="K188" s="48">
        <v>488.38056072237833</v>
      </c>
      <c r="L188">
        <v>0.16600000000000001</v>
      </c>
      <c r="M188">
        <v>2.0819999999999999</v>
      </c>
      <c r="N188">
        <v>7.9731027857829026E-2</v>
      </c>
      <c r="O188">
        <v>0.73799999999999999</v>
      </c>
      <c r="P188" s="48">
        <v>480.02077851804273</v>
      </c>
      <c r="Q188">
        <v>0.17399999999999999</v>
      </c>
      <c r="R188">
        <v>2.2469999999999999</v>
      </c>
      <c r="S188">
        <v>7.7436582109479304E-2</v>
      </c>
      <c r="T188" s="21">
        <v>3.4614545454545453</v>
      </c>
      <c r="U188" s="21">
        <v>4.5950303030303026</v>
      </c>
      <c r="V188" s="21">
        <v>5.8809362139917694</v>
      </c>
      <c r="W188" s="21">
        <v>4.9944958847736629</v>
      </c>
      <c r="X188" s="21">
        <f t="shared" ref="X188:X195" si="32">AVERAGE(T188:U188)</f>
        <v>4.028242424242424</v>
      </c>
      <c r="Y188" s="21">
        <f t="shared" ref="Y188:Y195" si="33">AVERAGE(V188:W188)</f>
        <v>5.4377160493827166</v>
      </c>
      <c r="Z188">
        <f t="shared" ref="Z188:Z200" si="34">R188-M188</f>
        <v>0.16500000000000004</v>
      </c>
      <c r="AA188">
        <f t="shared" ref="AA188:AA195" si="35">Y188-X188</f>
        <v>1.4094736251402926</v>
      </c>
      <c r="AB188" t="s">
        <v>2171</v>
      </c>
    </row>
    <row r="189" spans="1:28" x14ac:dyDescent="0.2">
      <c r="A189" t="s">
        <v>1974</v>
      </c>
      <c r="B189">
        <v>336</v>
      </c>
      <c r="C189" t="s">
        <v>1975</v>
      </c>
      <c r="D189" t="s">
        <v>1659</v>
      </c>
      <c r="E189" t="s">
        <v>1660</v>
      </c>
      <c r="F189" t="s">
        <v>15</v>
      </c>
      <c r="G189" t="s">
        <v>209</v>
      </c>
      <c r="H189" t="s">
        <v>1661</v>
      </c>
      <c r="I189" t="s">
        <v>1662</v>
      </c>
      <c r="J189">
        <v>0.70299999999999996</v>
      </c>
      <c r="K189" s="48">
        <v>491.77961188423967</v>
      </c>
      <c r="L189">
        <v>0.18</v>
      </c>
      <c r="M189">
        <v>1.6890000000000001</v>
      </c>
      <c r="N189">
        <v>0.10657193605683836</v>
      </c>
      <c r="O189">
        <v>0.79700000000000004</v>
      </c>
      <c r="P189" s="48">
        <v>371.7608898733568</v>
      </c>
      <c r="Q189">
        <v>0.20200000000000001</v>
      </c>
      <c r="R189">
        <v>1.772</v>
      </c>
      <c r="S189">
        <v>0.11399548532731378</v>
      </c>
      <c r="T189" s="21">
        <v>4.0177777777777779</v>
      </c>
      <c r="U189" s="21">
        <v>2.7936111111111108</v>
      </c>
      <c r="V189" s="21">
        <v>3.8153846153846156</v>
      </c>
      <c r="W189" s="21">
        <v>5.3743589743589739</v>
      </c>
      <c r="X189" s="21">
        <f t="shared" si="32"/>
        <v>3.4056944444444444</v>
      </c>
      <c r="Y189" s="21">
        <f t="shared" si="33"/>
        <v>4.5948717948717945</v>
      </c>
      <c r="Z189">
        <f t="shared" si="34"/>
        <v>8.2999999999999963E-2</v>
      </c>
      <c r="AA189">
        <f t="shared" si="35"/>
        <v>1.1891773504273502</v>
      </c>
      <c r="AB189" t="s">
        <v>2171</v>
      </c>
    </row>
    <row r="190" spans="1:28" x14ac:dyDescent="0.2">
      <c r="A190" t="s">
        <v>1964</v>
      </c>
      <c r="B190">
        <v>476</v>
      </c>
      <c r="C190" t="s">
        <v>1965</v>
      </c>
      <c r="D190" t="s">
        <v>1659</v>
      </c>
      <c r="E190" t="s">
        <v>1660</v>
      </c>
      <c r="F190" t="s">
        <v>24</v>
      </c>
      <c r="G190" t="s">
        <v>386</v>
      </c>
      <c r="H190" t="s">
        <v>1661</v>
      </c>
      <c r="I190" t="s">
        <v>1662</v>
      </c>
      <c r="J190">
        <v>0.72799999999999998</v>
      </c>
      <c r="K190" s="48">
        <v>493.95374885860213</v>
      </c>
      <c r="L190">
        <v>0.15</v>
      </c>
      <c r="M190">
        <v>1.387</v>
      </c>
      <c r="N190">
        <v>0.10814708002883922</v>
      </c>
      <c r="O190">
        <v>0.85599999999999998</v>
      </c>
      <c r="P190" s="48">
        <v>308.96239085527617</v>
      </c>
      <c r="Q190">
        <v>0.113</v>
      </c>
      <c r="R190">
        <v>1.216</v>
      </c>
      <c r="S190">
        <v>9.2927631578947373E-2</v>
      </c>
      <c r="T190" s="21">
        <v>5.2796666666666656</v>
      </c>
      <c r="U190" s="21">
        <v>4.2378333333333327</v>
      </c>
      <c r="V190" s="21">
        <v>6.0900119474313028</v>
      </c>
      <c r="W190" s="21">
        <v>5.9020071684587814</v>
      </c>
      <c r="X190" s="21">
        <f t="shared" si="32"/>
        <v>4.7587499999999991</v>
      </c>
      <c r="Y190" s="21">
        <f t="shared" si="33"/>
        <v>5.9960095579450421</v>
      </c>
      <c r="Z190">
        <f t="shared" si="34"/>
        <v>-0.17100000000000004</v>
      </c>
      <c r="AA190">
        <f t="shared" si="35"/>
        <v>1.2372595579450429</v>
      </c>
      <c r="AB190" t="s">
        <v>2179</v>
      </c>
    </row>
    <row r="191" spans="1:28" x14ac:dyDescent="0.2">
      <c r="A191" t="s">
        <v>1956</v>
      </c>
      <c r="B191">
        <v>641</v>
      </c>
      <c r="C191" t="s">
        <v>1957</v>
      </c>
      <c r="D191" t="s">
        <v>1659</v>
      </c>
      <c r="E191" t="s">
        <v>1660</v>
      </c>
      <c r="F191" t="s">
        <v>645</v>
      </c>
      <c r="G191" t="s">
        <v>336</v>
      </c>
      <c r="H191" t="s">
        <v>1661</v>
      </c>
      <c r="I191" t="s">
        <v>1662</v>
      </c>
      <c r="J191">
        <v>0.73199999999999998</v>
      </c>
      <c r="K191" s="48">
        <v>495.68682152580686</v>
      </c>
      <c r="L191">
        <v>0.17100000000000001</v>
      </c>
      <c r="M191">
        <v>2.4119999999999999</v>
      </c>
      <c r="N191">
        <v>7.0895522388059712E-2</v>
      </c>
      <c r="O191">
        <v>0.68300000000000005</v>
      </c>
      <c r="P191" s="48">
        <v>563.09897468574434</v>
      </c>
      <c r="Q191">
        <v>0.161</v>
      </c>
      <c r="R191">
        <v>2.1949999999999998</v>
      </c>
      <c r="S191">
        <v>7.3348519362186795E-2</v>
      </c>
      <c r="T191" s="21">
        <v>3.2060000000000004</v>
      </c>
      <c r="U191" s="21">
        <v>2.8000000000000003</v>
      </c>
      <c r="V191" s="21">
        <v>4.4800000000000004</v>
      </c>
      <c r="W191" s="21">
        <v>3.71</v>
      </c>
      <c r="X191" s="21">
        <f t="shared" si="32"/>
        <v>3.0030000000000001</v>
      </c>
      <c r="Y191" s="21">
        <f t="shared" si="33"/>
        <v>4.0950000000000006</v>
      </c>
      <c r="Z191">
        <f t="shared" si="34"/>
        <v>-0.21700000000000008</v>
      </c>
      <c r="AA191">
        <f t="shared" si="35"/>
        <v>1.0920000000000005</v>
      </c>
      <c r="AB191" t="e">
        <v>#N/A</v>
      </c>
    </row>
    <row r="192" spans="1:28" x14ac:dyDescent="0.2">
      <c r="A192" t="s">
        <v>2140</v>
      </c>
      <c r="B192">
        <v>596</v>
      </c>
      <c r="C192" t="s">
        <v>2141</v>
      </c>
      <c r="D192" t="s">
        <v>1659</v>
      </c>
      <c r="E192" t="s">
        <v>1660</v>
      </c>
      <c r="F192" t="s">
        <v>777</v>
      </c>
      <c r="G192" t="s">
        <v>238</v>
      </c>
      <c r="H192" t="s">
        <v>1661</v>
      </c>
      <c r="I192" t="s">
        <v>1662</v>
      </c>
      <c r="J192">
        <v>0.71599999999999997</v>
      </c>
      <c r="K192" s="48">
        <v>499.18358680588392</v>
      </c>
      <c r="L192">
        <v>0.17100000000000001</v>
      </c>
      <c r="M192">
        <v>1.9890000000000001</v>
      </c>
      <c r="N192">
        <v>8.5972850678733032E-2</v>
      </c>
      <c r="O192">
        <v>0.873</v>
      </c>
      <c r="P192" s="48">
        <v>294.961070138423</v>
      </c>
      <c r="Q192">
        <v>0.13600000000000001</v>
      </c>
      <c r="R192">
        <v>1.3089999999999999</v>
      </c>
      <c r="S192">
        <v>0.1038961038961039</v>
      </c>
      <c r="T192" s="21">
        <v>3.3430085470085471</v>
      </c>
      <c r="U192" s="21">
        <v>3.0846495726495728</v>
      </c>
      <c r="V192" s="21">
        <v>3.6857273768613976</v>
      </c>
      <c r="W192" s="21">
        <v>3.5136311569301264</v>
      </c>
      <c r="X192" s="21">
        <f t="shared" si="32"/>
        <v>3.21382905982906</v>
      </c>
      <c r="Y192" s="21">
        <f t="shared" si="33"/>
        <v>3.599679266895762</v>
      </c>
      <c r="Z192">
        <f t="shared" si="34"/>
        <v>-0.68000000000000016</v>
      </c>
      <c r="AA192">
        <f t="shared" si="35"/>
        <v>0.38585020706670203</v>
      </c>
      <c r="AB192" t="s">
        <v>2171</v>
      </c>
    </row>
    <row r="193" spans="1:28" x14ac:dyDescent="0.2">
      <c r="A193" t="s">
        <v>1860</v>
      </c>
      <c r="B193">
        <v>281</v>
      </c>
      <c r="C193" t="s">
        <v>1861</v>
      </c>
      <c r="D193" t="s">
        <v>1659</v>
      </c>
      <c r="E193" t="s">
        <v>1660</v>
      </c>
      <c r="F193" t="s">
        <v>1677</v>
      </c>
      <c r="G193" t="s">
        <v>423</v>
      </c>
      <c r="H193" t="s">
        <v>1661</v>
      </c>
      <c r="I193" t="s">
        <v>1662</v>
      </c>
      <c r="J193">
        <v>0.69299999999999995</v>
      </c>
      <c r="K193" s="48">
        <v>504.54756103433351</v>
      </c>
      <c r="L193">
        <v>0.129</v>
      </c>
      <c r="M193">
        <v>1.2410000000000001</v>
      </c>
      <c r="N193">
        <v>0.10394842868654311</v>
      </c>
      <c r="O193">
        <v>0.63600000000000001</v>
      </c>
      <c r="P193" s="48">
        <v>577.32487118986876</v>
      </c>
      <c r="Q193">
        <v>0.14499999999999999</v>
      </c>
      <c r="R193">
        <v>1.405</v>
      </c>
      <c r="S193">
        <v>0.10320284697508895</v>
      </c>
      <c r="T193" s="21">
        <v>4.4421568627450982</v>
      </c>
      <c r="U193" s="21">
        <v>4.6739215686274509</v>
      </c>
      <c r="V193" s="21">
        <v>7.5034343434343445</v>
      </c>
      <c r="W193" s="21">
        <v>7.2737373737373732</v>
      </c>
      <c r="X193" s="21">
        <f t="shared" si="32"/>
        <v>4.558039215686275</v>
      </c>
      <c r="Y193" s="21">
        <f t="shared" si="33"/>
        <v>7.3885858585858593</v>
      </c>
      <c r="Z193">
        <f t="shared" si="34"/>
        <v>0.16399999999999992</v>
      </c>
      <c r="AA193">
        <f t="shared" si="35"/>
        <v>2.8305466428995842</v>
      </c>
      <c r="AB193" t="s">
        <v>2179</v>
      </c>
    </row>
    <row r="194" spans="1:28" x14ac:dyDescent="0.2">
      <c r="A194" t="s">
        <v>1707</v>
      </c>
      <c r="B194">
        <v>353</v>
      </c>
      <c r="C194" t="s">
        <v>1708</v>
      </c>
      <c r="D194" t="s">
        <v>1659</v>
      </c>
      <c r="E194" t="s">
        <v>1660</v>
      </c>
      <c r="F194" t="s">
        <v>3</v>
      </c>
      <c r="G194" t="s">
        <v>392</v>
      </c>
      <c r="H194" t="s">
        <v>1661</v>
      </c>
      <c r="I194" t="s">
        <v>1662</v>
      </c>
      <c r="J194">
        <v>0.67500000000000004</v>
      </c>
      <c r="K194" s="48">
        <v>505.88190018039694</v>
      </c>
      <c r="L194">
        <v>0.19400000000000001</v>
      </c>
      <c r="M194">
        <v>1.86</v>
      </c>
      <c r="N194">
        <v>0.1043010752688172</v>
      </c>
      <c r="O194">
        <v>0.81399999999999995</v>
      </c>
      <c r="P194" s="48">
        <v>328.52167339575652</v>
      </c>
      <c r="Q194">
        <v>0.16500000000000001</v>
      </c>
      <c r="R194">
        <v>1.542</v>
      </c>
      <c r="S194">
        <v>0.10700389105058367</v>
      </c>
      <c r="T194" s="21">
        <v>1.3824175824175826</v>
      </c>
      <c r="U194" s="21">
        <v>1.4727716727716726</v>
      </c>
      <c r="V194" s="21">
        <v>5.0474336283185837</v>
      </c>
      <c r="W194" s="21">
        <v>3.2319764011799408</v>
      </c>
      <c r="X194" s="21">
        <f t="shared" si="32"/>
        <v>1.4275946275946276</v>
      </c>
      <c r="Y194" s="21">
        <f t="shared" si="33"/>
        <v>4.1397050147492624</v>
      </c>
      <c r="Z194">
        <f t="shared" si="34"/>
        <v>-0.31800000000000006</v>
      </c>
      <c r="AA194">
        <f t="shared" si="35"/>
        <v>2.7121103871546346</v>
      </c>
      <c r="AB194" t="e">
        <v>#N/A</v>
      </c>
    </row>
    <row r="195" spans="1:28" x14ac:dyDescent="0.2">
      <c r="A195" t="s">
        <v>1750</v>
      </c>
      <c r="B195">
        <v>439</v>
      </c>
      <c r="C195" t="s">
        <v>1751</v>
      </c>
      <c r="D195" t="s">
        <v>1659</v>
      </c>
      <c r="E195" t="s">
        <v>1660</v>
      </c>
      <c r="F195" t="s">
        <v>938</v>
      </c>
      <c r="G195" t="s">
        <v>175</v>
      </c>
      <c r="H195" t="s">
        <v>1661</v>
      </c>
      <c r="I195" t="s">
        <v>1662</v>
      </c>
      <c r="J195">
        <v>0.71699999999999997</v>
      </c>
      <c r="K195" s="48">
        <v>509.28001623321745</v>
      </c>
      <c r="L195">
        <v>0.19800000000000001</v>
      </c>
      <c r="M195">
        <v>1.9259999999999999</v>
      </c>
      <c r="N195">
        <v>0.10280373831775702</v>
      </c>
      <c r="O195">
        <v>0.76600000000000001</v>
      </c>
      <c r="P195" s="48">
        <v>441.00846156447648</v>
      </c>
      <c r="Q195">
        <v>0.20499999999999999</v>
      </c>
      <c r="R195">
        <v>1.9810000000000001</v>
      </c>
      <c r="S195">
        <v>0.10348308934881371</v>
      </c>
      <c r="T195" s="21">
        <v>6.0869642857142852</v>
      </c>
      <c r="U195" s="21">
        <v>5.5322222222222219</v>
      </c>
      <c r="V195" s="21">
        <v>6.8981069958847732</v>
      </c>
      <c r="W195" s="21">
        <v>6.6179423868312757</v>
      </c>
      <c r="X195" s="21">
        <f t="shared" si="32"/>
        <v>5.809593253968254</v>
      </c>
      <c r="Y195" s="21">
        <f t="shared" si="33"/>
        <v>6.758024691358024</v>
      </c>
      <c r="Z195">
        <f t="shared" si="34"/>
        <v>5.500000000000016E-2</v>
      </c>
      <c r="AA195">
        <f t="shared" si="35"/>
        <v>0.94843143738976998</v>
      </c>
      <c r="AB195" t="s">
        <v>2171</v>
      </c>
    </row>
    <row r="196" spans="1:28" x14ac:dyDescent="0.2">
      <c r="A196" t="s">
        <v>1846</v>
      </c>
      <c r="B196">
        <v>634</v>
      </c>
      <c r="C196" t="s">
        <v>1847</v>
      </c>
      <c r="D196" t="s">
        <v>1659</v>
      </c>
      <c r="E196" t="s">
        <v>1660</v>
      </c>
      <c r="F196" t="s">
        <v>645</v>
      </c>
      <c r="G196" t="s">
        <v>1848</v>
      </c>
      <c r="H196" t="s">
        <v>1661</v>
      </c>
      <c r="I196" t="s">
        <v>1662</v>
      </c>
      <c r="J196">
        <v>0.70699999999999996</v>
      </c>
      <c r="K196" s="48"/>
      <c r="L196">
        <v>7.1999999999999995E-2</v>
      </c>
      <c r="M196">
        <v>0.498</v>
      </c>
      <c r="N196">
        <v>0.14457831325301204</v>
      </c>
      <c r="O196">
        <v>0.97799999999999998</v>
      </c>
      <c r="P196" s="48">
        <v>159.52605407491251</v>
      </c>
      <c r="Q196">
        <v>0.11700000000000001</v>
      </c>
      <c r="R196">
        <v>1.0429999999999999</v>
      </c>
      <c r="S196">
        <v>0.11217641418983702</v>
      </c>
      <c r="T196" s="50"/>
      <c r="U196" s="50"/>
      <c r="V196" s="50"/>
      <c r="W196" s="50"/>
      <c r="X196" s="21"/>
      <c r="Y196" s="21"/>
      <c r="Z196">
        <f t="shared" si="34"/>
        <v>0.54499999999999993</v>
      </c>
      <c r="AB196" t="e">
        <v>#N/A</v>
      </c>
    </row>
    <row r="197" spans="1:28" x14ac:dyDescent="0.2">
      <c r="A197" t="s">
        <v>1874</v>
      </c>
      <c r="B197">
        <v>556</v>
      </c>
      <c r="C197" t="s">
        <v>1875</v>
      </c>
      <c r="D197" t="s">
        <v>1659</v>
      </c>
      <c r="E197" t="s">
        <v>1660</v>
      </c>
      <c r="F197" t="s">
        <v>1687</v>
      </c>
      <c r="G197" t="s">
        <v>155</v>
      </c>
      <c r="H197" t="s">
        <v>1661</v>
      </c>
      <c r="I197" t="s">
        <v>1662</v>
      </c>
      <c r="J197">
        <v>0.71</v>
      </c>
      <c r="K197" s="48">
        <v>522.23171518844038</v>
      </c>
      <c r="L197">
        <v>0.191</v>
      </c>
      <c r="M197">
        <v>2.1869999999999998</v>
      </c>
      <c r="N197">
        <v>8.7334247828075001E-2</v>
      </c>
      <c r="O197">
        <v>0.753</v>
      </c>
      <c r="P197" s="48">
        <v>466.79589874297653</v>
      </c>
      <c r="Q197">
        <v>0.14000000000000001</v>
      </c>
      <c r="R197">
        <v>1.5609999999999999</v>
      </c>
      <c r="S197">
        <v>8.9686098654708529E-2</v>
      </c>
      <c r="T197" s="21">
        <v>3.2380952380952377</v>
      </c>
      <c r="U197" s="21">
        <v>2.4126984126984126</v>
      </c>
      <c r="V197" s="21">
        <v>5.3602854230377162</v>
      </c>
      <c r="W197" s="21">
        <v>7.5602956167176352</v>
      </c>
      <c r="X197" s="21">
        <f t="shared" ref="X197:X206" si="36">AVERAGE(T197:U197)</f>
        <v>2.8253968253968251</v>
      </c>
      <c r="Y197" s="21">
        <f t="shared" ref="Y197:Y206" si="37">AVERAGE(V197:W197)</f>
        <v>6.4602905198776757</v>
      </c>
      <c r="Z197">
        <f t="shared" si="34"/>
        <v>-0.62599999999999989</v>
      </c>
      <c r="AA197">
        <f t="shared" ref="AA197:AA206" si="38">Y197-X197</f>
        <v>3.6348936944808505</v>
      </c>
      <c r="AB197" t="e">
        <v>#N/A</v>
      </c>
    </row>
    <row r="198" spans="1:28" x14ac:dyDescent="0.2">
      <c r="A198" t="s">
        <v>1821</v>
      </c>
      <c r="B198">
        <v>500</v>
      </c>
      <c r="C198" t="s">
        <v>1822</v>
      </c>
      <c r="D198" t="s">
        <v>1659</v>
      </c>
      <c r="E198" t="s">
        <v>1660</v>
      </c>
      <c r="F198" t="s">
        <v>1042</v>
      </c>
      <c r="G198" t="s">
        <v>364</v>
      </c>
      <c r="H198" t="s">
        <v>1661</v>
      </c>
      <c r="I198" t="s">
        <v>1662</v>
      </c>
      <c r="J198">
        <v>0.70199999999999996</v>
      </c>
      <c r="K198" s="48">
        <v>530.17947174405651</v>
      </c>
      <c r="L198">
        <v>0.24099999999999999</v>
      </c>
      <c r="M198">
        <v>2.2250000000000001</v>
      </c>
      <c r="N198">
        <v>0.10831460674157302</v>
      </c>
      <c r="O198">
        <v>0.67</v>
      </c>
      <c r="P198" s="48">
        <v>574.76497683384628</v>
      </c>
      <c r="Q198">
        <v>0.248</v>
      </c>
      <c r="R198">
        <v>2.3530000000000002</v>
      </c>
      <c r="S198">
        <v>0.10539736506587334</v>
      </c>
      <c r="T198" s="21">
        <v>2.6812499999999995</v>
      </c>
      <c r="U198" s="21">
        <v>3.0593749999999997</v>
      </c>
      <c r="V198" s="21">
        <v>2.2687499999999998</v>
      </c>
      <c r="W198" s="21">
        <v>3.2999999999999994</v>
      </c>
      <c r="X198" s="21">
        <f t="shared" si="36"/>
        <v>2.8703124999999998</v>
      </c>
      <c r="Y198" s="21">
        <f t="shared" si="37"/>
        <v>2.7843749999999998</v>
      </c>
      <c r="Z198">
        <f t="shared" si="34"/>
        <v>0.12800000000000011</v>
      </c>
      <c r="AA198">
        <f t="shared" si="38"/>
        <v>-8.59375E-2</v>
      </c>
      <c r="AB198" t="s">
        <v>2171</v>
      </c>
    </row>
    <row r="199" spans="1:28" x14ac:dyDescent="0.2">
      <c r="A199" t="s">
        <v>1696</v>
      </c>
      <c r="B199">
        <v>560</v>
      </c>
      <c r="C199" t="s">
        <v>1697</v>
      </c>
      <c r="D199" t="s">
        <v>1659</v>
      </c>
      <c r="E199" t="s">
        <v>1660</v>
      </c>
      <c r="F199" t="s">
        <v>1671</v>
      </c>
      <c r="G199" t="s">
        <v>399</v>
      </c>
      <c r="H199" t="s">
        <v>1661</v>
      </c>
      <c r="I199" t="s">
        <v>1662</v>
      </c>
      <c r="J199">
        <v>0.69799999999999995</v>
      </c>
      <c r="K199" s="48">
        <v>538.96329641911655</v>
      </c>
      <c r="L199">
        <v>0.188</v>
      </c>
      <c r="M199">
        <v>2.1040000000000001</v>
      </c>
      <c r="N199">
        <v>8.9353612167300381E-2</v>
      </c>
      <c r="O199">
        <v>0.66200000000000003</v>
      </c>
      <c r="P199" s="48">
        <v>589.15804011114483</v>
      </c>
      <c r="Q199">
        <v>0.19400000000000001</v>
      </c>
      <c r="R199">
        <v>2.2130000000000001</v>
      </c>
      <c r="S199">
        <v>8.7663804789877994E-2</v>
      </c>
      <c r="T199" s="21">
        <v>6.9449999999999994</v>
      </c>
      <c r="U199" s="21">
        <v>5.64</v>
      </c>
      <c r="V199" s="21">
        <v>3.5928065843621395</v>
      </c>
      <c r="W199" s="21">
        <v>5.0664855967078184</v>
      </c>
      <c r="X199" s="21">
        <f t="shared" si="36"/>
        <v>6.2924999999999995</v>
      </c>
      <c r="Y199" s="21">
        <f t="shared" si="37"/>
        <v>4.329646090534979</v>
      </c>
      <c r="Z199">
        <f t="shared" si="34"/>
        <v>0.10899999999999999</v>
      </c>
      <c r="AA199">
        <f t="shared" si="38"/>
        <v>-1.9628539094650206</v>
      </c>
      <c r="AB199" t="s">
        <v>2179</v>
      </c>
    </row>
    <row r="200" spans="1:28" x14ac:dyDescent="0.2">
      <c r="A200" t="s">
        <v>1796</v>
      </c>
      <c r="B200">
        <v>531</v>
      </c>
      <c r="C200" t="s">
        <v>1797</v>
      </c>
      <c r="D200" t="s">
        <v>1659</v>
      </c>
      <c r="E200" t="s">
        <v>1660</v>
      </c>
      <c r="F200" t="s">
        <v>938</v>
      </c>
      <c r="G200" t="s">
        <v>358</v>
      </c>
      <c r="H200" t="s">
        <v>1661</v>
      </c>
      <c r="I200" t="s">
        <v>1662</v>
      </c>
      <c r="J200">
        <v>0.69799999999999995</v>
      </c>
      <c r="K200" s="48">
        <v>538.96329641911655</v>
      </c>
      <c r="L200">
        <v>0.184</v>
      </c>
      <c r="M200">
        <v>1.671</v>
      </c>
      <c r="N200">
        <v>0.11011370436864153</v>
      </c>
      <c r="O200">
        <v>0.81499999999999995</v>
      </c>
      <c r="P200" s="48">
        <v>375.83037942002437</v>
      </c>
      <c r="Q200">
        <v>0.23499999999999999</v>
      </c>
      <c r="R200">
        <v>1.298</v>
      </c>
      <c r="S200">
        <v>0.18104776579352849</v>
      </c>
      <c r="T200" s="21">
        <v>1.6606153846153846</v>
      </c>
      <c r="U200" s="21">
        <v>4.2904615384615381</v>
      </c>
      <c r="V200" s="21">
        <v>3.2456038647342997</v>
      </c>
      <c r="W200" s="21">
        <v>1.6668599033816427</v>
      </c>
      <c r="X200" s="21">
        <f t="shared" si="36"/>
        <v>2.9755384615384615</v>
      </c>
      <c r="Y200" s="21">
        <f t="shared" si="37"/>
        <v>2.4562318840579711</v>
      </c>
      <c r="Z200">
        <f t="shared" si="34"/>
        <v>-0.373</v>
      </c>
      <c r="AA200">
        <f t="shared" si="38"/>
        <v>-0.51930657748049036</v>
      </c>
      <c r="AB200" t="e">
        <v>#N/A</v>
      </c>
    </row>
    <row r="201" spans="1:28" x14ac:dyDescent="0.2">
      <c r="A201" t="s">
        <v>1807</v>
      </c>
      <c r="B201">
        <v>690</v>
      </c>
      <c r="C201" t="s">
        <v>1808</v>
      </c>
      <c r="D201" t="s">
        <v>1659</v>
      </c>
      <c r="E201" t="s">
        <v>1660</v>
      </c>
      <c r="F201" t="s">
        <v>777</v>
      </c>
      <c r="G201" t="s">
        <v>220</v>
      </c>
      <c r="H201" t="s">
        <v>1661</v>
      </c>
      <c r="I201" t="s">
        <v>1662</v>
      </c>
      <c r="J201">
        <v>0.68700000000000006</v>
      </c>
      <c r="K201" s="48">
        <v>557.59594177472889</v>
      </c>
      <c r="P201" s="48"/>
      <c r="T201" s="21">
        <v>2.2588614540466385</v>
      </c>
      <c r="U201" s="21">
        <v>1.6425102880658433</v>
      </c>
      <c r="V201" s="21">
        <v>5.5479468599033819</v>
      </c>
      <c r="W201" s="21">
        <v>4.6415217391304351</v>
      </c>
      <c r="X201" s="21">
        <f t="shared" si="36"/>
        <v>1.9506858710562409</v>
      </c>
      <c r="Y201" s="21">
        <f t="shared" si="37"/>
        <v>5.094734299516908</v>
      </c>
      <c r="AA201">
        <f t="shared" si="38"/>
        <v>3.1440484284606671</v>
      </c>
      <c r="AB201" t="e">
        <v>#N/A</v>
      </c>
    </row>
    <row r="202" spans="1:28" x14ac:dyDescent="0.2">
      <c r="A202" t="s">
        <v>1827</v>
      </c>
      <c r="B202">
        <v>602</v>
      </c>
      <c r="C202" t="s">
        <v>1828</v>
      </c>
      <c r="D202" t="s">
        <v>1659</v>
      </c>
      <c r="E202" t="s">
        <v>1660</v>
      </c>
      <c r="F202" t="s">
        <v>1671</v>
      </c>
      <c r="G202" t="s">
        <v>290</v>
      </c>
      <c r="H202" t="s">
        <v>1661</v>
      </c>
      <c r="I202" t="s">
        <v>1662</v>
      </c>
      <c r="J202">
        <v>0.67200000000000004</v>
      </c>
      <c r="K202" s="48">
        <v>558.96739124750331</v>
      </c>
      <c r="P202" s="48"/>
      <c r="T202" s="21">
        <v>5.1158367911479958</v>
      </c>
      <c r="U202" s="21">
        <v>4.8622637159981572</v>
      </c>
      <c r="V202" s="21">
        <v>6.2759336099585079</v>
      </c>
      <c r="W202" s="21">
        <v>6.7640617796219473</v>
      </c>
      <c r="X202" s="21">
        <f t="shared" si="36"/>
        <v>4.9890502535730761</v>
      </c>
      <c r="Y202" s="21">
        <f t="shared" si="37"/>
        <v>6.5199976947902272</v>
      </c>
      <c r="AA202">
        <f t="shared" si="38"/>
        <v>1.5309474412171511</v>
      </c>
      <c r="AB202" t="e">
        <v>#N/A</v>
      </c>
    </row>
    <row r="203" spans="1:28" x14ac:dyDescent="0.2">
      <c r="A203" t="s">
        <v>1719</v>
      </c>
      <c r="B203">
        <v>319</v>
      </c>
      <c r="C203" t="s">
        <v>1720</v>
      </c>
      <c r="D203" t="s">
        <v>1659</v>
      </c>
      <c r="E203" t="s">
        <v>1660</v>
      </c>
      <c r="F203" t="s">
        <v>15</v>
      </c>
      <c r="G203" t="s">
        <v>195</v>
      </c>
      <c r="H203" t="s">
        <v>1661</v>
      </c>
      <c r="I203" t="s">
        <v>1662</v>
      </c>
      <c r="J203">
        <v>0.627</v>
      </c>
      <c r="K203" s="48">
        <v>588.81602542495318</v>
      </c>
      <c r="L203">
        <v>0.16700000000000001</v>
      </c>
      <c r="M203">
        <v>1.3049999999999999</v>
      </c>
      <c r="N203">
        <v>0.12796934865900383</v>
      </c>
      <c r="O203">
        <v>0.92100000000000004</v>
      </c>
      <c r="P203" s="48">
        <v>213.43832041219258</v>
      </c>
      <c r="Q203">
        <v>0.13</v>
      </c>
      <c r="R203">
        <v>0.95499999999999996</v>
      </c>
      <c r="S203">
        <v>0.13612565445026178</v>
      </c>
      <c r="T203" s="21">
        <v>3.9713888888888893</v>
      </c>
      <c r="U203" s="21">
        <v>2.6030952380952384</v>
      </c>
      <c r="V203" s="21">
        <v>3.604285714285715</v>
      </c>
      <c r="W203" s="21">
        <v>2.5697222222222225</v>
      </c>
      <c r="X203" s="21">
        <f t="shared" si="36"/>
        <v>3.287242063492064</v>
      </c>
      <c r="Y203" s="21">
        <f t="shared" si="37"/>
        <v>3.0870039682539687</v>
      </c>
      <c r="Z203">
        <f>R203-M203</f>
        <v>-0.35</v>
      </c>
      <c r="AA203">
        <f t="shared" si="38"/>
        <v>-0.20023809523809533</v>
      </c>
      <c r="AB203" t="e">
        <v>#N/A</v>
      </c>
    </row>
    <row r="204" spans="1:28" x14ac:dyDescent="0.2">
      <c r="A204" t="s">
        <v>1935</v>
      </c>
      <c r="B204">
        <v>449</v>
      </c>
      <c r="C204" t="s">
        <v>1936</v>
      </c>
      <c r="D204" t="s">
        <v>1659</v>
      </c>
      <c r="E204" t="s">
        <v>1660</v>
      </c>
      <c r="F204" t="s">
        <v>196</v>
      </c>
      <c r="G204" t="s">
        <v>318</v>
      </c>
      <c r="H204" t="s">
        <v>1661</v>
      </c>
      <c r="I204" t="s">
        <v>1662</v>
      </c>
      <c r="J204">
        <v>0.65700000000000003</v>
      </c>
      <c r="K204" s="48">
        <v>592.87783827657358</v>
      </c>
      <c r="L204">
        <v>0.16400000000000001</v>
      </c>
      <c r="M204">
        <v>2.153</v>
      </c>
      <c r="N204">
        <v>7.6172782164421735E-2</v>
      </c>
      <c r="O204">
        <v>0.69299999999999995</v>
      </c>
      <c r="P204" s="48">
        <v>542.71914505055997</v>
      </c>
      <c r="Q204">
        <v>0.17299999999999999</v>
      </c>
      <c r="R204">
        <v>2.202</v>
      </c>
      <c r="S204">
        <v>7.8564940962761121E-2</v>
      </c>
      <c r="T204" s="21">
        <v>4.372056530214425</v>
      </c>
      <c r="U204" s="21">
        <v>4.1487719298245613</v>
      </c>
      <c r="V204" s="21">
        <v>4.2269281045751628</v>
      </c>
      <c r="W204" s="21">
        <v>7.719389978213508</v>
      </c>
      <c r="X204" s="21">
        <f t="shared" si="36"/>
        <v>4.2604142300194932</v>
      </c>
      <c r="Y204" s="21">
        <f t="shared" si="37"/>
        <v>5.9731590413943358</v>
      </c>
      <c r="Z204">
        <f>R204-M204</f>
        <v>4.8999999999999932E-2</v>
      </c>
      <c r="AA204">
        <f t="shared" si="38"/>
        <v>1.7127448113748427</v>
      </c>
      <c r="AB204" t="s">
        <v>2171</v>
      </c>
    </row>
    <row r="205" spans="1:28" x14ac:dyDescent="0.2">
      <c r="A205" t="s">
        <v>1725</v>
      </c>
      <c r="B205">
        <v>659</v>
      </c>
      <c r="C205" t="s">
        <v>1726</v>
      </c>
      <c r="D205" t="s">
        <v>1659</v>
      </c>
      <c r="E205" t="s">
        <v>1660</v>
      </c>
      <c r="F205" t="s">
        <v>645</v>
      </c>
      <c r="G205" t="s">
        <v>94</v>
      </c>
      <c r="H205" t="s">
        <v>1661</v>
      </c>
      <c r="I205" t="s">
        <v>1662</v>
      </c>
      <c r="J205">
        <v>0.65900000000000003</v>
      </c>
      <c r="K205" s="48">
        <v>596.11717215183614</v>
      </c>
      <c r="L205">
        <v>0.17</v>
      </c>
      <c r="M205">
        <v>2.403</v>
      </c>
      <c r="N205">
        <v>7.0744902205576374E-2</v>
      </c>
      <c r="O205">
        <v>0.77900000000000003</v>
      </c>
      <c r="P205" s="48">
        <v>422.89560012174923</v>
      </c>
      <c r="Q205">
        <v>0.113</v>
      </c>
      <c r="R205">
        <v>0.91300000000000003</v>
      </c>
      <c r="S205">
        <v>0.12376779846659365</v>
      </c>
      <c r="T205" s="21">
        <v>2.0924137931034488</v>
      </c>
      <c r="U205" s="21">
        <v>1.9164750957854406</v>
      </c>
      <c r="V205" s="21">
        <v>4.1918074074074072</v>
      </c>
      <c r="W205" s="21">
        <v>5.5087407407407412</v>
      </c>
      <c r="X205" s="21">
        <f t="shared" si="36"/>
        <v>2.0044444444444447</v>
      </c>
      <c r="Y205" s="21">
        <f t="shared" si="37"/>
        <v>4.8502740740740737</v>
      </c>
      <c r="Z205">
        <f>R205-M205</f>
        <v>-1.49</v>
      </c>
      <c r="AA205">
        <f t="shared" si="38"/>
        <v>2.845829629629629</v>
      </c>
      <c r="AB205" t="s">
        <v>2179</v>
      </c>
    </row>
    <row r="206" spans="1:28" x14ac:dyDescent="0.2">
      <c r="A206" t="s">
        <v>2101</v>
      </c>
      <c r="B206">
        <v>498</v>
      </c>
      <c r="C206" t="s">
        <v>2102</v>
      </c>
      <c r="D206" t="s">
        <v>1659</v>
      </c>
      <c r="E206" t="s">
        <v>1660</v>
      </c>
      <c r="F206" t="s">
        <v>1706</v>
      </c>
      <c r="G206" t="s">
        <v>347</v>
      </c>
      <c r="H206" t="s">
        <v>1661</v>
      </c>
      <c r="I206" t="s">
        <v>1662</v>
      </c>
      <c r="J206">
        <v>0.64600000000000002</v>
      </c>
      <c r="K206" s="48"/>
      <c r="L206">
        <v>7.4999999999999997E-2</v>
      </c>
      <c r="M206">
        <v>0.61199999999999999</v>
      </c>
      <c r="N206">
        <v>0.12254901960784313</v>
      </c>
      <c r="O206">
        <v>0.79900000000000004</v>
      </c>
      <c r="P206" s="48">
        <v>395.02965944063055</v>
      </c>
      <c r="Q206">
        <v>0.111</v>
      </c>
      <c r="R206">
        <v>1.0549999999999999</v>
      </c>
      <c r="S206">
        <v>0.1052132701421801</v>
      </c>
      <c r="T206" s="21">
        <v>3.4000000000000008</v>
      </c>
      <c r="U206" s="21">
        <v>3.6000000000000005</v>
      </c>
      <c r="V206" s="21">
        <v>5.6747008547008546</v>
      </c>
      <c r="W206" s="21">
        <v>5.5152991452991449</v>
      </c>
      <c r="X206" s="21">
        <f t="shared" si="36"/>
        <v>3.5000000000000009</v>
      </c>
      <c r="Y206" s="21">
        <f t="shared" si="37"/>
        <v>5.5949999999999998</v>
      </c>
      <c r="Z206">
        <f>R206-M206</f>
        <v>0.44299999999999995</v>
      </c>
      <c r="AA206">
        <f t="shared" si="38"/>
        <v>2.0949999999999989</v>
      </c>
      <c r="AB206" t="s">
        <v>2171</v>
      </c>
    </row>
    <row r="207" spans="1:28" x14ac:dyDescent="0.2">
      <c r="A207" t="s">
        <v>1678</v>
      </c>
      <c r="B207">
        <v>200</v>
      </c>
      <c r="C207" t="s">
        <v>1679</v>
      </c>
      <c r="D207" t="s">
        <v>1659</v>
      </c>
      <c r="E207" t="s">
        <v>1660</v>
      </c>
      <c r="F207" t="s">
        <v>3</v>
      </c>
      <c r="G207" t="s">
        <v>1680</v>
      </c>
      <c r="H207" t="s">
        <v>1663</v>
      </c>
      <c r="I207" t="s">
        <v>1662</v>
      </c>
      <c r="K207" s="48"/>
      <c r="O207">
        <v>1.06</v>
      </c>
      <c r="P207" s="48">
        <v>20.323620813151283</v>
      </c>
      <c r="T207" s="21"/>
      <c r="U207" s="21"/>
      <c r="V207" s="21"/>
      <c r="W207" s="21"/>
      <c r="X207" s="21"/>
      <c r="Y207" s="21"/>
      <c r="AB207" t="e">
        <v>#N/A</v>
      </c>
    </row>
    <row r="208" spans="1:28" x14ac:dyDescent="0.2">
      <c r="A208" t="s">
        <v>1760</v>
      </c>
      <c r="B208">
        <v>343</v>
      </c>
      <c r="C208" t="s">
        <v>1761</v>
      </c>
      <c r="D208" t="s">
        <v>1659</v>
      </c>
      <c r="E208" t="s">
        <v>1660</v>
      </c>
      <c r="F208" t="s">
        <v>15</v>
      </c>
      <c r="G208" t="s">
        <v>363</v>
      </c>
      <c r="H208" t="s">
        <v>1663</v>
      </c>
      <c r="I208" t="s">
        <v>1662</v>
      </c>
      <c r="K208" s="48"/>
      <c r="O208">
        <v>0.90749999999999997</v>
      </c>
      <c r="P208" s="48">
        <v>219.9682107159839</v>
      </c>
      <c r="Q208">
        <v>0.15100000000000002</v>
      </c>
      <c r="R208">
        <v>1.3765000000000001</v>
      </c>
      <c r="S208">
        <f>Q208/R208</f>
        <v>0.10969851071558301</v>
      </c>
      <c r="T208" s="21">
        <v>3.1851851851851856</v>
      </c>
      <c r="U208" s="21">
        <v>3.0577777777777784</v>
      </c>
      <c r="V208" s="21">
        <v>3.0330158730158736</v>
      </c>
      <c r="W208" s="21">
        <v>3.1222222222222231</v>
      </c>
      <c r="X208" s="21">
        <f>AVERAGE(T208:U208)</f>
        <v>3.121481481481482</v>
      </c>
      <c r="Y208" s="21">
        <f>AVERAGE(V208:W208)</f>
        <v>3.0776190476190486</v>
      </c>
      <c r="AA208">
        <f>Y208-X208</f>
        <v>-4.3862433862433381E-2</v>
      </c>
      <c r="AB208" t="s">
        <v>2171</v>
      </c>
    </row>
    <row r="209" spans="1:28" x14ac:dyDescent="0.2">
      <c r="A209" t="s">
        <v>1772</v>
      </c>
      <c r="B209">
        <v>702</v>
      </c>
      <c r="C209" t="s">
        <v>1773</v>
      </c>
      <c r="D209" t="s">
        <v>1659</v>
      </c>
      <c r="E209" t="s">
        <v>1660</v>
      </c>
      <c r="F209" t="s">
        <v>1687</v>
      </c>
      <c r="G209" t="s">
        <v>2157</v>
      </c>
      <c r="H209" t="s">
        <v>1663</v>
      </c>
      <c r="I209" t="s">
        <v>1662</v>
      </c>
      <c r="K209" s="48"/>
      <c r="O209">
        <v>0.89600000000000002</v>
      </c>
      <c r="P209" s="48">
        <v>270.93539991438399</v>
      </c>
      <c r="Q209">
        <v>0.13500000000000001</v>
      </c>
      <c r="R209">
        <v>1.2869999999999999</v>
      </c>
      <c r="S209">
        <v>0.10489510489510491</v>
      </c>
      <c r="T209" s="21">
        <v>2.0398550724637681</v>
      </c>
      <c r="U209" s="21"/>
      <c r="V209" s="21">
        <v>3.6173429951690821</v>
      </c>
      <c r="W209" s="21">
        <v>3.9817971014492755</v>
      </c>
      <c r="X209" s="21">
        <f>AVERAGE(T209:U209)</f>
        <v>2.0398550724637681</v>
      </c>
      <c r="Y209" s="21">
        <f>AVERAGE(V209:W209)</f>
        <v>3.799570048309179</v>
      </c>
      <c r="AA209">
        <f>Y209-X209</f>
        <v>1.7597149758454109</v>
      </c>
      <c r="AB209" t="e">
        <v>#N/A</v>
      </c>
    </row>
    <row r="210" spans="1:28" x14ac:dyDescent="0.2">
      <c r="A210" t="s">
        <v>1802</v>
      </c>
      <c r="B210">
        <v>490</v>
      </c>
      <c r="C210" t="s">
        <v>1803</v>
      </c>
      <c r="D210" t="s">
        <v>1659</v>
      </c>
      <c r="E210" t="s">
        <v>1660</v>
      </c>
      <c r="F210" t="s">
        <v>1042</v>
      </c>
      <c r="G210" t="s">
        <v>1804</v>
      </c>
      <c r="H210" t="s">
        <v>1663</v>
      </c>
      <c r="I210" t="s">
        <v>1662</v>
      </c>
      <c r="K210" s="48"/>
      <c r="O210">
        <v>0.91</v>
      </c>
      <c r="P210" s="48">
        <v>240.37368866042158</v>
      </c>
      <c r="T210" s="21"/>
      <c r="U210" s="21"/>
      <c r="V210" s="21"/>
      <c r="W210" s="21"/>
      <c r="X210" s="21"/>
      <c r="Y210" s="21"/>
      <c r="AB210" t="e">
        <v>#N/A</v>
      </c>
    </row>
    <row r="211" spans="1:28" x14ac:dyDescent="0.2">
      <c r="A211" t="s">
        <v>1831</v>
      </c>
      <c r="B211">
        <v>505</v>
      </c>
      <c r="C211" t="s">
        <v>1832</v>
      </c>
      <c r="D211" t="s">
        <v>1659</v>
      </c>
      <c r="E211" t="s">
        <v>1660</v>
      </c>
      <c r="F211" t="s">
        <v>1671</v>
      </c>
      <c r="G211" t="s">
        <v>402</v>
      </c>
      <c r="H211" t="s">
        <v>1661</v>
      </c>
      <c r="I211" t="s">
        <v>1662</v>
      </c>
      <c r="J211">
        <v>0.34599999999999997</v>
      </c>
      <c r="K211" s="48"/>
      <c r="L211">
        <v>0.16600000000000001</v>
      </c>
      <c r="M211">
        <v>1.722</v>
      </c>
      <c r="N211">
        <v>9.6399535423925681E-2</v>
      </c>
      <c r="O211">
        <v>0.35</v>
      </c>
      <c r="P211" s="48"/>
      <c r="Q211">
        <v>0.17399999999999999</v>
      </c>
      <c r="R211">
        <v>1.748</v>
      </c>
      <c r="S211">
        <v>9.9542334096109839E-2</v>
      </c>
      <c r="T211" s="21">
        <v>4.7574603174603176</v>
      </c>
      <c r="U211" s="21">
        <v>5.4317460317460311</v>
      </c>
      <c r="V211" s="21">
        <v>4.1560286738351246</v>
      </c>
      <c r="W211" s="21">
        <v>2.9449318996415772</v>
      </c>
      <c r="X211" s="21">
        <f t="shared" ref="X211:X222" si="39">AVERAGE(T211:U211)</f>
        <v>5.0946031746031739</v>
      </c>
      <c r="Y211" s="21">
        <f t="shared" ref="Y211:Y222" si="40">AVERAGE(V211:W211)</f>
        <v>3.5504802867383507</v>
      </c>
      <c r="Z211">
        <f>R211-M211</f>
        <v>2.6000000000000023E-2</v>
      </c>
      <c r="AA211">
        <f t="shared" ref="AA211:AA222" si="41">Y211-X211</f>
        <v>-1.5441228878648232</v>
      </c>
      <c r="AB211" t="e">
        <v>#N/A</v>
      </c>
    </row>
    <row r="212" spans="1:28" x14ac:dyDescent="0.2">
      <c r="A212" t="s">
        <v>1841</v>
      </c>
      <c r="B212">
        <v>511</v>
      </c>
      <c r="C212" t="s">
        <v>1842</v>
      </c>
      <c r="D212" t="s">
        <v>1659</v>
      </c>
      <c r="E212" t="s">
        <v>1660</v>
      </c>
      <c r="F212" t="s">
        <v>1687</v>
      </c>
      <c r="G212" t="s">
        <v>349</v>
      </c>
      <c r="H212" t="s">
        <v>1661</v>
      </c>
      <c r="I212" t="s">
        <v>1662</v>
      </c>
      <c r="J212">
        <v>0.33400000000000002</v>
      </c>
      <c r="K212" s="48"/>
      <c r="L212">
        <v>0.129</v>
      </c>
      <c r="M212">
        <v>1.504</v>
      </c>
      <c r="N212">
        <v>8.5771276595744683E-2</v>
      </c>
      <c r="O212">
        <v>0.19700000000000001</v>
      </c>
      <c r="P212" s="48"/>
      <c r="Q212">
        <v>0.20499999999999999</v>
      </c>
      <c r="R212">
        <v>2.4780000000000002</v>
      </c>
      <c r="S212">
        <v>8.2728006456820005E-2</v>
      </c>
      <c r="T212" s="21">
        <v>3.7775111111111119</v>
      </c>
      <c r="U212" s="21">
        <v>4.6106666666666669</v>
      </c>
      <c r="V212" s="21">
        <v>5.3421280602636543</v>
      </c>
      <c r="W212" s="21">
        <v>4.7811111111111115</v>
      </c>
      <c r="X212" s="21">
        <f t="shared" si="39"/>
        <v>4.1940888888888894</v>
      </c>
      <c r="Y212" s="21">
        <f t="shared" si="40"/>
        <v>5.0616195856873833</v>
      </c>
      <c r="Z212">
        <f>R212-M212</f>
        <v>0.9740000000000002</v>
      </c>
      <c r="AA212">
        <f t="shared" si="41"/>
        <v>0.86753069679849393</v>
      </c>
      <c r="AB212" t="s">
        <v>2171</v>
      </c>
    </row>
    <row r="213" spans="1:28" x14ac:dyDescent="0.2">
      <c r="A213" t="s">
        <v>1880</v>
      </c>
      <c r="B213">
        <v>440</v>
      </c>
      <c r="C213" t="s">
        <v>1881</v>
      </c>
      <c r="D213" t="s">
        <v>1659</v>
      </c>
      <c r="E213" t="s">
        <v>1660</v>
      </c>
      <c r="F213" t="s">
        <v>938</v>
      </c>
      <c r="G213" t="s">
        <v>183</v>
      </c>
      <c r="H213" t="s">
        <v>1663</v>
      </c>
      <c r="I213" t="s">
        <v>1662</v>
      </c>
      <c r="K213" s="48"/>
      <c r="O213">
        <v>0.78449999999999998</v>
      </c>
      <c r="P213" s="48">
        <v>415.23246643444162</v>
      </c>
      <c r="Q213">
        <v>0.17949999999999999</v>
      </c>
      <c r="R213">
        <v>1.8345</v>
      </c>
      <c r="S213">
        <v>9.7934575999885656E-2</v>
      </c>
      <c r="T213" s="21">
        <v>2.8974545454545453</v>
      </c>
      <c r="U213" s="21">
        <v>3.203878787878788</v>
      </c>
      <c r="V213" s="21">
        <v>5.2082295482295482</v>
      </c>
      <c r="W213" s="21">
        <v>3.9243711843711844</v>
      </c>
      <c r="X213" s="21">
        <f t="shared" si="39"/>
        <v>3.0506666666666664</v>
      </c>
      <c r="Y213" s="21">
        <f t="shared" si="40"/>
        <v>4.5663003663003661</v>
      </c>
      <c r="AA213">
        <f t="shared" si="41"/>
        <v>1.5156336996336996</v>
      </c>
      <c r="AB213" t="e">
        <v>#N/A</v>
      </c>
    </row>
    <row r="214" spans="1:28" x14ac:dyDescent="0.2">
      <c r="A214" t="s">
        <v>1901</v>
      </c>
      <c r="B214">
        <v>503</v>
      </c>
      <c r="C214" t="s">
        <v>1902</v>
      </c>
      <c r="D214" t="s">
        <v>1659</v>
      </c>
      <c r="E214" t="s">
        <v>1660</v>
      </c>
      <c r="F214" t="s">
        <v>1671</v>
      </c>
      <c r="G214" t="s">
        <v>405</v>
      </c>
      <c r="H214" t="s">
        <v>1661</v>
      </c>
      <c r="I214" t="s">
        <v>1662</v>
      </c>
      <c r="J214">
        <v>0.34799999999999998</v>
      </c>
      <c r="K214" s="48"/>
      <c r="L214">
        <v>0.161</v>
      </c>
      <c r="M214">
        <v>1.5149999999999999</v>
      </c>
      <c r="N214">
        <v>0.10627062706270628</v>
      </c>
      <c r="O214">
        <v>0.72</v>
      </c>
      <c r="P214" s="48">
        <v>510.05789830154231</v>
      </c>
      <c r="Q214">
        <v>0.14899999999999999</v>
      </c>
      <c r="R214">
        <v>1.506</v>
      </c>
      <c r="S214">
        <v>9.8937583001328017E-2</v>
      </c>
      <c r="T214" s="21">
        <v>3.6490697674418611</v>
      </c>
      <c r="U214" s="21">
        <v>2.264418604651163</v>
      </c>
      <c r="V214" s="21">
        <v>2.5646005509641876</v>
      </c>
      <c r="W214" s="21">
        <v>3.5864646464646466</v>
      </c>
      <c r="X214" s="21">
        <f t="shared" si="39"/>
        <v>2.956744186046512</v>
      </c>
      <c r="Y214" s="21">
        <f t="shared" si="40"/>
        <v>3.0755325987144171</v>
      </c>
      <c r="Z214">
        <f>R214-M214</f>
        <v>-8.999999999999897E-3</v>
      </c>
      <c r="AA214">
        <f t="shared" si="41"/>
        <v>0.11878841266790507</v>
      </c>
      <c r="AB214" t="e">
        <v>#N/A</v>
      </c>
    </row>
    <row r="215" spans="1:28" x14ac:dyDescent="0.2">
      <c r="A215" t="s">
        <v>1925</v>
      </c>
      <c r="B215">
        <v>479</v>
      </c>
      <c r="C215" t="s">
        <v>1926</v>
      </c>
      <c r="D215" t="s">
        <v>1659</v>
      </c>
      <c r="E215" t="s">
        <v>1660</v>
      </c>
      <c r="F215" t="s">
        <v>645</v>
      </c>
      <c r="G215" t="s">
        <v>333</v>
      </c>
      <c r="H215" t="s">
        <v>1663</v>
      </c>
      <c r="I215" t="s">
        <v>1662</v>
      </c>
      <c r="K215" s="48"/>
      <c r="O215">
        <v>0.72199999999999998</v>
      </c>
      <c r="P215" s="48">
        <v>502.31353106293767</v>
      </c>
      <c r="Q215">
        <v>0.161</v>
      </c>
      <c r="R215">
        <v>1.5740000000000001</v>
      </c>
      <c r="S215">
        <v>0.102287166454892</v>
      </c>
      <c r="T215" s="21">
        <v>1.7026337448559672</v>
      </c>
      <c r="U215" s="21">
        <v>2.0009053497942388</v>
      </c>
      <c r="V215" s="21">
        <v>4.7516239316239322</v>
      </c>
      <c r="W215" s="21">
        <v>4.2922317188983863</v>
      </c>
      <c r="X215" s="21">
        <f t="shared" si="39"/>
        <v>1.851769547325103</v>
      </c>
      <c r="Y215" s="21">
        <f t="shared" si="40"/>
        <v>4.5219278252611588</v>
      </c>
      <c r="AA215">
        <f t="shared" si="41"/>
        <v>2.6701582779360558</v>
      </c>
      <c r="AB215" t="s">
        <v>2181</v>
      </c>
    </row>
    <row r="216" spans="1:28" x14ac:dyDescent="0.2">
      <c r="A216" t="s">
        <v>1933</v>
      </c>
      <c r="B216">
        <v>586</v>
      </c>
      <c r="C216" t="s">
        <v>1934</v>
      </c>
      <c r="D216" t="s">
        <v>1659</v>
      </c>
      <c r="E216" t="s">
        <v>1660</v>
      </c>
      <c r="F216" t="s">
        <v>196</v>
      </c>
      <c r="G216" t="s">
        <v>317</v>
      </c>
      <c r="H216" t="s">
        <v>1663</v>
      </c>
      <c r="I216" t="s">
        <v>1662</v>
      </c>
      <c r="K216" s="48"/>
      <c r="O216">
        <v>0.98399999999999999</v>
      </c>
      <c r="P216" s="48">
        <v>135.04586884329248</v>
      </c>
      <c r="Q216">
        <v>9.0999999999999998E-2</v>
      </c>
      <c r="R216">
        <v>0.70899999999999996</v>
      </c>
      <c r="S216">
        <v>0.12834978843441466</v>
      </c>
      <c r="T216" s="21">
        <v>3.2388888888888889</v>
      </c>
      <c r="U216" s="21">
        <v>3.0364583333333335</v>
      </c>
      <c r="V216" s="21">
        <v>3.1256521739130441</v>
      </c>
      <c r="W216" s="21">
        <v>2.9673913043478262</v>
      </c>
      <c r="X216" s="21">
        <f t="shared" si="39"/>
        <v>3.1376736111111114</v>
      </c>
      <c r="Y216" s="21">
        <f t="shared" si="40"/>
        <v>3.0465217391304353</v>
      </c>
      <c r="AA216">
        <f t="shared" si="41"/>
        <v>-9.1151871980676091E-2</v>
      </c>
      <c r="AB216" t="s">
        <v>2171</v>
      </c>
    </row>
    <row r="217" spans="1:28" x14ac:dyDescent="0.2">
      <c r="A217" t="s">
        <v>1941</v>
      </c>
      <c r="B217">
        <v>473</v>
      </c>
      <c r="C217" t="s">
        <v>1942</v>
      </c>
      <c r="D217" t="s">
        <v>1659</v>
      </c>
      <c r="E217" t="s">
        <v>1660</v>
      </c>
      <c r="F217" t="s">
        <v>938</v>
      </c>
      <c r="G217" t="s">
        <v>186</v>
      </c>
      <c r="H217" t="s">
        <v>1663</v>
      </c>
      <c r="I217" t="s">
        <v>1662</v>
      </c>
      <c r="K217" s="48"/>
      <c r="O217">
        <v>0.80300000000000005</v>
      </c>
      <c r="P217" s="48">
        <v>389.45647130440676</v>
      </c>
      <c r="Q217">
        <v>0.155</v>
      </c>
      <c r="R217">
        <v>1.4550000000000001</v>
      </c>
      <c r="S217">
        <v>0.10652920962199312</v>
      </c>
      <c r="T217" s="21">
        <v>3.9482361111111106</v>
      </c>
      <c r="U217" s="21">
        <v>4.2701388888888889</v>
      </c>
      <c r="V217" s="21">
        <v>3.5565679012345686</v>
      </c>
      <c r="W217" s="21">
        <v>5.9031111111111114</v>
      </c>
      <c r="X217" s="21">
        <f t="shared" si="39"/>
        <v>4.1091875</v>
      </c>
      <c r="Y217" s="21">
        <f t="shared" si="40"/>
        <v>4.7298395061728398</v>
      </c>
      <c r="AA217">
        <f t="shared" si="41"/>
        <v>0.62065200617283978</v>
      </c>
      <c r="AB217" t="e">
        <v>#N/A</v>
      </c>
    </row>
    <row r="218" spans="1:28" x14ac:dyDescent="0.2">
      <c r="A218" t="s">
        <v>1949</v>
      </c>
      <c r="B218">
        <v>508</v>
      </c>
      <c r="C218" t="s">
        <v>1950</v>
      </c>
      <c r="D218" t="s">
        <v>1659</v>
      </c>
      <c r="E218" t="s">
        <v>1660</v>
      </c>
      <c r="F218" t="s">
        <v>1671</v>
      </c>
      <c r="G218" t="s">
        <v>406</v>
      </c>
      <c r="H218" t="s">
        <v>1661</v>
      </c>
      <c r="I218" t="s">
        <v>1662</v>
      </c>
      <c r="J218">
        <v>0.313</v>
      </c>
      <c r="K218" s="48"/>
      <c r="L218">
        <v>0.14000000000000001</v>
      </c>
      <c r="M218">
        <v>1.6439999999999999</v>
      </c>
      <c r="N218">
        <v>8.5158150851581516E-2</v>
      </c>
      <c r="O218">
        <v>0.82599999999999996</v>
      </c>
      <c r="P218" s="48">
        <v>357.4106395211204</v>
      </c>
      <c r="Q218">
        <v>0.156</v>
      </c>
      <c r="R218">
        <v>1.7869999999999999</v>
      </c>
      <c r="S218">
        <v>8.7297146054840513E-2</v>
      </c>
      <c r="T218" s="21">
        <v>4.8115491009681888</v>
      </c>
      <c r="U218" s="21">
        <v>6.1301290917473494</v>
      </c>
      <c r="V218" s="21">
        <v>4.2727063162747818</v>
      </c>
      <c r="W218" s="21">
        <v>4.9256569847856166</v>
      </c>
      <c r="X218" s="21">
        <f t="shared" si="39"/>
        <v>5.4708390963577695</v>
      </c>
      <c r="Y218" s="21">
        <f t="shared" si="40"/>
        <v>4.5991816505301992</v>
      </c>
      <c r="Z218">
        <f>R218-M218</f>
        <v>0.14300000000000002</v>
      </c>
      <c r="AA218">
        <f t="shared" si="41"/>
        <v>-0.87165744582757032</v>
      </c>
      <c r="AB218" t="s">
        <v>2171</v>
      </c>
    </row>
    <row r="219" spans="1:28" x14ac:dyDescent="0.2">
      <c r="A219" t="s">
        <v>1976</v>
      </c>
      <c r="B219">
        <v>347</v>
      </c>
      <c r="C219" t="s">
        <v>1977</v>
      </c>
      <c r="D219" t="s">
        <v>1659</v>
      </c>
      <c r="E219" t="s">
        <v>1660</v>
      </c>
      <c r="F219" t="s">
        <v>15</v>
      </c>
      <c r="G219" t="s">
        <v>210</v>
      </c>
      <c r="H219" t="s">
        <v>1663</v>
      </c>
      <c r="I219" t="s">
        <v>1662</v>
      </c>
      <c r="K219" s="48"/>
      <c r="O219">
        <v>0.89849999999999997</v>
      </c>
      <c r="P219" s="48">
        <v>231.46553040439568</v>
      </c>
      <c r="Q219">
        <v>0.129</v>
      </c>
      <c r="R219">
        <v>1.073</v>
      </c>
      <c r="S219">
        <v>0.12022367194780989</v>
      </c>
      <c r="T219" s="21">
        <v>0.67272727272727262</v>
      </c>
      <c r="U219" s="21">
        <v>2.0555555555555554</v>
      </c>
      <c r="V219" s="21">
        <v>1.5526851851851851</v>
      </c>
      <c r="W219" s="21">
        <v>0.79527777777777786</v>
      </c>
      <c r="X219" s="21">
        <f t="shared" si="39"/>
        <v>1.3641414141414141</v>
      </c>
      <c r="Y219" s="21">
        <f t="shared" si="40"/>
        <v>1.1739814814814815</v>
      </c>
      <c r="AA219">
        <f t="shared" si="41"/>
        <v>-0.19015993265993258</v>
      </c>
      <c r="AB219" t="s">
        <v>2171</v>
      </c>
    </row>
    <row r="220" spans="1:28" x14ac:dyDescent="0.2">
      <c r="A220" t="s">
        <v>1978</v>
      </c>
      <c r="B220">
        <v>483</v>
      </c>
      <c r="C220" t="s">
        <v>1979</v>
      </c>
      <c r="D220" t="s">
        <v>1659</v>
      </c>
      <c r="E220" t="s">
        <v>1660</v>
      </c>
      <c r="F220" t="s">
        <v>645</v>
      </c>
      <c r="G220" t="s">
        <v>108</v>
      </c>
      <c r="H220" t="s">
        <v>1663</v>
      </c>
      <c r="I220" t="s">
        <v>1662</v>
      </c>
      <c r="K220" s="48"/>
      <c r="O220">
        <v>0.66300000000000003</v>
      </c>
      <c r="P220" s="48">
        <v>584.51805607223787</v>
      </c>
      <c r="Q220">
        <v>0.14000000000000001</v>
      </c>
      <c r="R220">
        <v>1.597</v>
      </c>
      <c r="S220">
        <v>8.7664370695053229E-2</v>
      </c>
      <c r="T220" s="21">
        <v>5.3166666666666673</v>
      </c>
      <c r="U220" s="21">
        <v>4.4611111111111121</v>
      </c>
      <c r="V220" s="21">
        <v>4.7512857142857152</v>
      </c>
      <c r="W220" s="21">
        <v>3.4872857142857145</v>
      </c>
      <c r="X220" s="21">
        <f t="shared" si="39"/>
        <v>4.8888888888888893</v>
      </c>
      <c r="Y220" s="21">
        <f t="shared" si="40"/>
        <v>4.1192857142857147</v>
      </c>
      <c r="AA220">
        <f t="shared" si="41"/>
        <v>-0.76960317460317462</v>
      </c>
      <c r="AB220" t="e">
        <v>#N/A</v>
      </c>
    </row>
    <row r="221" spans="1:28" x14ac:dyDescent="0.2">
      <c r="A221" t="s">
        <v>2004</v>
      </c>
      <c r="B221">
        <v>240</v>
      </c>
      <c r="C221" t="s">
        <v>2005</v>
      </c>
      <c r="D221" t="s">
        <v>1659</v>
      </c>
      <c r="E221" t="s">
        <v>1660</v>
      </c>
      <c r="F221" t="s">
        <v>16</v>
      </c>
      <c r="G221" t="s">
        <v>381</v>
      </c>
      <c r="H221" t="s">
        <v>1663</v>
      </c>
      <c r="I221" t="s">
        <v>1662</v>
      </c>
      <c r="K221" s="48"/>
      <c r="O221">
        <v>1.0569999999999999</v>
      </c>
      <c r="P221" s="48">
        <v>39.794211970915427</v>
      </c>
      <c r="Q221">
        <v>0.13400000000000001</v>
      </c>
      <c r="R221">
        <v>1.3720000000000001</v>
      </c>
      <c r="S221">
        <v>9.7667638483965008E-2</v>
      </c>
      <c r="T221" s="21">
        <v>1.6939682539682539</v>
      </c>
      <c r="U221" s="21">
        <v>1.4895238095238095</v>
      </c>
      <c r="V221" s="21">
        <v>3.5077777777777785</v>
      </c>
      <c r="W221" s="21">
        <v>2.046203703703704</v>
      </c>
      <c r="X221" s="21">
        <f t="shared" si="39"/>
        <v>1.5917460317460317</v>
      </c>
      <c r="Y221" s="21">
        <f t="shared" si="40"/>
        <v>2.7769907407407413</v>
      </c>
      <c r="AA221">
        <f t="shared" si="41"/>
        <v>1.1852447089947096</v>
      </c>
      <c r="AB221" t="e">
        <v>#N/A</v>
      </c>
    </row>
    <row r="222" spans="1:28" x14ac:dyDescent="0.2">
      <c r="A222" t="s">
        <v>2014</v>
      </c>
      <c r="B222">
        <v>644</v>
      </c>
      <c r="C222" t="s">
        <v>2015</v>
      </c>
      <c r="D222" t="s">
        <v>1659</v>
      </c>
      <c r="E222" t="s">
        <v>1660</v>
      </c>
      <c r="F222" t="s">
        <v>777</v>
      </c>
      <c r="G222" t="s">
        <v>374</v>
      </c>
      <c r="H222" t="s">
        <v>1663</v>
      </c>
      <c r="I222" t="s">
        <v>1662</v>
      </c>
      <c r="K222" s="48"/>
      <c r="O222">
        <v>0.92</v>
      </c>
      <c r="P222" s="48">
        <v>237.0442747080879</v>
      </c>
      <c r="Q222">
        <v>0.122</v>
      </c>
      <c r="R222">
        <v>1.2929999999999999</v>
      </c>
      <c r="S222">
        <v>9.4354215003866981E-2</v>
      </c>
      <c r="T222" s="21">
        <v>4.4981642512077302</v>
      </c>
      <c r="U222" s="21">
        <v>4.8912077294685998</v>
      </c>
      <c r="V222" s="21">
        <v>4.5819354838709678</v>
      </c>
      <c r="W222" s="21">
        <v>3.6587096774193548</v>
      </c>
      <c r="X222" s="21">
        <f t="shared" si="39"/>
        <v>4.694685990338165</v>
      </c>
      <c r="Y222" s="21">
        <f t="shared" si="40"/>
        <v>4.1203225806451611</v>
      </c>
      <c r="AA222">
        <f t="shared" si="41"/>
        <v>-0.57436340969300392</v>
      </c>
      <c r="AB222" t="s">
        <v>2171</v>
      </c>
    </row>
    <row r="223" spans="1:28" x14ac:dyDescent="0.2">
      <c r="A223" t="s">
        <v>2022</v>
      </c>
      <c r="B223">
        <v>194</v>
      </c>
      <c r="C223" t="s">
        <v>2023</v>
      </c>
      <c r="D223" t="s">
        <v>1659</v>
      </c>
      <c r="E223" t="s">
        <v>1660</v>
      </c>
      <c r="F223" t="s">
        <v>3</v>
      </c>
      <c r="G223" t="s">
        <v>2024</v>
      </c>
      <c r="H223" t="s">
        <v>1663</v>
      </c>
      <c r="I223" t="s">
        <v>1662</v>
      </c>
      <c r="K223" s="48"/>
      <c r="O223">
        <v>0.78500000000000003</v>
      </c>
      <c r="P223" s="48">
        <v>371.11726935542225</v>
      </c>
      <c r="Q223">
        <v>0.17399999999999999</v>
      </c>
      <c r="R223">
        <v>1.748</v>
      </c>
      <c r="S223">
        <v>9.9542334096109839E-2</v>
      </c>
      <c r="T223" s="21"/>
      <c r="U223" s="21"/>
      <c r="V223" s="21"/>
      <c r="W223" s="21"/>
      <c r="X223" s="21"/>
      <c r="Y223" s="21"/>
      <c r="AB223" t="e">
        <v>#N/A</v>
      </c>
    </row>
    <row r="224" spans="1:28" x14ac:dyDescent="0.2">
      <c r="A224" t="s">
        <v>2042</v>
      </c>
      <c r="B224">
        <v>521</v>
      </c>
      <c r="C224" t="s">
        <v>2041</v>
      </c>
      <c r="D224" t="s">
        <v>1659</v>
      </c>
      <c r="E224" t="s">
        <v>1660</v>
      </c>
      <c r="F224" t="s">
        <v>1687</v>
      </c>
      <c r="G224" t="s">
        <v>350</v>
      </c>
      <c r="H224" t="s">
        <v>1663</v>
      </c>
      <c r="I224" t="s">
        <v>1662</v>
      </c>
      <c r="K224" s="48"/>
      <c r="O224">
        <v>0.70199999999999996</v>
      </c>
      <c r="P224" s="48">
        <v>533.38610267555782</v>
      </c>
      <c r="Q224">
        <v>0.13300000000000001</v>
      </c>
      <c r="R224">
        <v>1.2709999999999999</v>
      </c>
      <c r="S224">
        <v>0.10464201416207712</v>
      </c>
      <c r="T224" s="21">
        <v>4.3424389119409872</v>
      </c>
      <c r="U224" s="21">
        <v>4.1142231443061323</v>
      </c>
      <c r="V224" s="21">
        <v>4.152259105578608</v>
      </c>
      <c r="W224" s="21">
        <v>4.4502074688796682</v>
      </c>
      <c r="X224" s="21">
        <f>AVERAGE(T224:U224)</f>
        <v>4.2283310281235593</v>
      </c>
      <c r="Y224" s="21">
        <f>AVERAGE(V224:W224)</f>
        <v>4.3012332872291381</v>
      </c>
      <c r="AA224">
        <f>Y224-X224</f>
        <v>7.2902259105578793E-2</v>
      </c>
      <c r="AB224" t="e">
        <v>#N/A</v>
      </c>
    </row>
    <row r="225" spans="1:29" x14ac:dyDescent="0.2">
      <c r="A225" t="s">
        <v>2056</v>
      </c>
      <c r="B225">
        <v>442</v>
      </c>
      <c r="C225" t="s">
        <v>2057</v>
      </c>
      <c r="D225" t="s">
        <v>1659</v>
      </c>
      <c r="E225" t="s">
        <v>1660</v>
      </c>
      <c r="F225" t="s">
        <v>938</v>
      </c>
      <c r="G225" t="s">
        <v>191</v>
      </c>
      <c r="H225" t="s">
        <v>1663</v>
      </c>
      <c r="I225" t="s">
        <v>1662</v>
      </c>
      <c r="K225" s="48"/>
      <c r="O225">
        <v>0.68899999999999995</v>
      </c>
      <c r="P225" s="48">
        <v>548.29233318678371</v>
      </c>
      <c r="T225" s="21">
        <v>3.5119870908252655</v>
      </c>
      <c r="U225" s="21">
        <v>4.0127939142461972</v>
      </c>
      <c r="V225" s="21">
        <v>5.2299446749654228</v>
      </c>
      <c r="W225" s="21">
        <v>5.4328031350852939</v>
      </c>
      <c r="X225" s="21">
        <f>AVERAGE(T225:U225)</f>
        <v>3.7623905025357312</v>
      </c>
      <c r="Y225" s="21">
        <f>AVERAGE(V225:W225)</f>
        <v>5.3313739050253588</v>
      </c>
      <c r="AA225">
        <f>Y225-X225</f>
        <v>1.5689834024896276</v>
      </c>
      <c r="AB225" t="e">
        <v>#N/A</v>
      </c>
    </row>
    <row r="226" spans="1:29" x14ac:dyDescent="0.2">
      <c r="A226" t="s">
        <v>2072</v>
      </c>
      <c r="B226">
        <v>681</v>
      </c>
      <c r="C226" t="s">
        <v>2073</v>
      </c>
      <c r="D226" t="s">
        <v>1659</v>
      </c>
      <c r="E226" t="s">
        <v>1660</v>
      </c>
      <c r="F226" t="s">
        <v>777</v>
      </c>
      <c r="G226" t="s">
        <v>2074</v>
      </c>
      <c r="H226" t="s">
        <v>1663</v>
      </c>
      <c r="I226" t="s">
        <v>1662</v>
      </c>
      <c r="K226" s="48"/>
      <c r="O226">
        <v>0.85599999999999998</v>
      </c>
      <c r="P226" s="48">
        <v>325.09280128433255</v>
      </c>
      <c r="AB226" t="e">
        <v>#N/A</v>
      </c>
    </row>
    <row r="227" spans="1:29" x14ac:dyDescent="0.2">
      <c r="A227" t="s">
        <v>2077</v>
      </c>
      <c r="B227">
        <v>265</v>
      </c>
      <c r="C227" t="s">
        <v>2078</v>
      </c>
      <c r="D227" t="s">
        <v>1659</v>
      </c>
      <c r="E227" t="s">
        <v>1660</v>
      </c>
      <c r="F227" t="s">
        <v>4</v>
      </c>
      <c r="G227" t="s">
        <v>345</v>
      </c>
      <c r="H227" t="s">
        <v>1661</v>
      </c>
      <c r="I227" t="s">
        <v>1662</v>
      </c>
      <c r="J227">
        <v>0.56999999999999995</v>
      </c>
      <c r="K227" s="48"/>
      <c r="L227">
        <v>0.20300000000000001</v>
      </c>
      <c r="M227">
        <v>2.198</v>
      </c>
      <c r="N227">
        <v>9.2356687898089179E-2</v>
      </c>
      <c r="O227">
        <v>0.79600000000000004</v>
      </c>
      <c r="P227" s="48">
        <v>373.03768478836628</v>
      </c>
      <c r="Q227">
        <v>0.16400000000000001</v>
      </c>
      <c r="R227">
        <v>1.6970000000000001</v>
      </c>
      <c r="S227">
        <v>9.6641131408367706E-2</v>
      </c>
      <c r="T227" s="21">
        <v>2.12780193236715</v>
      </c>
      <c r="U227" s="21">
        <v>2.9897946859903386</v>
      </c>
      <c r="V227" s="21">
        <v>3.6637681159420294</v>
      </c>
      <c r="W227" s="21">
        <v>5.0682125603864741</v>
      </c>
      <c r="X227" s="21">
        <f>AVERAGE(T227:U227)</f>
        <v>2.5587983091787443</v>
      </c>
      <c r="Y227" s="21">
        <f>AVERAGE(V227:W227)</f>
        <v>4.3659903381642522</v>
      </c>
      <c r="Z227">
        <f>R227-M227</f>
        <v>-0.50099999999999989</v>
      </c>
      <c r="AA227">
        <f>Y227-X227</f>
        <v>1.8071920289855079</v>
      </c>
      <c r="AB227" t="s">
        <v>2174</v>
      </c>
    </row>
    <row r="228" spans="1:29" x14ac:dyDescent="0.2">
      <c r="A228" t="s">
        <v>2105</v>
      </c>
      <c r="B228">
        <v>423</v>
      </c>
      <c r="C228" t="s">
        <v>2106</v>
      </c>
      <c r="D228" t="s">
        <v>1659</v>
      </c>
      <c r="E228" t="s">
        <v>1660</v>
      </c>
      <c r="F228" t="s">
        <v>1687</v>
      </c>
      <c r="G228" t="s">
        <v>168</v>
      </c>
      <c r="H228" t="s">
        <v>1663</v>
      </c>
      <c r="I228" t="s">
        <v>1662</v>
      </c>
      <c r="K228" s="48"/>
      <c r="O228">
        <v>0.97199999999999998</v>
      </c>
      <c r="P228" s="48">
        <v>153.98927254895347</v>
      </c>
      <c r="Q228">
        <v>0.1</v>
      </c>
      <c r="R228">
        <v>1.085</v>
      </c>
      <c r="S228">
        <v>9.2165898617511524E-2</v>
      </c>
      <c r="T228" s="21">
        <v>4.9897435897435898</v>
      </c>
      <c r="U228" s="21">
        <v>4.7312820512820508</v>
      </c>
      <c r="V228" s="21">
        <v>6.1562021857923499</v>
      </c>
      <c r="W228" s="21">
        <v>5.3928051001821498</v>
      </c>
      <c r="X228" s="21">
        <f>AVERAGE(T228:U228)</f>
        <v>4.8605128205128203</v>
      </c>
      <c r="Y228" s="21">
        <f>AVERAGE(V228:W228)</f>
        <v>5.7745036429872503</v>
      </c>
      <c r="AA228">
        <f>Y228-X228</f>
        <v>0.91399082247442998</v>
      </c>
      <c r="AB228" t="e">
        <v>#N/A</v>
      </c>
      <c r="AC228" s="21"/>
    </row>
    <row r="229" spans="1:29" x14ac:dyDescent="0.2">
      <c r="A229" t="s">
        <v>2116</v>
      </c>
      <c r="B229">
        <v>339</v>
      </c>
      <c r="C229" t="s">
        <v>2117</v>
      </c>
      <c r="D229" t="s">
        <v>1659</v>
      </c>
      <c r="E229" t="s">
        <v>1660</v>
      </c>
      <c r="F229" t="s">
        <v>15</v>
      </c>
      <c r="G229" t="s">
        <v>368</v>
      </c>
      <c r="H229" t="s">
        <v>1663</v>
      </c>
      <c r="I229" t="s">
        <v>1662</v>
      </c>
      <c r="K229" s="48"/>
      <c r="O229">
        <v>0.94399999999999995</v>
      </c>
      <c r="P229" s="48">
        <v>184.07203736697673</v>
      </c>
      <c r="Q229">
        <v>0.121</v>
      </c>
      <c r="R229">
        <v>0.78700000000000003</v>
      </c>
      <c r="S229">
        <v>0.15374841168996187</v>
      </c>
      <c r="T229" s="21">
        <v>1.7436363636363637</v>
      </c>
      <c r="U229" s="21"/>
      <c r="V229" s="21">
        <v>2.08</v>
      </c>
      <c r="W229" s="21">
        <v>1.4733333333333332</v>
      </c>
      <c r="X229" s="21">
        <f>AVERAGE(T229:U229)</f>
        <v>1.7436363636363637</v>
      </c>
      <c r="Y229" s="21">
        <f>AVERAGE(V229:W229)</f>
        <v>1.7766666666666666</v>
      </c>
      <c r="AA229">
        <f>Y229-X229</f>
        <v>3.3030303030302965E-2</v>
      </c>
      <c r="AB229" t="s">
        <v>2171</v>
      </c>
    </row>
    <row r="230" spans="1:29" x14ac:dyDescent="0.2">
      <c r="A230" t="s">
        <v>2138</v>
      </c>
      <c r="B230">
        <v>668</v>
      </c>
      <c r="C230" t="s">
        <v>2139</v>
      </c>
      <c r="D230" t="s">
        <v>1659</v>
      </c>
      <c r="E230" t="s">
        <v>1660</v>
      </c>
      <c r="F230" t="s">
        <v>645</v>
      </c>
      <c r="G230" t="s">
        <v>116</v>
      </c>
      <c r="H230" t="s">
        <v>1663</v>
      </c>
      <c r="I230" t="s">
        <v>1662</v>
      </c>
      <c r="K230" s="48"/>
      <c r="O230">
        <v>0.73499999999999999</v>
      </c>
      <c r="P230" s="48">
        <v>491.55954684254544</v>
      </c>
      <c r="Q230">
        <v>0.151</v>
      </c>
      <c r="R230">
        <v>1.5740000000000001</v>
      </c>
      <c r="S230">
        <v>9.5933926302414221E-2</v>
      </c>
      <c r="T230" s="21">
        <v>2.9794836330106049</v>
      </c>
      <c r="U230" s="21">
        <v>5.0080682342093139</v>
      </c>
      <c r="V230" s="21">
        <v>7.0366528354080229</v>
      </c>
      <c r="W230" s="21">
        <v>6.7830797602581843</v>
      </c>
      <c r="X230" s="21">
        <f>AVERAGE(T230:U230)</f>
        <v>3.9937759336099594</v>
      </c>
      <c r="Y230" s="21">
        <f>AVERAGE(V230:W230)</f>
        <v>6.9098662978331031</v>
      </c>
      <c r="AA230">
        <f>Y230-X230</f>
        <v>2.9160903642231437</v>
      </c>
      <c r="AB230" t="s">
        <v>2179</v>
      </c>
    </row>
    <row r="231" spans="1:29" x14ac:dyDescent="0.2">
      <c r="O231" s="14"/>
      <c r="P231" s="49"/>
      <c r="Q231" s="14"/>
      <c r="R231" s="14"/>
      <c r="S231" s="14"/>
    </row>
    <row r="232" spans="1:29" x14ac:dyDescent="0.2">
      <c r="K232">
        <f>AVERAGE(K2:K230,P2:P230)</f>
        <v>287.51286282580196</v>
      </c>
      <c r="L232">
        <f t="shared" ref="L232:AA232" si="42">AVERAGE(L2:L230)</f>
        <v>0.13887499999999994</v>
      </c>
      <c r="M232">
        <f t="shared" si="42"/>
        <v>1.349729166666666</v>
      </c>
      <c r="N232">
        <f t="shared" si="42"/>
        <v>0.1069366016808761</v>
      </c>
      <c r="O232">
        <f t="shared" si="42"/>
        <v>0.86109313725490177</v>
      </c>
      <c r="P232" s="48">
        <f t="shared" si="42"/>
        <v>288.84442648752668</v>
      </c>
      <c r="Q232">
        <f t="shared" si="42"/>
        <v>0.14268848167539269</v>
      </c>
      <c r="R232">
        <f t="shared" si="42"/>
        <v>1.3873089005235608</v>
      </c>
      <c r="S232">
        <f t="shared" si="42"/>
        <v>0.10681695248561879</v>
      </c>
      <c r="T232" s="21">
        <f>MIN(T2:U230)</f>
        <v>0.54139869281045749</v>
      </c>
      <c r="U232">
        <f t="shared" si="42"/>
        <v>3.5249068449152205</v>
      </c>
      <c r="V232" s="21">
        <f>AVERAGE(V2:W230)</f>
        <v>4.4204597460405441</v>
      </c>
      <c r="W232">
        <f t="shared" si="42"/>
        <v>4.4400299324217105</v>
      </c>
      <c r="X232">
        <f t="shared" si="42"/>
        <v>3.5319261537721847</v>
      </c>
      <c r="Y232" s="21">
        <f>MAX(Y2:Y230)</f>
        <v>8.8830000000000009</v>
      </c>
      <c r="Z232">
        <f t="shared" si="42"/>
        <v>3.089825581395346E-2</v>
      </c>
      <c r="AA232">
        <f t="shared" si="42"/>
        <v>1.0297092199302527</v>
      </c>
    </row>
    <row r="233" spans="1:29" x14ac:dyDescent="0.2">
      <c r="K233">
        <f>_xlfn.STDEV.P(K2:K230,P2:P230)</f>
        <v>145.42603157958496</v>
      </c>
      <c r="L233">
        <f t="shared" ref="L233:AA233" si="43">_xlfn.STDEV.P(L2:L230)</f>
        <v>3.6769375561283013E-2</v>
      </c>
      <c r="M233">
        <f t="shared" si="43"/>
        <v>0.43284547507758547</v>
      </c>
      <c r="N233">
        <f t="shared" si="43"/>
        <v>2.2640571592308905E-2</v>
      </c>
      <c r="O233">
        <f t="shared" si="43"/>
        <v>0.13813195649046564</v>
      </c>
      <c r="P233" s="48">
        <f t="shared" si="43"/>
        <v>153.16675569780244</v>
      </c>
      <c r="Q233">
        <f t="shared" si="43"/>
        <v>3.7758790430345399E-2</v>
      </c>
      <c r="R233">
        <f t="shared" si="43"/>
        <v>0.45892323483401576</v>
      </c>
      <c r="S233">
        <f t="shared" si="43"/>
        <v>1.8863616218617124E-2</v>
      </c>
      <c r="T233" s="21">
        <f>AVERAGE(T3:U231)</f>
        <v>3.5026745112414375</v>
      </c>
      <c r="U233">
        <f t="shared" si="43"/>
        <v>1.5363165546675999</v>
      </c>
      <c r="V233">
        <f>_xlfn.STDEV.P(V2:W230)</f>
        <v>1.7694413147437622</v>
      </c>
      <c r="W233">
        <f t="shared" si="43"/>
        <v>1.7932581221906498</v>
      </c>
      <c r="X233">
        <f t="shared" si="43"/>
        <v>1.4743167231948056</v>
      </c>
      <c r="Y233" s="21">
        <f>MIN(Y2:Y230)</f>
        <v>0.4792380952380953</v>
      </c>
      <c r="Z233">
        <f t="shared" si="43"/>
        <v>0.37069313195465753</v>
      </c>
      <c r="AA233">
        <f t="shared" si="43"/>
        <v>1.6284785127970181</v>
      </c>
    </row>
    <row r="234" spans="1:29" x14ac:dyDescent="0.2">
      <c r="J234" t="s">
        <v>2164</v>
      </c>
      <c r="K234">
        <f>K232+(2*K233)</f>
        <v>578.36492598497193</v>
      </c>
      <c r="L234">
        <f t="shared" ref="L234:AA234" si="44">L232+(2*L233)</f>
        <v>0.21241375112256597</v>
      </c>
      <c r="M234">
        <f t="shared" si="44"/>
        <v>2.215420116821837</v>
      </c>
      <c r="N234">
        <f t="shared" si="44"/>
        <v>0.15221774486549391</v>
      </c>
      <c r="O234">
        <f t="shared" si="44"/>
        <v>1.137357050235833</v>
      </c>
      <c r="P234" s="48">
        <f t="shared" si="44"/>
        <v>595.17793788313156</v>
      </c>
      <c r="Q234">
        <f t="shared" si="44"/>
        <v>0.21820606253608349</v>
      </c>
      <c r="R234">
        <f t="shared" si="44"/>
        <v>2.3051553701915921</v>
      </c>
      <c r="S234">
        <f t="shared" si="44"/>
        <v>0.14454418492285304</v>
      </c>
      <c r="T234">
        <f t="shared" si="44"/>
        <v>7.546747715293332</v>
      </c>
      <c r="U234">
        <f t="shared" si="44"/>
        <v>6.5975399542504203</v>
      </c>
      <c r="V234">
        <f t="shared" si="44"/>
        <v>7.9593423755280686</v>
      </c>
      <c r="W234">
        <f t="shared" si="44"/>
        <v>8.0265461768030093</v>
      </c>
      <c r="X234">
        <f t="shared" si="44"/>
        <v>6.4805596001617953</v>
      </c>
      <c r="Y234">
        <f t="shared" si="44"/>
        <v>9.8414761904761914</v>
      </c>
      <c r="Z234">
        <f t="shared" si="44"/>
        <v>0.7722845197232685</v>
      </c>
      <c r="AA234">
        <f t="shared" si="44"/>
        <v>4.2866662455242892</v>
      </c>
    </row>
    <row r="235" spans="1:29" x14ac:dyDescent="0.2">
      <c r="J235" t="s">
        <v>2165</v>
      </c>
      <c r="K235">
        <f>K232-(2*K233)</f>
        <v>-3.3392003333679554</v>
      </c>
      <c r="L235">
        <f t="shared" ref="L235:AA235" si="45">L232-(2*L233)</f>
        <v>6.5336248877433917E-2</v>
      </c>
      <c r="M235">
        <f t="shared" si="45"/>
        <v>0.48403821651149503</v>
      </c>
      <c r="N235">
        <f t="shared" si="45"/>
        <v>6.1655458496258288E-2</v>
      </c>
      <c r="O235">
        <f t="shared" si="45"/>
        <v>0.58482922427397055</v>
      </c>
      <c r="P235" s="48">
        <f t="shared" si="45"/>
        <v>-17.489084908078212</v>
      </c>
      <c r="Q235">
        <f t="shared" si="45"/>
        <v>6.7170900814701895E-2</v>
      </c>
      <c r="R235">
        <f t="shared" si="45"/>
        <v>0.4694624308555293</v>
      </c>
      <c r="S235">
        <f t="shared" si="45"/>
        <v>6.908972004838454E-2</v>
      </c>
      <c r="T235">
        <f t="shared" si="45"/>
        <v>-6.4639503296724179</v>
      </c>
      <c r="U235">
        <f t="shared" si="45"/>
        <v>0.45227373558002082</v>
      </c>
      <c r="V235">
        <f t="shared" si="45"/>
        <v>0.88157711655301974</v>
      </c>
      <c r="W235">
        <f t="shared" si="45"/>
        <v>0.85351368804041083</v>
      </c>
      <c r="X235">
        <f t="shared" si="45"/>
        <v>0.58329270738257355</v>
      </c>
      <c r="Y235">
        <f t="shared" si="45"/>
        <v>7.9245238095238104</v>
      </c>
      <c r="Z235">
        <f t="shared" si="45"/>
        <v>-0.71048800809536161</v>
      </c>
      <c r="AA235">
        <f t="shared" si="45"/>
        <v>-2.2272478056637834</v>
      </c>
    </row>
    <row r="236" spans="1:29" x14ac:dyDescent="0.2">
      <c r="O236" s="14"/>
      <c r="P236" s="14"/>
      <c r="Q236" s="14"/>
      <c r="R236" s="14"/>
      <c r="S236" s="14"/>
    </row>
    <row r="237" spans="1:29" x14ac:dyDescent="0.2">
      <c r="O237" s="14"/>
      <c r="P237" s="14"/>
      <c r="Q237" s="14"/>
      <c r="R237" s="14"/>
      <c r="S237" s="14"/>
    </row>
    <row r="238" spans="1:29" x14ac:dyDescent="0.2">
      <c r="O238" s="14"/>
      <c r="P238" s="14"/>
      <c r="Q238" s="14"/>
      <c r="R238" s="14"/>
      <c r="S238" s="14"/>
    </row>
    <row r="239" spans="1:29" x14ac:dyDescent="0.2">
      <c r="O239" s="14"/>
      <c r="P239" s="14"/>
      <c r="Q239" s="14"/>
      <c r="R239" s="14"/>
      <c r="S239" s="14"/>
    </row>
  </sheetData>
  <sortState xmlns:xlrd2="http://schemas.microsoft.com/office/spreadsheetml/2017/richdata2" ref="A2:AA230">
    <sortCondition ref="K2:K230"/>
    <sortCondition ref="G2:G230"/>
  </sortState>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68"/>
  <sheetViews>
    <sheetView workbookViewId="0">
      <pane xSplit="2" ySplit="1" topLeftCell="D400" activePane="bottomRight" state="frozen"/>
      <selection pane="topRight" activeCell="C1" sqref="C1"/>
      <selection pane="bottomLeft" activeCell="A2" sqref="A2"/>
      <selection pane="bottomRight" activeCell="R1" sqref="R1"/>
    </sheetView>
  </sheetViews>
  <sheetFormatPr baseColWidth="10" defaultColWidth="8.83203125" defaultRowHeight="15" x14ac:dyDescent="0.2"/>
  <cols>
    <col min="1" max="1" width="9.1640625"/>
    <col min="2" max="2" width="26.5" bestFit="1" customWidth="1"/>
    <col min="3" max="3" width="26.5" customWidth="1"/>
    <col min="4" max="4" width="12" bestFit="1" customWidth="1"/>
    <col min="6" max="6" width="9.1640625"/>
    <col min="7" max="7" width="26" bestFit="1" customWidth="1"/>
    <col min="8" max="8" width="10" bestFit="1" customWidth="1"/>
    <col min="10" max="10" width="13.5" bestFit="1" customWidth="1"/>
    <col min="11" max="11" width="12.33203125" bestFit="1" customWidth="1"/>
    <col min="12" max="12" width="16.6640625" bestFit="1" customWidth="1"/>
    <col min="13" max="13" width="13.5" customWidth="1"/>
    <col min="14" max="14" width="11.83203125" bestFit="1" customWidth="1"/>
    <col min="15" max="15" width="9.6640625" bestFit="1" customWidth="1"/>
    <col min="16" max="18" width="9.6640625" customWidth="1"/>
  </cols>
  <sheetData>
    <row r="1" spans="1:20" x14ac:dyDescent="0.2">
      <c r="A1" t="s">
        <v>419</v>
      </c>
      <c r="B1" s="10" t="s">
        <v>6</v>
      </c>
      <c r="C1" s="10" t="s">
        <v>416</v>
      </c>
      <c r="D1" s="10" t="s">
        <v>7</v>
      </c>
      <c r="E1" s="10" t="s">
        <v>55</v>
      </c>
      <c r="F1" s="10" t="s">
        <v>1549</v>
      </c>
      <c r="G1" s="10" t="s">
        <v>56</v>
      </c>
      <c r="H1" s="10" t="s">
        <v>18</v>
      </c>
      <c r="I1" s="10" t="s">
        <v>19</v>
      </c>
      <c r="J1" s="10" t="s">
        <v>20</v>
      </c>
      <c r="K1" s="10" t="s">
        <v>21</v>
      </c>
      <c r="L1" s="10" t="s">
        <v>22</v>
      </c>
      <c r="M1" s="10" t="s">
        <v>51</v>
      </c>
      <c r="N1" s="10" t="s">
        <v>52</v>
      </c>
      <c r="O1" s="10" t="s">
        <v>62</v>
      </c>
      <c r="P1" s="10" t="s">
        <v>63</v>
      </c>
      <c r="Q1" s="22" t="s">
        <v>64</v>
      </c>
      <c r="R1" s="22" t="s">
        <v>65</v>
      </c>
      <c r="S1" s="10" t="s">
        <v>543</v>
      </c>
    </row>
    <row r="2" spans="1:20" x14ac:dyDescent="0.2">
      <c r="A2">
        <v>1</v>
      </c>
      <c r="B2" t="s">
        <v>66</v>
      </c>
      <c r="C2" t="s">
        <v>414</v>
      </c>
      <c r="D2" t="s">
        <v>2</v>
      </c>
      <c r="E2" t="s">
        <v>9</v>
      </c>
      <c r="G2" t="s">
        <v>10</v>
      </c>
      <c r="H2">
        <v>38</v>
      </c>
      <c r="I2">
        <v>42</v>
      </c>
      <c r="J2">
        <v>9.3000000000000007</v>
      </c>
      <c r="K2">
        <v>5.68</v>
      </c>
      <c r="L2">
        <v>0.84</v>
      </c>
      <c r="M2">
        <v>0.41599999999999998</v>
      </c>
      <c r="N2">
        <v>0.14000000000000001</v>
      </c>
      <c r="O2" s="21">
        <f>K2*(M2/L2)*(10/9)</f>
        <v>3.1255026455026456</v>
      </c>
      <c r="P2" s="21">
        <f>J2*(M2/(L2*1.5))*(10/9)</f>
        <v>3.4116402116402118</v>
      </c>
      <c r="Q2" s="23">
        <f>IF(LEFT(G2,7)="IMPROVE",O2,"")</f>
        <v>3.1255026455026456</v>
      </c>
      <c r="R2" s="23" t="str">
        <f>IF(LEFT(G2,7)="FARMER ",O2,"")</f>
        <v/>
      </c>
      <c r="T2" t="str">
        <f>IF(O2&gt;14,"VVVVVVVV","")</f>
        <v/>
      </c>
    </row>
    <row r="3" spans="1:20" x14ac:dyDescent="0.2">
      <c r="A3">
        <v>2</v>
      </c>
      <c r="B3" t="s">
        <v>66</v>
      </c>
      <c r="C3" t="s">
        <v>414</v>
      </c>
      <c r="D3" t="s">
        <v>2</v>
      </c>
      <c r="E3" t="s">
        <v>9</v>
      </c>
      <c r="G3" t="s">
        <v>11</v>
      </c>
      <c r="H3">
        <v>39</v>
      </c>
      <c r="I3">
        <v>38</v>
      </c>
      <c r="J3">
        <v>5.6</v>
      </c>
      <c r="K3">
        <v>4.42</v>
      </c>
      <c r="L3">
        <f t="shared" ref="L3:N3" si="0">L2</f>
        <v>0.84</v>
      </c>
      <c r="M3">
        <f t="shared" si="0"/>
        <v>0.41599999999999998</v>
      </c>
      <c r="N3">
        <f t="shared" si="0"/>
        <v>0.14000000000000001</v>
      </c>
      <c r="O3" s="21">
        <f t="shared" ref="O3:O5" si="1">K3*(M3/L3)*(10/9)</f>
        <v>2.4321693121693126</v>
      </c>
      <c r="P3" s="21">
        <f t="shared" ref="P3:P5" si="2">J3*(M3/(L3*1.5))*(10/9)</f>
        <v>2.0543209876543211</v>
      </c>
      <c r="Q3" s="23">
        <f t="shared" ref="Q3:Q66" si="3">IF(LEFT(G3,7)="IMPROVE",O3,"")</f>
        <v>2.4321693121693126</v>
      </c>
      <c r="R3" s="23" t="str">
        <f t="shared" ref="R3:R66" si="4">IF(LEFT(G3,7)="FARMER ",O3,"")</f>
        <v/>
      </c>
      <c r="T3" t="str">
        <f t="shared" ref="T3:T66" si="5">IF(O3&gt;14,"VVVVVVVV","")</f>
        <v/>
      </c>
    </row>
    <row r="4" spans="1:20" x14ac:dyDescent="0.2">
      <c r="A4">
        <v>3</v>
      </c>
      <c r="B4" t="s">
        <v>66</v>
      </c>
      <c r="C4" t="s">
        <v>414</v>
      </c>
      <c r="D4" t="s">
        <v>2</v>
      </c>
      <c r="E4" t="s">
        <v>9</v>
      </c>
      <c r="G4" t="s">
        <v>12</v>
      </c>
      <c r="H4">
        <v>28</v>
      </c>
      <c r="I4">
        <v>28</v>
      </c>
      <c r="J4">
        <v>6.74</v>
      </c>
      <c r="K4">
        <v>6.17</v>
      </c>
      <c r="L4">
        <v>1.07</v>
      </c>
      <c r="M4">
        <v>0.65100000000000002</v>
      </c>
      <c r="N4">
        <v>0.114</v>
      </c>
      <c r="O4" s="21">
        <f>K4*(M4/L4)*(10/9)</f>
        <v>4.1709968847352021</v>
      </c>
      <c r="P4" s="21">
        <f t="shared" si="2"/>
        <v>3.0375493250259611</v>
      </c>
      <c r="Q4" s="23" t="str">
        <f t="shared" si="3"/>
        <v/>
      </c>
      <c r="R4" s="23">
        <f t="shared" si="4"/>
        <v>4.1709968847352021</v>
      </c>
      <c r="T4" t="str">
        <f t="shared" si="5"/>
        <v/>
      </c>
    </row>
    <row r="5" spans="1:20" x14ac:dyDescent="0.2">
      <c r="A5">
        <v>4</v>
      </c>
      <c r="B5" t="s">
        <v>66</v>
      </c>
      <c r="C5" t="s">
        <v>414</v>
      </c>
      <c r="D5" t="s">
        <v>2</v>
      </c>
      <c r="E5" t="s">
        <v>9</v>
      </c>
      <c r="G5" t="s">
        <v>14</v>
      </c>
      <c r="H5">
        <v>27</v>
      </c>
      <c r="I5">
        <v>26</v>
      </c>
      <c r="J5">
        <v>5.28</v>
      </c>
      <c r="K5">
        <v>5.64</v>
      </c>
      <c r="L5">
        <f>L4</f>
        <v>1.07</v>
      </c>
      <c r="M5">
        <f t="shared" ref="M5:N6" si="6">M4</f>
        <v>0.65100000000000002</v>
      </c>
      <c r="N5">
        <f t="shared" si="6"/>
        <v>0.114</v>
      </c>
      <c r="O5" s="21">
        <f t="shared" si="1"/>
        <v>3.8127102803738318</v>
      </c>
      <c r="P5" s="21">
        <f t="shared" si="2"/>
        <v>2.3795638629283493</v>
      </c>
      <c r="Q5" s="23" t="str">
        <f t="shared" si="3"/>
        <v/>
      </c>
      <c r="R5" s="23">
        <f t="shared" si="4"/>
        <v>3.8127102803738318</v>
      </c>
      <c r="T5" t="str">
        <f t="shared" si="5"/>
        <v/>
      </c>
    </row>
    <row r="6" spans="1:20" x14ac:dyDescent="0.2">
      <c r="A6">
        <v>5</v>
      </c>
      <c r="B6" s="15" t="s">
        <v>67</v>
      </c>
      <c r="C6" s="15"/>
      <c r="D6" s="15" t="s">
        <v>2</v>
      </c>
      <c r="E6" s="15" t="s">
        <v>9</v>
      </c>
      <c r="F6" s="15"/>
      <c r="G6" s="15" t="s">
        <v>10</v>
      </c>
      <c r="H6" s="15">
        <v>32</v>
      </c>
      <c r="I6" s="15">
        <v>37</v>
      </c>
      <c r="J6" s="15">
        <v>19.350000000000001</v>
      </c>
      <c r="K6" s="15">
        <v>9.69</v>
      </c>
      <c r="L6" s="15">
        <v>1.56</v>
      </c>
      <c r="M6" s="15">
        <f t="shared" si="6"/>
        <v>0.65100000000000002</v>
      </c>
      <c r="N6" s="15">
        <f t="shared" si="6"/>
        <v>0.114</v>
      </c>
      <c r="O6" s="21">
        <f t="shared" ref="O6:O69" si="7">K6*(M6/L6)*(10/9)</f>
        <v>4.4930128205128206</v>
      </c>
      <c r="P6" s="21">
        <f t="shared" ref="P6:P69" si="8">J6*(M6/(L6*1.5))*(10/9)</f>
        <v>5.9814102564102578</v>
      </c>
      <c r="Q6" s="23">
        <f t="shared" si="3"/>
        <v>4.4930128205128206</v>
      </c>
      <c r="R6" s="23" t="str">
        <f t="shared" si="4"/>
        <v/>
      </c>
      <c r="S6" s="15" t="s">
        <v>54</v>
      </c>
      <c r="T6" t="str">
        <f t="shared" si="5"/>
        <v/>
      </c>
    </row>
    <row r="7" spans="1:20" x14ac:dyDescent="0.2">
      <c r="A7">
        <v>6</v>
      </c>
      <c r="B7" t="s">
        <v>68</v>
      </c>
      <c r="C7" t="s">
        <v>415</v>
      </c>
      <c r="D7" t="s">
        <v>2</v>
      </c>
      <c r="E7" t="s">
        <v>9</v>
      </c>
      <c r="G7" t="s">
        <v>11</v>
      </c>
      <c r="H7">
        <v>36</v>
      </c>
      <c r="I7">
        <v>48</v>
      </c>
      <c r="J7">
        <v>16.47</v>
      </c>
      <c r="K7">
        <v>10.73</v>
      </c>
      <c r="L7" s="12"/>
      <c r="M7">
        <v>0.60399999999999998</v>
      </c>
      <c r="N7">
        <v>0.15</v>
      </c>
      <c r="O7" s="21">
        <f>K7*(0.724/1.14)*(10/9)</f>
        <v>7.5716569200779738</v>
      </c>
      <c r="P7" s="21">
        <f>J7*(0.724/(1.14*1.5))*(10/9)</f>
        <v>7.7480701754385963</v>
      </c>
      <c r="Q7" s="23">
        <f t="shared" si="3"/>
        <v>7.5716569200779738</v>
      </c>
      <c r="R7" s="23" t="str">
        <f t="shared" si="4"/>
        <v/>
      </c>
      <c r="T7" t="str">
        <f t="shared" si="5"/>
        <v/>
      </c>
    </row>
    <row r="8" spans="1:20" x14ac:dyDescent="0.2">
      <c r="A8">
        <v>7</v>
      </c>
      <c r="B8" t="s">
        <v>68</v>
      </c>
      <c r="C8" t="s">
        <v>415</v>
      </c>
      <c r="D8" t="s">
        <v>2</v>
      </c>
      <c r="E8" t="s">
        <v>9</v>
      </c>
      <c r="G8" t="s">
        <v>12</v>
      </c>
      <c r="H8">
        <v>21</v>
      </c>
      <c r="I8">
        <v>26</v>
      </c>
      <c r="J8">
        <v>8.0500000000000007</v>
      </c>
      <c r="K8">
        <v>6.55</v>
      </c>
      <c r="L8">
        <v>1.1399999999999999</v>
      </c>
      <c r="M8">
        <v>0.72399999999999998</v>
      </c>
      <c r="N8">
        <v>0.13600000000000001</v>
      </c>
      <c r="O8" s="21">
        <f t="shared" si="7"/>
        <v>4.6220272904483437</v>
      </c>
      <c r="P8" s="21">
        <f t="shared" si="8"/>
        <v>3.7870045484080577</v>
      </c>
      <c r="Q8" s="23" t="str">
        <f t="shared" si="3"/>
        <v/>
      </c>
      <c r="R8" s="23">
        <f t="shared" si="4"/>
        <v>4.6220272904483437</v>
      </c>
      <c r="T8" t="str">
        <f t="shared" si="5"/>
        <v/>
      </c>
    </row>
    <row r="9" spans="1:20" x14ac:dyDescent="0.2">
      <c r="A9">
        <v>8</v>
      </c>
      <c r="B9" t="s">
        <v>68</v>
      </c>
      <c r="C9" t="s">
        <v>415</v>
      </c>
      <c r="D9" t="s">
        <v>2</v>
      </c>
      <c r="E9" t="s">
        <v>9</v>
      </c>
      <c r="G9" t="s">
        <v>14</v>
      </c>
      <c r="H9">
        <v>38</v>
      </c>
      <c r="I9">
        <v>41</v>
      </c>
      <c r="J9">
        <v>7.58</v>
      </c>
      <c r="K9">
        <v>5.92</v>
      </c>
      <c r="L9">
        <f t="shared" ref="L9:N9" si="9">L8</f>
        <v>1.1399999999999999</v>
      </c>
      <c r="M9">
        <f t="shared" si="9"/>
        <v>0.72399999999999998</v>
      </c>
      <c r="N9">
        <f t="shared" si="9"/>
        <v>0.13600000000000001</v>
      </c>
      <c r="O9" s="21">
        <f t="shared" si="7"/>
        <v>4.1774658869395722</v>
      </c>
      <c r="P9" s="21">
        <f t="shared" si="8"/>
        <v>3.5658999350227423</v>
      </c>
      <c r="Q9" s="23" t="str">
        <f t="shared" si="3"/>
        <v/>
      </c>
      <c r="R9" s="23">
        <f t="shared" si="4"/>
        <v>4.1774658869395722</v>
      </c>
      <c r="T9" t="str">
        <f t="shared" si="5"/>
        <v/>
      </c>
    </row>
    <row r="10" spans="1:20" x14ac:dyDescent="0.2">
      <c r="A10">
        <v>9</v>
      </c>
      <c r="B10" t="s">
        <v>313</v>
      </c>
      <c r="C10" t="s">
        <v>313</v>
      </c>
      <c r="D10" t="s">
        <v>2</v>
      </c>
      <c r="E10" t="s">
        <v>9</v>
      </c>
      <c r="G10" t="s">
        <v>10</v>
      </c>
      <c r="H10">
        <v>29</v>
      </c>
      <c r="I10">
        <v>49</v>
      </c>
      <c r="J10">
        <v>23.93</v>
      </c>
      <c r="K10">
        <v>14.08</v>
      </c>
      <c r="L10">
        <v>1.56</v>
      </c>
      <c r="M10" s="4">
        <v>0.88100000000000001</v>
      </c>
      <c r="N10" s="4">
        <v>0.16800000000000001</v>
      </c>
      <c r="O10" s="21">
        <f t="shared" si="7"/>
        <v>8.8350997150997159</v>
      </c>
      <c r="P10" s="21">
        <f t="shared" si="8"/>
        <v>10.010603038936374</v>
      </c>
      <c r="Q10" s="23">
        <f t="shared" si="3"/>
        <v>8.8350997150997159</v>
      </c>
      <c r="R10" s="23" t="str">
        <f t="shared" si="4"/>
        <v/>
      </c>
      <c r="T10" t="str">
        <f t="shared" si="5"/>
        <v/>
      </c>
    </row>
    <row r="11" spans="1:20" x14ac:dyDescent="0.2">
      <c r="A11">
        <v>10</v>
      </c>
      <c r="B11" t="s">
        <v>313</v>
      </c>
      <c r="C11" t="s">
        <v>313</v>
      </c>
      <c r="D11" t="s">
        <v>2</v>
      </c>
      <c r="E11" t="s">
        <v>9</v>
      </c>
      <c r="G11" t="s">
        <v>11</v>
      </c>
      <c r="H11">
        <v>33</v>
      </c>
      <c r="I11">
        <v>46</v>
      </c>
      <c r="J11">
        <v>20.059999999999999</v>
      </c>
      <c r="K11">
        <v>12.43</v>
      </c>
      <c r="L11">
        <f t="shared" ref="L11:N11" si="10">L10</f>
        <v>1.56</v>
      </c>
      <c r="M11">
        <f t="shared" si="10"/>
        <v>0.88100000000000001</v>
      </c>
      <c r="N11">
        <f t="shared" si="10"/>
        <v>0.16800000000000001</v>
      </c>
      <c r="O11" s="21">
        <f t="shared" si="7"/>
        <v>7.7997364672364675</v>
      </c>
      <c r="P11" s="21">
        <f t="shared" si="8"/>
        <v>8.3916714150047493</v>
      </c>
      <c r="Q11" s="23">
        <f t="shared" si="3"/>
        <v>7.7997364672364675</v>
      </c>
      <c r="R11" s="23" t="str">
        <f t="shared" si="4"/>
        <v/>
      </c>
      <c r="T11" t="str">
        <f t="shared" si="5"/>
        <v/>
      </c>
    </row>
    <row r="12" spans="1:20" x14ac:dyDescent="0.2">
      <c r="A12">
        <v>11</v>
      </c>
      <c r="B12" t="s">
        <v>313</v>
      </c>
      <c r="C12" t="s">
        <v>313</v>
      </c>
      <c r="D12" t="s">
        <v>2</v>
      </c>
      <c r="E12" t="s">
        <v>9</v>
      </c>
      <c r="G12" t="s">
        <v>12</v>
      </c>
      <c r="H12">
        <v>50</v>
      </c>
      <c r="I12">
        <v>51</v>
      </c>
      <c r="J12">
        <v>21.95</v>
      </c>
      <c r="K12">
        <v>14.63</v>
      </c>
      <c r="L12">
        <v>1.55</v>
      </c>
      <c r="M12" s="2">
        <v>0.7</v>
      </c>
      <c r="N12" s="2">
        <v>9.6000000000000002E-2</v>
      </c>
      <c r="O12" s="21">
        <f t="shared" si="7"/>
        <v>7.3412186379928315</v>
      </c>
      <c r="P12" s="21">
        <f t="shared" si="8"/>
        <v>7.3428912783751485</v>
      </c>
      <c r="Q12" s="23" t="str">
        <f t="shared" si="3"/>
        <v/>
      </c>
      <c r="R12" s="23">
        <f t="shared" si="4"/>
        <v>7.3412186379928315</v>
      </c>
      <c r="T12" t="str">
        <f t="shared" si="5"/>
        <v/>
      </c>
    </row>
    <row r="13" spans="1:20" x14ac:dyDescent="0.2">
      <c r="A13">
        <v>12</v>
      </c>
      <c r="B13" t="s">
        <v>313</v>
      </c>
      <c r="C13" t="s">
        <v>313</v>
      </c>
      <c r="D13" t="s">
        <v>2</v>
      </c>
      <c r="E13" t="s">
        <v>9</v>
      </c>
      <c r="G13" t="s">
        <v>14</v>
      </c>
      <c r="H13">
        <v>49</v>
      </c>
      <c r="I13">
        <v>46</v>
      </c>
      <c r="J13">
        <v>17.73</v>
      </c>
      <c r="K13">
        <v>12.96</v>
      </c>
      <c r="L13">
        <f t="shared" ref="L13:N13" si="11">L12</f>
        <v>1.55</v>
      </c>
      <c r="M13">
        <f t="shared" si="11"/>
        <v>0.7</v>
      </c>
      <c r="N13">
        <f t="shared" si="11"/>
        <v>9.6000000000000002E-2</v>
      </c>
      <c r="O13" s="21">
        <f t="shared" si="7"/>
        <v>6.5032258064516126</v>
      </c>
      <c r="P13" s="21">
        <f t="shared" si="8"/>
        <v>5.9311827956989243</v>
      </c>
      <c r="Q13" s="23" t="str">
        <f t="shared" si="3"/>
        <v/>
      </c>
      <c r="R13" s="23">
        <f t="shared" si="4"/>
        <v>6.5032258064516126</v>
      </c>
      <c r="T13" t="str">
        <f t="shared" si="5"/>
        <v/>
      </c>
    </row>
    <row r="14" spans="1:20" x14ac:dyDescent="0.2">
      <c r="A14">
        <v>13</v>
      </c>
      <c r="B14" s="19" t="s">
        <v>69</v>
      </c>
      <c r="C14" s="19" t="s">
        <v>69</v>
      </c>
      <c r="D14" s="15" t="s">
        <v>2</v>
      </c>
      <c r="E14" s="15" t="s">
        <v>9</v>
      </c>
      <c r="F14" s="15"/>
      <c r="G14" s="15" t="s">
        <v>10</v>
      </c>
      <c r="H14" s="15">
        <v>47</v>
      </c>
      <c r="I14" s="15"/>
      <c r="J14" s="15">
        <v>3.84</v>
      </c>
      <c r="K14" s="15">
        <v>1.05</v>
      </c>
      <c r="L14" s="15">
        <v>0.28999999999999998</v>
      </c>
      <c r="M14" s="15"/>
      <c r="N14" s="15"/>
      <c r="O14" s="21">
        <f>K14*(0.55/0.964)*(10/9)</f>
        <v>0.6656293222683265</v>
      </c>
      <c r="P14" s="21">
        <f>J14*(0.55/(0.964*1.5))*(10/9)</f>
        <v>1.6228676809589675</v>
      </c>
      <c r="Q14" s="23">
        <f t="shared" si="3"/>
        <v>0.6656293222683265</v>
      </c>
      <c r="R14" s="23" t="str">
        <f t="shared" si="4"/>
        <v/>
      </c>
      <c r="S14" s="15" t="s">
        <v>1531</v>
      </c>
      <c r="T14" t="str">
        <f t="shared" si="5"/>
        <v/>
      </c>
    </row>
    <row r="15" spans="1:20" x14ac:dyDescent="0.2">
      <c r="A15">
        <v>14</v>
      </c>
      <c r="B15" s="19" t="s">
        <v>69</v>
      </c>
      <c r="C15" s="19" t="s">
        <v>69</v>
      </c>
      <c r="D15" s="15" t="s">
        <v>2</v>
      </c>
      <c r="E15" s="15" t="s">
        <v>9</v>
      </c>
      <c r="F15" s="15"/>
      <c r="G15" s="15" t="s">
        <v>11</v>
      </c>
      <c r="H15" s="15">
        <v>45</v>
      </c>
      <c r="I15" s="15"/>
      <c r="J15" s="15">
        <v>3.78</v>
      </c>
      <c r="K15" s="15">
        <v>0.85</v>
      </c>
      <c r="L15" s="15">
        <f>L14</f>
        <v>0.28999999999999998</v>
      </c>
      <c r="M15" s="15"/>
      <c r="N15" s="15"/>
      <c r="O15" s="21">
        <f t="shared" ref="O15:O21" si="12">K15*(0.55/0.964)*(10/9)</f>
        <v>0.53884278469340718</v>
      </c>
      <c r="P15" s="21">
        <f t="shared" ref="P15:P21" si="13">J15*(0.55/(0.964*1.5))*(10/9)</f>
        <v>1.5975103734439835</v>
      </c>
      <c r="Q15" s="23">
        <f t="shared" si="3"/>
        <v>0.53884278469340718</v>
      </c>
      <c r="R15" s="23" t="str">
        <f t="shared" si="4"/>
        <v/>
      </c>
      <c r="S15" s="15" t="s">
        <v>1531</v>
      </c>
      <c r="T15" t="str">
        <f t="shared" si="5"/>
        <v/>
      </c>
    </row>
    <row r="16" spans="1:20" x14ac:dyDescent="0.2">
      <c r="A16">
        <v>15</v>
      </c>
      <c r="B16" s="19" t="s">
        <v>69</v>
      </c>
      <c r="C16" s="19" t="s">
        <v>69</v>
      </c>
      <c r="D16" s="15" t="s">
        <v>2</v>
      </c>
      <c r="E16" s="15" t="s">
        <v>9</v>
      </c>
      <c r="F16" s="15"/>
      <c r="G16" s="15" t="s">
        <v>12</v>
      </c>
      <c r="H16" s="15">
        <v>24</v>
      </c>
      <c r="I16" s="15"/>
      <c r="J16" s="15">
        <v>6.04</v>
      </c>
      <c r="K16" s="15">
        <v>1.81</v>
      </c>
      <c r="L16" s="15">
        <v>0.34</v>
      </c>
      <c r="M16" s="15"/>
      <c r="N16" s="15"/>
      <c r="O16" s="21">
        <f>K16*(0.55/0.964)*(10/9)</f>
        <v>1.14741816505302</v>
      </c>
      <c r="P16" s="21">
        <f t="shared" si="13"/>
        <v>2.5526356231750427</v>
      </c>
      <c r="Q16" s="23" t="str">
        <f t="shared" si="3"/>
        <v/>
      </c>
      <c r="R16" s="23">
        <f t="shared" si="4"/>
        <v>1.14741816505302</v>
      </c>
      <c r="S16" s="15" t="s">
        <v>1531</v>
      </c>
      <c r="T16" t="str">
        <f t="shared" si="5"/>
        <v/>
      </c>
    </row>
    <row r="17" spans="1:21" x14ac:dyDescent="0.2">
      <c r="A17">
        <v>16</v>
      </c>
      <c r="B17" s="19" t="s">
        <v>69</v>
      </c>
      <c r="C17" s="19" t="s">
        <v>69</v>
      </c>
      <c r="D17" s="15" t="s">
        <v>2</v>
      </c>
      <c r="E17" s="15" t="s">
        <v>9</v>
      </c>
      <c r="F17" s="15"/>
      <c r="G17" s="15" t="s">
        <v>14</v>
      </c>
      <c r="H17" s="15">
        <v>25</v>
      </c>
      <c r="I17" s="15"/>
      <c r="J17" s="15">
        <v>7.99</v>
      </c>
      <c r="K17" s="15">
        <v>2.5499999999999998</v>
      </c>
      <c r="L17" s="15">
        <f>L16</f>
        <v>0.34</v>
      </c>
      <c r="M17" s="15"/>
      <c r="N17" s="15"/>
      <c r="O17" s="21">
        <f t="shared" si="12"/>
        <v>1.6165283540802216</v>
      </c>
      <c r="P17" s="21">
        <f t="shared" si="13"/>
        <v>3.3767481174120184</v>
      </c>
      <c r="Q17" s="23" t="str">
        <f t="shared" si="3"/>
        <v/>
      </c>
      <c r="R17" s="23">
        <f t="shared" si="4"/>
        <v>1.6165283540802216</v>
      </c>
      <c r="S17" s="15" t="s">
        <v>1531</v>
      </c>
      <c r="T17" t="str">
        <f t="shared" si="5"/>
        <v/>
      </c>
    </row>
    <row r="18" spans="1:21" x14ac:dyDescent="0.2">
      <c r="A18">
        <v>17</v>
      </c>
      <c r="B18" s="15" t="s">
        <v>70</v>
      </c>
      <c r="C18" s="15"/>
      <c r="D18" s="15" t="s">
        <v>2</v>
      </c>
      <c r="E18" s="15" t="s">
        <v>9</v>
      </c>
      <c r="F18" s="15"/>
      <c r="G18" s="15" t="s">
        <v>10</v>
      </c>
      <c r="H18" s="15">
        <v>14</v>
      </c>
      <c r="I18" s="15"/>
      <c r="J18" s="15">
        <v>3.61</v>
      </c>
      <c r="K18" s="15">
        <v>1.79</v>
      </c>
      <c r="L18" s="15">
        <v>0.31</v>
      </c>
      <c r="M18" s="15"/>
      <c r="N18" s="15"/>
      <c r="O18" s="21">
        <f>K18*(0.55/0.964)*(10/9)</f>
        <v>1.1347395112955281</v>
      </c>
      <c r="P18" s="21">
        <f t="shared" si="13"/>
        <v>1.5256646688181958</v>
      </c>
      <c r="Q18" s="23">
        <f t="shared" si="3"/>
        <v>1.1347395112955281</v>
      </c>
      <c r="R18" s="23" t="str">
        <f t="shared" si="4"/>
        <v/>
      </c>
      <c r="S18" s="15" t="s">
        <v>1531</v>
      </c>
      <c r="T18" t="str">
        <f t="shared" si="5"/>
        <v/>
      </c>
      <c r="U18" s="12"/>
    </row>
    <row r="19" spans="1:21" x14ac:dyDescent="0.2">
      <c r="A19">
        <v>18</v>
      </c>
      <c r="B19" s="15" t="s">
        <v>70</v>
      </c>
      <c r="C19" s="15"/>
      <c r="D19" s="15" t="s">
        <v>2</v>
      </c>
      <c r="E19" s="15" t="s">
        <v>9</v>
      </c>
      <c r="F19" s="15"/>
      <c r="G19" s="15" t="s">
        <v>11</v>
      </c>
      <c r="H19" s="15">
        <v>20</v>
      </c>
      <c r="I19" s="15"/>
      <c r="J19" s="15">
        <v>4.4400000000000004</v>
      </c>
      <c r="K19" s="15">
        <v>1.92</v>
      </c>
      <c r="L19" s="15">
        <f>L18</f>
        <v>0.31</v>
      </c>
      <c r="M19" s="15"/>
      <c r="N19" s="15"/>
      <c r="O19" s="21">
        <f t="shared" si="12"/>
        <v>1.2171507607192256</v>
      </c>
      <c r="P19" s="21">
        <f t="shared" si="13"/>
        <v>1.8764407561088061</v>
      </c>
      <c r="Q19" s="23">
        <f t="shared" si="3"/>
        <v>1.2171507607192256</v>
      </c>
      <c r="R19" s="23" t="str">
        <f t="shared" si="4"/>
        <v/>
      </c>
      <c r="S19" s="15" t="s">
        <v>1531</v>
      </c>
      <c r="T19" t="str">
        <f t="shared" si="5"/>
        <v/>
      </c>
      <c r="U19" s="12"/>
    </row>
    <row r="20" spans="1:21" x14ac:dyDescent="0.2">
      <c r="A20">
        <v>19</v>
      </c>
      <c r="B20" s="15" t="s">
        <v>70</v>
      </c>
      <c r="C20" s="15"/>
      <c r="D20" s="15" t="s">
        <v>2</v>
      </c>
      <c r="E20" s="15" t="s">
        <v>9</v>
      </c>
      <c r="F20" s="15"/>
      <c r="G20" s="15" t="s">
        <v>12</v>
      </c>
      <c r="H20" s="15">
        <v>29</v>
      </c>
      <c r="I20" s="15"/>
      <c r="J20" s="15">
        <v>9.5399999999999991</v>
      </c>
      <c r="K20" s="15">
        <v>3.87</v>
      </c>
      <c r="L20" s="15">
        <v>0.28000000000000003</v>
      </c>
      <c r="M20" s="15"/>
      <c r="N20" s="15"/>
      <c r="O20" s="21">
        <f t="shared" si="12"/>
        <v>2.4533195020746894</v>
      </c>
      <c r="P20" s="21">
        <f t="shared" si="13"/>
        <v>4.0318118948824342</v>
      </c>
      <c r="Q20" s="23" t="str">
        <f t="shared" si="3"/>
        <v/>
      </c>
      <c r="R20" s="23">
        <f t="shared" si="4"/>
        <v>2.4533195020746894</v>
      </c>
      <c r="S20" s="15" t="s">
        <v>1531</v>
      </c>
      <c r="T20" t="str">
        <f t="shared" si="5"/>
        <v/>
      </c>
      <c r="U20" s="12"/>
    </row>
    <row r="21" spans="1:21" x14ac:dyDescent="0.2">
      <c r="A21">
        <v>20</v>
      </c>
      <c r="B21" s="15" t="s">
        <v>70</v>
      </c>
      <c r="C21" s="15"/>
      <c r="D21" s="15" t="s">
        <v>2</v>
      </c>
      <c r="E21" s="15" t="s">
        <v>9</v>
      </c>
      <c r="F21" s="15"/>
      <c r="G21" s="15" t="s">
        <v>14</v>
      </c>
      <c r="H21" s="15">
        <v>14</v>
      </c>
      <c r="I21" s="15"/>
      <c r="J21" s="15">
        <v>5.46</v>
      </c>
      <c r="K21" s="15">
        <v>2.4700000000000002</v>
      </c>
      <c r="L21" s="15">
        <f>L20</f>
        <v>0.28000000000000003</v>
      </c>
      <c r="M21" s="15"/>
      <c r="N21" s="15"/>
      <c r="O21" s="21">
        <f t="shared" si="12"/>
        <v>1.565813739050254</v>
      </c>
      <c r="P21" s="21">
        <f t="shared" si="13"/>
        <v>2.3075149838635318</v>
      </c>
      <c r="Q21" s="23" t="str">
        <f t="shared" si="3"/>
        <v/>
      </c>
      <c r="R21" s="23">
        <f t="shared" si="4"/>
        <v>1.565813739050254</v>
      </c>
      <c r="S21" s="15" t="s">
        <v>1531</v>
      </c>
      <c r="T21" t="str">
        <f t="shared" si="5"/>
        <v/>
      </c>
      <c r="U21" s="12"/>
    </row>
    <row r="22" spans="1:21" x14ac:dyDescent="0.2">
      <c r="A22">
        <v>21</v>
      </c>
      <c r="B22" t="s">
        <v>71</v>
      </c>
      <c r="C22" t="s">
        <v>314</v>
      </c>
      <c r="D22" t="s">
        <v>2</v>
      </c>
      <c r="E22" t="s">
        <v>9</v>
      </c>
      <c r="G22" t="s">
        <v>10</v>
      </c>
      <c r="H22">
        <v>30</v>
      </c>
      <c r="I22">
        <v>33</v>
      </c>
      <c r="J22">
        <v>11.28</v>
      </c>
      <c r="K22">
        <v>8.43</v>
      </c>
      <c r="L22">
        <v>1.34</v>
      </c>
      <c r="M22">
        <v>0.88200000000000001</v>
      </c>
      <c r="N22">
        <v>0.16800000000000001</v>
      </c>
      <c r="O22" s="21">
        <f t="shared" si="7"/>
        <v>6.1652238805970141</v>
      </c>
      <c r="P22" s="21">
        <f t="shared" si="8"/>
        <v>5.4997014925373131</v>
      </c>
      <c r="Q22" s="23">
        <f t="shared" si="3"/>
        <v>6.1652238805970141</v>
      </c>
      <c r="R22" s="23" t="str">
        <f t="shared" si="4"/>
        <v/>
      </c>
      <c r="T22" t="str">
        <f t="shared" si="5"/>
        <v/>
      </c>
      <c r="U22" s="12"/>
    </row>
    <row r="23" spans="1:21" x14ac:dyDescent="0.2">
      <c r="A23">
        <v>22</v>
      </c>
      <c r="B23" t="s">
        <v>71</v>
      </c>
      <c r="C23" t="s">
        <v>314</v>
      </c>
      <c r="D23" t="s">
        <v>2</v>
      </c>
      <c r="E23" t="s">
        <v>9</v>
      </c>
      <c r="G23" t="s">
        <v>11</v>
      </c>
      <c r="H23">
        <v>23</v>
      </c>
      <c r="I23">
        <v>39</v>
      </c>
      <c r="J23">
        <v>8.84</v>
      </c>
      <c r="K23">
        <v>8.5299999999999994</v>
      </c>
      <c r="L23">
        <f t="shared" ref="L23:N23" si="14">L22</f>
        <v>1.34</v>
      </c>
      <c r="M23">
        <f t="shared" si="14"/>
        <v>0.88200000000000001</v>
      </c>
      <c r="N23">
        <f t="shared" si="14"/>
        <v>0.16800000000000001</v>
      </c>
      <c r="O23" s="21">
        <f t="shared" si="7"/>
        <v>6.2383582089552236</v>
      </c>
      <c r="P23" s="21">
        <f t="shared" si="8"/>
        <v>4.3100497512437812</v>
      </c>
      <c r="Q23" s="23">
        <f t="shared" si="3"/>
        <v>6.2383582089552236</v>
      </c>
      <c r="R23" s="23" t="str">
        <f t="shared" si="4"/>
        <v/>
      </c>
      <c r="T23" t="str">
        <f t="shared" si="5"/>
        <v/>
      </c>
      <c r="U23" s="12"/>
    </row>
    <row r="24" spans="1:21" x14ac:dyDescent="0.2">
      <c r="A24">
        <v>23</v>
      </c>
      <c r="B24" t="s">
        <v>71</v>
      </c>
      <c r="C24" t="s">
        <v>314</v>
      </c>
      <c r="D24" t="s">
        <v>2</v>
      </c>
      <c r="E24" t="s">
        <v>9</v>
      </c>
      <c r="G24" t="s">
        <v>12</v>
      </c>
      <c r="H24">
        <v>24</v>
      </c>
      <c r="I24">
        <v>41</v>
      </c>
      <c r="J24">
        <v>7.39</v>
      </c>
      <c r="K24">
        <v>8.1300000000000008</v>
      </c>
      <c r="L24">
        <v>6.8</v>
      </c>
      <c r="M24">
        <v>0.499</v>
      </c>
      <c r="N24">
        <v>0.10100000000000001</v>
      </c>
      <c r="O24" s="21">
        <f t="shared" si="7"/>
        <v>0.66288725490196088</v>
      </c>
      <c r="P24" s="21">
        <f t="shared" si="8"/>
        <v>0.40170043572984754</v>
      </c>
      <c r="Q24" s="23" t="str">
        <f t="shared" si="3"/>
        <v/>
      </c>
      <c r="R24" s="23">
        <f t="shared" si="4"/>
        <v>0.66288725490196088</v>
      </c>
      <c r="T24" t="str">
        <f t="shared" si="5"/>
        <v/>
      </c>
      <c r="U24" s="12"/>
    </row>
    <row r="25" spans="1:21" x14ac:dyDescent="0.2">
      <c r="A25">
        <v>24</v>
      </c>
      <c r="B25" t="s">
        <v>71</v>
      </c>
      <c r="C25" t="s">
        <v>314</v>
      </c>
      <c r="D25" t="s">
        <v>2</v>
      </c>
      <c r="E25" t="s">
        <v>9</v>
      </c>
      <c r="G25" t="s">
        <v>14</v>
      </c>
      <c r="H25">
        <v>23</v>
      </c>
      <c r="I25">
        <v>33</v>
      </c>
      <c r="J25">
        <v>6.85</v>
      </c>
      <c r="K25">
        <v>6.64</v>
      </c>
      <c r="L25">
        <f t="shared" ref="L25:N25" si="15">L24</f>
        <v>6.8</v>
      </c>
      <c r="M25">
        <f t="shared" si="15"/>
        <v>0.499</v>
      </c>
      <c r="N25">
        <f t="shared" si="15"/>
        <v>0.10100000000000001</v>
      </c>
      <c r="O25" s="21">
        <f t="shared" si="7"/>
        <v>0.54139869281045749</v>
      </c>
      <c r="P25" s="21">
        <f t="shared" si="8"/>
        <v>0.37234749455337696</v>
      </c>
      <c r="Q25" s="23" t="str">
        <f t="shared" si="3"/>
        <v/>
      </c>
      <c r="R25" s="23">
        <f t="shared" si="4"/>
        <v>0.54139869281045749</v>
      </c>
      <c r="T25" t="str">
        <f t="shared" si="5"/>
        <v/>
      </c>
      <c r="U25" s="12"/>
    </row>
    <row r="26" spans="1:21" x14ac:dyDescent="0.2">
      <c r="A26">
        <v>25</v>
      </c>
      <c r="B26" t="s">
        <v>72</v>
      </c>
      <c r="C26" s="14" t="s">
        <v>428</v>
      </c>
      <c r="D26" t="s">
        <v>2</v>
      </c>
      <c r="E26" t="s">
        <v>9</v>
      </c>
      <c r="G26" t="s">
        <v>10</v>
      </c>
      <c r="H26">
        <v>37</v>
      </c>
      <c r="I26">
        <v>42</v>
      </c>
      <c r="J26">
        <v>9.33</v>
      </c>
      <c r="K26">
        <v>8.89</v>
      </c>
      <c r="L26">
        <v>1.08</v>
      </c>
      <c r="M26">
        <v>0.64300000000000002</v>
      </c>
      <c r="N26">
        <v>0.14499999999999999</v>
      </c>
      <c r="O26" s="21">
        <f t="shared" si="7"/>
        <v>5.8809362139917694</v>
      </c>
      <c r="P26" s="21">
        <f t="shared" si="8"/>
        <v>4.1146707818930048</v>
      </c>
      <c r="Q26" s="23">
        <f t="shared" si="3"/>
        <v>5.8809362139917694</v>
      </c>
      <c r="R26" s="23" t="str">
        <f t="shared" si="4"/>
        <v/>
      </c>
      <c r="T26" t="str">
        <f t="shared" si="5"/>
        <v/>
      </c>
    </row>
    <row r="27" spans="1:21" x14ac:dyDescent="0.2">
      <c r="A27">
        <v>26</v>
      </c>
      <c r="B27" t="s">
        <v>72</v>
      </c>
      <c r="C27" s="14" t="s">
        <v>428</v>
      </c>
      <c r="D27" t="s">
        <v>2</v>
      </c>
      <c r="E27" t="s">
        <v>9</v>
      </c>
      <c r="G27" t="s">
        <v>11</v>
      </c>
      <c r="H27">
        <v>42</v>
      </c>
      <c r="I27">
        <v>34</v>
      </c>
      <c r="J27">
        <v>9.84</v>
      </c>
      <c r="K27">
        <v>7.55</v>
      </c>
      <c r="L27">
        <f t="shared" ref="L27:N27" si="16">L26</f>
        <v>1.08</v>
      </c>
      <c r="M27">
        <f t="shared" si="16"/>
        <v>0.64300000000000002</v>
      </c>
      <c r="N27">
        <f t="shared" si="16"/>
        <v>0.14499999999999999</v>
      </c>
      <c r="O27" s="21">
        <f t="shared" si="7"/>
        <v>4.9944958847736629</v>
      </c>
      <c r="P27" s="21">
        <f t="shared" si="8"/>
        <v>4.339588477366255</v>
      </c>
      <c r="Q27" s="23">
        <f t="shared" si="3"/>
        <v>4.9944958847736629</v>
      </c>
      <c r="R27" s="23" t="str">
        <f t="shared" si="4"/>
        <v/>
      </c>
      <c r="T27" t="str">
        <f t="shared" si="5"/>
        <v/>
      </c>
    </row>
    <row r="28" spans="1:21" x14ac:dyDescent="0.2">
      <c r="A28">
        <v>27</v>
      </c>
      <c r="B28" t="s">
        <v>72</v>
      </c>
      <c r="C28" s="14" t="s">
        <v>428</v>
      </c>
      <c r="D28" t="s">
        <v>2</v>
      </c>
      <c r="E28" t="s">
        <v>9</v>
      </c>
      <c r="G28" t="s">
        <v>12</v>
      </c>
      <c r="H28">
        <v>35</v>
      </c>
      <c r="I28">
        <v>33</v>
      </c>
      <c r="J28">
        <v>5.84</v>
      </c>
      <c r="K28">
        <v>6.84</v>
      </c>
      <c r="L28">
        <v>1.1000000000000001</v>
      </c>
      <c r="M28">
        <v>0.501</v>
      </c>
      <c r="N28">
        <v>7.3999999999999996E-2</v>
      </c>
      <c r="O28" s="21">
        <f t="shared" si="7"/>
        <v>3.4614545454545453</v>
      </c>
      <c r="P28" s="21">
        <f t="shared" si="8"/>
        <v>1.9702626262626259</v>
      </c>
      <c r="Q28" s="23" t="str">
        <f t="shared" si="3"/>
        <v/>
      </c>
      <c r="R28" s="23">
        <f t="shared" si="4"/>
        <v>3.4614545454545453</v>
      </c>
      <c r="T28" t="str">
        <f t="shared" si="5"/>
        <v/>
      </c>
    </row>
    <row r="29" spans="1:21" x14ac:dyDescent="0.2">
      <c r="A29">
        <v>28</v>
      </c>
      <c r="B29" t="s">
        <v>72</v>
      </c>
      <c r="C29" s="14" t="s">
        <v>428</v>
      </c>
      <c r="D29" t="s">
        <v>2</v>
      </c>
      <c r="E29" t="s">
        <v>9</v>
      </c>
      <c r="G29" t="s">
        <v>14</v>
      </c>
      <c r="H29">
        <v>27</v>
      </c>
      <c r="I29">
        <v>26</v>
      </c>
      <c r="J29">
        <v>4.8099999999999996</v>
      </c>
      <c r="K29">
        <v>9.08</v>
      </c>
      <c r="L29">
        <f t="shared" ref="L29:N29" si="17">L28</f>
        <v>1.1000000000000001</v>
      </c>
      <c r="M29">
        <f t="shared" si="17"/>
        <v>0.501</v>
      </c>
      <c r="N29">
        <f t="shared" si="17"/>
        <v>7.3999999999999996E-2</v>
      </c>
      <c r="O29" s="21">
        <f t="shared" si="7"/>
        <v>4.5950303030303026</v>
      </c>
      <c r="P29" s="21">
        <f t="shared" si="8"/>
        <v>1.6227676767676766</v>
      </c>
      <c r="Q29" s="23" t="str">
        <f t="shared" si="3"/>
        <v/>
      </c>
      <c r="R29" s="23">
        <f t="shared" si="4"/>
        <v>4.5950303030303026</v>
      </c>
      <c r="T29" t="str">
        <f t="shared" si="5"/>
        <v/>
      </c>
    </row>
    <row r="30" spans="1:21" x14ac:dyDescent="0.2">
      <c r="A30">
        <v>29</v>
      </c>
      <c r="B30" t="s">
        <v>73</v>
      </c>
      <c r="C30" t="s">
        <v>315</v>
      </c>
      <c r="D30" t="s">
        <v>2</v>
      </c>
      <c r="E30" t="s">
        <v>9</v>
      </c>
      <c r="G30" t="s">
        <v>10</v>
      </c>
      <c r="H30">
        <v>46</v>
      </c>
      <c r="I30">
        <v>47</v>
      </c>
      <c r="J30">
        <v>10.78</v>
      </c>
      <c r="K30">
        <v>9.9</v>
      </c>
      <c r="L30">
        <v>1.23</v>
      </c>
      <c r="M30">
        <v>0.60199999999999998</v>
      </c>
      <c r="N30">
        <v>0.11</v>
      </c>
      <c r="O30" s="21">
        <f t="shared" si="7"/>
        <v>5.3837398373983749</v>
      </c>
      <c r="P30" s="21">
        <f t="shared" si="8"/>
        <v>3.9081963264077082</v>
      </c>
      <c r="Q30" s="23">
        <f t="shared" si="3"/>
        <v>5.3837398373983749</v>
      </c>
      <c r="R30" s="23" t="str">
        <f t="shared" si="4"/>
        <v/>
      </c>
      <c r="T30" t="str">
        <f t="shared" si="5"/>
        <v/>
      </c>
    </row>
    <row r="31" spans="1:21" x14ac:dyDescent="0.2">
      <c r="A31">
        <v>30</v>
      </c>
      <c r="B31" t="s">
        <v>73</v>
      </c>
      <c r="C31" t="s">
        <v>315</v>
      </c>
      <c r="D31" t="s">
        <v>2</v>
      </c>
      <c r="E31" t="s">
        <v>9</v>
      </c>
      <c r="G31" t="s">
        <v>11</v>
      </c>
      <c r="H31">
        <v>63</v>
      </c>
      <c r="I31">
        <v>53</v>
      </c>
      <c r="J31">
        <v>17.14</v>
      </c>
      <c r="K31">
        <v>11.52</v>
      </c>
      <c r="L31">
        <f t="shared" ref="L31:N31" si="18">L30</f>
        <v>1.23</v>
      </c>
      <c r="M31">
        <f t="shared" si="18"/>
        <v>0.60199999999999998</v>
      </c>
      <c r="N31">
        <f t="shared" si="18"/>
        <v>0.11</v>
      </c>
      <c r="O31" s="21">
        <f t="shared" si="7"/>
        <v>6.2647154471544715</v>
      </c>
      <c r="P31" s="21">
        <f t="shared" si="8"/>
        <v>6.2139596507076176</v>
      </c>
      <c r="Q31" s="23">
        <f t="shared" si="3"/>
        <v>6.2647154471544715</v>
      </c>
      <c r="R31" s="23" t="str">
        <f t="shared" si="4"/>
        <v/>
      </c>
      <c r="T31" t="str">
        <f t="shared" si="5"/>
        <v/>
      </c>
    </row>
    <row r="32" spans="1:21" x14ac:dyDescent="0.2">
      <c r="A32">
        <v>31</v>
      </c>
      <c r="B32" t="s">
        <v>73</v>
      </c>
      <c r="C32" t="s">
        <v>315</v>
      </c>
      <c r="D32" t="s">
        <v>2</v>
      </c>
      <c r="E32" t="s">
        <v>9</v>
      </c>
      <c r="G32" t="s">
        <v>12</v>
      </c>
      <c r="H32">
        <v>43</v>
      </c>
      <c r="I32">
        <v>45</v>
      </c>
      <c r="J32">
        <v>22.3</v>
      </c>
      <c r="K32">
        <v>14.89</v>
      </c>
      <c r="L32">
        <v>1.68</v>
      </c>
      <c r="M32">
        <v>0.93300000000000005</v>
      </c>
      <c r="N32">
        <v>0.155</v>
      </c>
      <c r="O32" s="21">
        <f t="shared" si="7"/>
        <v>9.188075396825397</v>
      </c>
      <c r="P32" s="21">
        <f t="shared" si="8"/>
        <v>9.1736772486772491</v>
      </c>
      <c r="Q32" s="23" t="str">
        <f t="shared" si="3"/>
        <v/>
      </c>
      <c r="R32" s="23">
        <f t="shared" si="4"/>
        <v>9.188075396825397</v>
      </c>
      <c r="T32" t="str">
        <f t="shared" si="5"/>
        <v/>
      </c>
    </row>
    <row r="33" spans="1:20" x14ac:dyDescent="0.2">
      <c r="A33">
        <v>32</v>
      </c>
      <c r="B33" t="s">
        <v>73</v>
      </c>
      <c r="C33" t="s">
        <v>315</v>
      </c>
      <c r="D33" t="s">
        <v>2</v>
      </c>
      <c r="E33" t="s">
        <v>9</v>
      </c>
      <c r="G33" t="s">
        <v>14</v>
      </c>
      <c r="H33">
        <v>41</v>
      </c>
      <c r="I33">
        <v>44</v>
      </c>
      <c r="J33">
        <v>21.9</v>
      </c>
      <c r="K33">
        <v>14.59</v>
      </c>
      <c r="L33">
        <f t="shared" ref="L33:N33" si="19">L32</f>
        <v>1.68</v>
      </c>
      <c r="M33">
        <f t="shared" si="19"/>
        <v>0.93300000000000005</v>
      </c>
      <c r="N33">
        <f t="shared" si="19"/>
        <v>0.155</v>
      </c>
      <c r="O33" s="21">
        <f t="shared" si="7"/>
        <v>9.0029563492063502</v>
      </c>
      <c r="P33" s="21">
        <f t="shared" si="8"/>
        <v>9.0091269841269845</v>
      </c>
      <c r="Q33" s="23" t="str">
        <f t="shared" si="3"/>
        <v/>
      </c>
      <c r="R33" s="23">
        <f t="shared" si="4"/>
        <v>9.0029563492063502</v>
      </c>
      <c r="T33" t="str">
        <f t="shared" si="5"/>
        <v/>
      </c>
    </row>
    <row r="34" spans="1:20" x14ac:dyDescent="0.2">
      <c r="A34">
        <v>33</v>
      </c>
      <c r="B34" t="s">
        <v>74</v>
      </c>
      <c r="C34" s="14" t="s">
        <v>429</v>
      </c>
      <c r="D34" t="s">
        <v>2</v>
      </c>
      <c r="E34" t="s">
        <v>9</v>
      </c>
      <c r="G34" t="s">
        <v>10</v>
      </c>
      <c r="H34">
        <v>39</v>
      </c>
      <c r="I34">
        <v>42</v>
      </c>
      <c r="J34">
        <v>6.2</v>
      </c>
      <c r="K34">
        <v>9.41</v>
      </c>
      <c r="L34">
        <v>1.24</v>
      </c>
      <c r="M34">
        <v>0.78500000000000003</v>
      </c>
      <c r="N34">
        <v>0.124</v>
      </c>
      <c r="O34" s="21">
        <f t="shared" si="7"/>
        <v>6.6190412186379932</v>
      </c>
      <c r="P34" s="21">
        <f t="shared" si="8"/>
        <v>2.9074074074074079</v>
      </c>
      <c r="Q34" s="23">
        <f t="shared" si="3"/>
        <v>6.6190412186379932</v>
      </c>
      <c r="R34" s="23" t="str">
        <f t="shared" si="4"/>
        <v/>
      </c>
      <c r="T34" t="str">
        <f t="shared" si="5"/>
        <v/>
      </c>
    </row>
    <row r="35" spans="1:20" x14ac:dyDescent="0.2">
      <c r="A35">
        <v>34</v>
      </c>
      <c r="B35" t="s">
        <v>74</v>
      </c>
      <c r="C35" s="14" t="s">
        <v>429</v>
      </c>
      <c r="D35" t="s">
        <v>2</v>
      </c>
      <c r="E35" t="s">
        <v>9</v>
      </c>
      <c r="G35" t="s">
        <v>11</v>
      </c>
      <c r="H35">
        <v>38</v>
      </c>
      <c r="I35">
        <v>32</v>
      </c>
      <c r="J35">
        <v>7.16</v>
      </c>
      <c r="K35">
        <v>9.0399999999999991</v>
      </c>
      <c r="L35">
        <f t="shared" ref="L35:N35" si="20">L34</f>
        <v>1.24</v>
      </c>
      <c r="M35">
        <f t="shared" si="20"/>
        <v>0.78500000000000003</v>
      </c>
      <c r="N35">
        <f t="shared" si="20"/>
        <v>0.124</v>
      </c>
      <c r="O35" s="21">
        <f t="shared" si="7"/>
        <v>6.3587813620071687</v>
      </c>
      <c r="P35" s="21">
        <f t="shared" si="8"/>
        <v>3.3575866188769421</v>
      </c>
      <c r="Q35" s="23">
        <f t="shared" si="3"/>
        <v>6.3587813620071687</v>
      </c>
      <c r="R35" s="23" t="str">
        <f t="shared" si="4"/>
        <v/>
      </c>
      <c r="T35" t="str">
        <f t="shared" si="5"/>
        <v/>
      </c>
    </row>
    <row r="36" spans="1:20" x14ac:dyDescent="0.2">
      <c r="A36">
        <v>35</v>
      </c>
      <c r="B36" t="s">
        <v>74</v>
      </c>
      <c r="C36" s="14" t="s">
        <v>429</v>
      </c>
      <c r="D36" t="s">
        <v>2</v>
      </c>
      <c r="E36" t="s">
        <v>9</v>
      </c>
      <c r="G36" t="s">
        <v>12</v>
      </c>
      <c r="H36">
        <v>49</v>
      </c>
      <c r="I36">
        <v>49</v>
      </c>
      <c r="J36">
        <v>12.63</v>
      </c>
      <c r="K36">
        <v>9.0500000000000007</v>
      </c>
      <c r="L36">
        <v>1.1000000000000001</v>
      </c>
      <c r="M36">
        <v>0.68500000000000005</v>
      </c>
      <c r="N36">
        <v>0.13100000000000001</v>
      </c>
      <c r="O36" s="21">
        <f t="shared" si="7"/>
        <v>6.261868686868687</v>
      </c>
      <c r="P36" s="21">
        <f t="shared" si="8"/>
        <v>5.8259595959595964</v>
      </c>
      <c r="Q36" s="23" t="str">
        <f t="shared" si="3"/>
        <v/>
      </c>
      <c r="R36" s="23">
        <f t="shared" si="4"/>
        <v>6.261868686868687</v>
      </c>
      <c r="T36" t="str">
        <f t="shared" si="5"/>
        <v/>
      </c>
    </row>
    <row r="37" spans="1:20" x14ac:dyDescent="0.2">
      <c r="A37">
        <v>36</v>
      </c>
      <c r="B37" t="s">
        <v>74</v>
      </c>
      <c r="C37" s="14" t="s">
        <v>429</v>
      </c>
      <c r="D37" t="s">
        <v>2</v>
      </c>
      <c r="E37" t="s">
        <v>9</v>
      </c>
      <c r="G37" t="s">
        <v>14</v>
      </c>
      <c r="H37">
        <v>36</v>
      </c>
      <c r="I37">
        <v>38</v>
      </c>
      <c r="J37">
        <v>10.4</v>
      </c>
      <c r="K37">
        <v>7.78</v>
      </c>
      <c r="L37">
        <f t="shared" ref="L37:N37" si="21">L36</f>
        <v>1.1000000000000001</v>
      </c>
      <c r="M37">
        <f t="shared" si="21"/>
        <v>0.68500000000000005</v>
      </c>
      <c r="N37">
        <f t="shared" si="21"/>
        <v>0.13100000000000001</v>
      </c>
      <c r="O37" s="21">
        <f t="shared" si="7"/>
        <v>5.3831313131313134</v>
      </c>
      <c r="P37" s="21">
        <f t="shared" si="8"/>
        <v>4.7973063973063974</v>
      </c>
      <c r="Q37" s="23" t="str">
        <f t="shared" si="3"/>
        <v/>
      </c>
      <c r="R37" s="23">
        <f t="shared" si="4"/>
        <v>5.3831313131313134</v>
      </c>
      <c r="T37" t="str">
        <f t="shared" si="5"/>
        <v/>
      </c>
    </row>
    <row r="38" spans="1:20" x14ac:dyDescent="0.2">
      <c r="A38">
        <v>37</v>
      </c>
      <c r="B38" t="s">
        <v>75</v>
      </c>
      <c r="C38" t="s">
        <v>316</v>
      </c>
      <c r="D38" t="s">
        <v>2</v>
      </c>
      <c r="E38" t="s">
        <v>9</v>
      </c>
      <c r="G38" t="s">
        <v>10</v>
      </c>
      <c r="H38">
        <v>27</v>
      </c>
      <c r="I38">
        <v>22</v>
      </c>
      <c r="J38">
        <v>6.12</v>
      </c>
      <c r="K38">
        <v>5.12</v>
      </c>
      <c r="L38">
        <v>1.19</v>
      </c>
      <c r="M38">
        <v>0.67100000000000004</v>
      </c>
      <c r="N38">
        <v>0.112</v>
      </c>
      <c r="O38" s="21">
        <f t="shared" si="7"/>
        <v>3.2077684407096179</v>
      </c>
      <c r="P38" s="21">
        <f t="shared" si="8"/>
        <v>2.5561904761904763</v>
      </c>
      <c r="Q38" s="23">
        <f t="shared" si="3"/>
        <v>3.2077684407096179</v>
      </c>
      <c r="R38" s="23" t="str">
        <f t="shared" si="4"/>
        <v/>
      </c>
      <c r="T38" t="str">
        <f t="shared" si="5"/>
        <v/>
      </c>
    </row>
    <row r="39" spans="1:20" x14ac:dyDescent="0.2">
      <c r="A39">
        <v>38</v>
      </c>
      <c r="B39" t="s">
        <v>75</v>
      </c>
      <c r="C39" t="s">
        <v>316</v>
      </c>
      <c r="D39" t="s">
        <v>2</v>
      </c>
      <c r="E39" t="s">
        <v>9</v>
      </c>
      <c r="G39" t="s">
        <v>11</v>
      </c>
      <c r="H39">
        <v>28</v>
      </c>
      <c r="I39">
        <v>28</v>
      </c>
      <c r="J39">
        <v>3.98</v>
      </c>
      <c r="K39">
        <v>3.98</v>
      </c>
      <c r="L39">
        <f t="shared" ref="L39:N39" si="22">L38</f>
        <v>1.19</v>
      </c>
      <c r="M39">
        <f t="shared" si="22"/>
        <v>0.67100000000000004</v>
      </c>
      <c r="N39">
        <f t="shared" si="22"/>
        <v>0.112</v>
      </c>
      <c r="O39" s="21">
        <f t="shared" si="7"/>
        <v>2.4935387488328673</v>
      </c>
      <c r="P39" s="21">
        <f t="shared" si="8"/>
        <v>1.6623591658885779</v>
      </c>
      <c r="Q39" s="23">
        <f t="shared" si="3"/>
        <v>2.4935387488328673</v>
      </c>
      <c r="R39" s="23" t="str">
        <f t="shared" si="4"/>
        <v/>
      </c>
      <c r="T39" t="str">
        <f t="shared" si="5"/>
        <v/>
      </c>
    </row>
    <row r="40" spans="1:20" x14ac:dyDescent="0.2">
      <c r="A40">
        <v>39</v>
      </c>
      <c r="B40" t="s">
        <v>75</v>
      </c>
      <c r="C40" t="s">
        <v>316</v>
      </c>
      <c r="D40" t="s">
        <v>2</v>
      </c>
      <c r="E40" t="s">
        <v>9</v>
      </c>
      <c r="G40" t="s">
        <v>12</v>
      </c>
      <c r="H40">
        <v>23</v>
      </c>
      <c r="I40">
        <v>22</v>
      </c>
      <c r="J40">
        <v>4.9800000000000004</v>
      </c>
      <c r="K40">
        <v>4.9800000000000004</v>
      </c>
      <c r="L40">
        <v>1</v>
      </c>
      <c r="M40">
        <v>0.56100000000000005</v>
      </c>
      <c r="N40">
        <v>6.5000000000000002E-2</v>
      </c>
      <c r="O40" s="21">
        <f t="shared" si="7"/>
        <v>3.1042000000000005</v>
      </c>
      <c r="P40" s="21">
        <f t="shared" si="8"/>
        <v>2.069466666666667</v>
      </c>
      <c r="Q40" s="23" t="str">
        <f t="shared" si="3"/>
        <v/>
      </c>
      <c r="R40" s="23">
        <f t="shared" si="4"/>
        <v>3.1042000000000005</v>
      </c>
      <c r="T40" t="str">
        <f t="shared" si="5"/>
        <v/>
      </c>
    </row>
    <row r="41" spans="1:20" x14ac:dyDescent="0.2">
      <c r="A41">
        <v>40</v>
      </c>
      <c r="B41" t="s">
        <v>75</v>
      </c>
      <c r="C41" t="s">
        <v>316</v>
      </c>
      <c r="D41" t="s">
        <v>2</v>
      </c>
      <c r="E41" t="s">
        <v>9</v>
      </c>
      <c r="G41" t="s">
        <v>14</v>
      </c>
      <c r="H41">
        <v>25</v>
      </c>
      <c r="I41">
        <v>24</v>
      </c>
      <c r="J41">
        <v>5.0199999999999996</v>
      </c>
      <c r="K41">
        <v>5.08</v>
      </c>
      <c r="L41">
        <f t="shared" ref="L41:N41" si="23">L40</f>
        <v>1</v>
      </c>
      <c r="M41">
        <f t="shared" si="23"/>
        <v>0.56100000000000005</v>
      </c>
      <c r="N41">
        <f t="shared" si="23"/>
        <v>6.5000000000000002E-2</v>
      </c>
      <c r="O41" s="21">
        <f t="shared" si="7"/>
        <v>3.1665333333333336</v>
      </c>
      <c r="P41" s="21">
        <f t="shared" si="8"/>
        <v>2.0860888888888889</v>
      </c>
      <c r="Q41" s="23" t="str">
        <f t="shared" si="3"/>
        <v/>
      </c>
      <c r="R41" s="23">
        <f t="shared" si="4"/>
        <v>3.1665333333333336</v>
      </c>
      <c r="T41" t="str">
        <f t="shared" si="5"/>
        <v/>
      </c>
    </row>
    <row r="42" spans="1:20" x14ac:dyDescent="0.2">
      <c r="A42">
        <v>41</v>
      </c>
      <c r="B42" t="s">
        <v>76</v>
      </c>
      <c r="C42" t="s">
        <v>317</v>
      </c>
      <c r="D42" t="s">
        <v>2</v>
      </c>
      <c r="E42" t="s">
        <v>9</v>
      </c>
      <c r="G42" t="s">
        <v>10</v>
      </c>
      <c r="H42">
        <v>44</v>
      </c>
      <c r="I42">
        <v>36</v>
      </c>
      <c r="J42">
        <v>5.33</v>
      </c>
      <c r="K42">
        <v>4.74</v>
      </c>
      <c r="L42">
        <v>0.92</v>
      </c>
      <c r="M42">
        <v>0.54600000000000004</v>
      </c>
      <c r="N42">
        <v>0.14099999999999999</v>
      </c>
      <c r="O42" s="21">
        <f t="shared" si="7"/>
        <v>3.1256521739130441</v>
      </c>
      <c r="P42" s="21">
        <f t="shared" si="8"/>
        <v>2.3431400966183573</v>
      </c>
      <c r="Q42" s="23">
        <f t="shared" si="3"/>
        <v>3.1256521739130441</v>
      </c>
      <c r="R42" s="23" t="str">
        <f t="shared" si="4"/>
        <v/>
      </c>
      <c r="T42" t="str">
        <f t="shared" si="5"/>
        <v/>
      </c>
    </row>
    <row r="43" spans="1:20" x14ac:dyDescent="0.2">
      <c r="A43">
        <v>42</v>
      </c>
      <c r="B43" t="s">
        <v>76</v>
      </c>
      <c r="C43" t="s">
        <v>317</v>
      </c>
      <c r="D43" t="s">
        <v>2</v>
      </c>
      <c r="E43" t="s">
        <v>9</v>
      </c>
      <c r="G43" t="s">
        <v>11</v>
      </c>
      <c r="H43">
        <v>41</v>
      </c>
      <c r="I43">
        <v>39</v>
      </c>
      <c r="J43">
        <v>4.92</v>
      </c>
      <c r="K43">
        <v>4.5</v>
      </c>
      <c r="L43">
        <f t="shared" ref="L43:N43" si="24">L42</f>
        <v>0.92</v>
      </c>
      <c r="M43">
        <f t="shared" si="24"/>
        <v>0.54600000000000004</v>
      </c>
      <c r="N43">
        <f t="shared" si="24"/>
        <v>0.14099999999999999</v>
      </c>
      <c r="O43" s="21">
        <f t="shared" si="7"/>
        <v>2.9673913043478262</v>
      </c>
      <c r="P43" s="21">
        <f t="shared" si="8"/>
        <v>2.1628985507246377</v>
      </c>
      <c r="Q43" s="23">
        <f t="shared" si="3"/>
        <v>2.9673913043478262</v>
      </c>
      <c r="R43" s="23" t="str">
        <f t="shared" si="4"/>
        <v/>
      </c>
      <c r="T43" t="str">
        <f t="shared" si="5"/>
        <v/>
      </c>
    </row>
    <row r="44" spans="1:20" x14ac:dyDescent="0.2">
      <c r="A44">
        <v>43</v>
      </c>
      <c r="B44" t="s">
        <v>76</v>
      </c>
      <c r="C44" t="s">
        <v>317</v>
      </c>
      <c r="D44" t="s">
        <v>2</v>
      </c>
      <c r="E44" t="s">
        <v>9</v>
      </c>
      <c r="G44" t="s">
        <v>12</v>
      </c>
      <c r="H44">
        <v>39</v>
      </c>
      <c r="I44">
        <v>38</v>
      </c>
      <c r="J44">
        <v>6.17</v>
      </c>
      <c r="K44">
        <v>4.8</v>
      </c>
      <c r="L44">
        <v>0.96</v>
      </c>
      <c r="M44">
        <v>0.58299999999999996</v>
      </c>
      <c r="N44">
        <v>9.4E-2</v>
      </c>
      <c r="O44" s="21">
        <f t="shared" si="7"/>
        <v>3.2388888888888889</v>
      </c>
      <c r="P44" s="21">
        <f t="shared" si="8"/>
        <v>2.7755478395061726</v>
      </c>
      <c r="Q44" s="23" t="str">
        <f t="shared" si="3"/>
        <v/>
      </c>
      <c r="R44" s="23">
        <f t="shared" si="4"/>
        <v>3.2388888888888889</v>
      </c>
      <c r="T44" t="str">
        <f t="shared" si="5"/>
        <v/>
      </c>
    </row>
    <row r="45" spans="1:20" x14ac:dyDescent="0.2">
      <c r="A45">
        <v>44</v>
      </c>
      <c r="B45" t="s">
        <v>76</v>
      </c>
      <c r="C45" t="s">
        <v>317</v>
      </c>
      <c r="D45" t="s">
        <v>2</v>
      </c>
      <c r="E45" t="s">
        <v>9</v>
      </c>
      <c r="G45" t="s">
        <v>14</v>
      </c>
      <c r="H45">
        <v>38</v>
      </c>
      <c r="I45">
        <v>36</v>
      </c>
      <c r="J45">
        <v>5.98</v>
      </c>
      <c r="K45">
        <v>4.5</v>
      </c>
      <c r="L45">
        <f t="shared" ref="L45:N45" si="25">L44</f>
        <v>0.96</v>
      </c>
      <c r="M45">
        <f t="shared" si="25"/>
        <v>0.58299999999999996</v>
      </c>
      <c r="N45">
        <f t="shared" si="25"/>
        <v>9.4E-2</v>
      </c>
      <c r="O45" s="21">
        <f t="shared" si="7"/>
        <v>3.0364583333333335</v>
      </c>
      <c r="P45" s="21">
        <f t="shared" si="8"/>
        <v>2.6900771604938272</v>
      </c>
      <c r="Q45" s="23" t="str">
        <f t="shared" si="3"/>
        <v/>
      </c>
      <c r="R45" s="23">
        <f t="shared" si="4"/>
        <v>3.0364583333333335</v>
      </c>
      <c r="T45" t="str">
        <f t="shared" si="5"/>
        <v/>
      </c>
    </row>
    <row r="46" spans="1:20" x14ac:dyDescent="0.2">
      <c r="A46">
        <v>45</v>
      </c>
      <c r="B46" t="s">
        <v>77</v>
      </c>
      <c r="C46" t="s">
        <v>318</v>
      </c>
      <c r="D46" t="s">
        <v>2</v>
      </c>
      <c r="E46" t="s">
        <v>9</v>
      </c>
      <c r="G46" t="s">
        <v>10</v>
      </c>
      <c r="H46">
        <v>25</v>
      </c>
      <c r="I46">
        <v>25</v>
      </c>
      <c r="J46">
        <v>5.3</v>
      </c>
      <c r="K46">
        <v>5.64</v>
      </c>
      <c r="L46">
        <v>1.02</v>
      </c>
      <c r="M46">
        <v>0.68799999999999994</v>
      </c>
      <c r="N46">
        <v>0.104</v>
      </c>
      <c r="O46" s="21">
        <f t="shared" si="7"/>
        <v>4.2269281045751628</v>
      </c>
      <c r="P46" s="21">
        <f t="shared" si="8"/>
        <v>2.6480755265068989</v>
      </c>
      <c r="Q46" s="23">
        <f t="shared" si="3"/>
        <v>4.2269281045751628</v>
      </c>
      <c r="R46" s="23" t="str">
        <f t="shared" si="4"/>
        <v/>
      </c>
      <c r="T46" t="str">
        <f t="shared" si="5"/>
        <v/>
      </c>
    </row>
    <row r="47" spans="1:20" x14ac:dyDescent="0.2">
      <c r="A47">
        <v>46</v>
      </c>
      <c r="B47" t="s">
        <v>77</v>
      </c>
      <c r="C47" t="s">
        <v>318</v>
      </c>
      <c r="D47" t="s">
        <v>2</v>
      </c>
      <c r="E47" t="s">
        <v>9</v>
      </c>
      <c r="G47" t="s">
        <v>11</v>
      </c>
      <c r="H47">
        <v>36</v>
      </c>
      <c r="I47">
        <v>36</v>
      </c>
      <c r="J47">
        <v>7.82</v>
      </c>
      <c r="K47">
        <v>10.3</v>
      </c>
      <c r="L47">
        <f t="shared" ref="L47:N47" si="26">L46</f>
        <v>1.02</v>
      </c>
      <c r="M47">
        <f t="shared" si="26"/>
        <v>0.68799999999999994</v>
      </c>
      <c r="N47">
        <f t="shared" si="26"/>
        <v>0.104</v>
      </c>
      <c r="O47" s="21">
        <f t="shared" si="7"/>
        <v>7.719389978213508</v>
      </c>
      <c r="P47" s="21">
        <f t="shared" si="8"/>
        <v>3.9071604938271607</v>
      </c>
      <c r="Q47" s="23">
        <f t="shared" si="3"/>
        <v>7.719389978213508</v>
      </c>
      <c r="R47" s="23" t="str">
        <f t="shared" si="4"/>
        <v/>
      </c>
      <c r="T47" t="str">
        <f t="shared" si="5"/>
        <v/>
      </c>
    </row>
    <row r="48" spans="1:20" x14ac:dyDescent="0.2">
      <c r="A48">
        <v>47</v>
      </c>
      <c r="B48" t="s">
        <v>77</v>
      </c>
      <c r="C48" t="s">
        <v>318</v>
      </c>
      <c r="D48" t="s">
        <v>2</v>
      </c>
      <c r="E48" t="s">
        <v>9</v>
      </c>
      <c r="G48" t="s">
        <v>12</v>
      </c>
      <c r="H48">
        <v>27</v>
      </c>
      <c r="I48">
        <v>35</v>
      </c>
      <c r="J48">
        <v>5.97</v>
      </c>
      <c r="K48">
        <v>6.07</v>
      </c>
      <c r="L48">
        <v>1.1399999999999999</v>
      </c>
      <c r="M48">
        <v>0.73899999999999999</v>
      </c>
      <c r="N48">
        <v>0.107</v>
      </c>
      <c r="O48" s="21">
        <f t="shared" si="7"/>
        <v>4.372056530214425</v>
      </c>
      <c r="P48" s="21">
        <f t="shared" si="8"/>
        <v>2.8666861598440545</v>
      </c>
      <c r="Q48" s="23" t="str">
        <f t="shared" si="3"/>
        <v/>
      </c>
      <c r="R48" s="23">
        <f t="shared" si="4"/>
        <v>4.372056530214425</v>
      </c>
      <c r="T48" t="str">
        <f t="shared" si="5"/>
        <v/>
      </c>
    </row>
    <row r="49" spans="1:20" x14ac:dyDescent="0.2">
      <c r="A49">
        <v>48</v>
      </c>
      <c r="B49" t="s">
        <v>77</v>
      </c>
      <c r="C49" t="s">
        <v>318</v>
      </c>
      <c r="D49" t="s">
        <v>2</v>
      </c>
      <c r="E49" t="s">
        <v>9</v>
      </c>
      <c r="G49" t="s">
        <v>14</v>
      </c>
      <c r="H49">
        <v>25</v>
      </c>
      <c r="I49">
        <v>35</v>
      </c>
      <c r="J49">
        <v>5.26</v>
      </c>
      <c r="K49">
        <v>5.76</v>
      </c>
      <c r="L49">
        <f t="shared" ref="L49:N49" si="27">L48</f>
        <v>1.1399999999999999</v>
      </c>
      <c r="M49">
        <f t="shared" si="27"/>
        <v>0.73899999999999999</v>
      </c>
      <c r="N49">
        <f t="shared" si="27"/>
        <v>0.107</v>
      </c>
      <c r="O49" s="21">
        <f t="shared" si="7"/>
        <v>4.1487719298245613</v>
      </c>
      <c r="P49" s="21">
        <f t="shared" si="8"/>
        <v>2.5257569850552306</v>
      </c>
      <c r="Q49" s="23" t="str">
        <f t="shared" si="3"/>
        <v/>
      </c>
      <c r="R49" s="23">
        <f t="shared" si="4"/>
        <v>4.1487719298245613</v>
      </c>
      <c r="T49" t="str">
        <f t="shared" si="5"/>
        <v/>
      </c>
    </row>
    <row r="50" spans="1:20" x14ac:dyDescent="0.2">
      <c r="A50">
        <v>49</v>
      </c>
      <c r="B50" t="s">
        <v>78</v>
      </c>
      <c r="D50" t="s">
        <v>2</v>
      </c>
      <c r="E50" t="s">
        <v>9</v>
      </c>
      <c r="G50" t="s">
        <v>12</v>
      </c>
      <c r="H50">
        <v>31</v>
      </c>
      <c r="I50">
        <v>30</v>
      </c>
      <c r="J50">
        <v>8.61</v>
      </c>
      <c r="K50">
        <v>5.23</v>
      </c>
      <c r="L50">
        <v>0.9</v>
      </c>
      <c r="M50">
        <v>0.45500000000000002</v>
      </c>
      <c r="N50">
        <v>0.104</v>
      </c>
      <c r="O50" s="21">
        <f t="shared" si="7"/>
        <v>2.9378395061728395</v>
      </c>
      <c r="P50" s="21">
        <f t="shared" si="8"/>
        <v>3.2243209876543211</v>
      </c>
      <c r="Q50" s="23" t="str">
        <f t="shared" si="3"/>
        <v/>
      </c>
      <c r="R50" s="23">
        <f t="shared" si="4"/>
        <v>2.9378395061728395</v>
      </c>
      <c r="T50" t="str">
        <f t="shared" si="5"/>
        <v/>
      </c>
    </row>
    <row r="51" spans="1:20" x14ac:dyDescent="0.2">
      <c r="A51">
        <v>50</v>
      </c>
      <c r="B51" t="s">
        <v>78</v>
      </c>
      <c r="D51" t="s">
        <v>2</v>
      </c>
      <c r="E51" t="s">
        <v>9</v>
      </c>
      <c r="G51" t="s">
        <v>14</v>
      </c>
      <c r="H51">
        <v>35</v>
      </c>
      <c r="I51">
        <v>32</v>
      </c>
      <c r="J51">
        <v>7.18</v>
      </c>
      <c r="K51">
        <v>4.88</v>
      </c>
      <c r="L51">
        <f t="shared" ref="L51:N51" si="28">L50</f>
        <v>0.9</v>
      </c>
      <c r="M51">
        <f t="shared" si="28"/>
        <v>0.45500000000000002</v>
      </c>
      <c r="N51">
        <f t="shared" si="28"/>
        <v>0.104</v>
      </c>
      <c r="O51" s="21">
        <f t="shared" si="7"/>
        <v>2.7412345679012344</v>
      </c>
      <c r="P51" s="21">
        <f t="shared" si="8"/>
        <v>2.68880658436214</v>
      </c>
      <c r="Q51" s="23" t="str">
        <f t="shared" si="3"/>
        <v/>
      </c>
      <c r="R51" s="23">
        <f t="shared" si="4"/>
        <v>2.7412345679012344</v>
      </c>
      <c r="T51" t="str">
        <f t="shared" si="5"/>
        <v/>
      </c>
    </row>
    <row r="52" spans="1:20" x14ac:dyDescent="0.2">
      <c r="A52">
        <v>51</v>
      </c>
      <c r="B52" s="15" t="s">
        <v>78</v>
      </c>
      <c r="C52" s="15"/>
      <c r="D52" s="15" t="s">
        <v>2</v>
      </c>
      <c r="E52" s="15" t="s">
        <v>9</v>
      </c>
      <c r="F52" s="15"/>
      <c r="G52" s="15" t="s">
        <v>10</v>
      </c>
      <c r="H52" s="15">
        <v>31</v>
      </c>
      <c r="I52" s="15">
        <v>35</v>
      </c>
      <c r="J52" s="15">
        <v>9.5299999999999994</v>
      </c>
      <c r="K52" s="15">
        <v>7.53</v>
      </c>
      <c r="L52" s="15">
        <v>1.1000000000000001</v>
      </c>
      <c r="M52" s="15"/>
      <c r="N52" s="15"/>
      <c r="O52" s="21">
        <f>K52*(0.455/0.9)*(10/9)</f>
        <v>4.2298148148148149</v>
      </c>
      <c r="P52" s="21">
        <f>J52*(0.455/(0.9*1.5))*(10/9)</f>
        <v>3.5688477366255138</v>
      </c>
      <c r="Q52" s="23">
        <f t="shared" si="3"/>
        <v>4.2298148148148149</v>
      </c>
      <c r="R52" s="23" t="str">
        <f t="shared" si="4"/>
        <v/>
      </c>
      <c r="T52" t="str">
        <f t="shared" si="5"/>
        <v/>
      </c>
    </row>
    <row r="53" spans="1:20" x14ac:dyDescent="0.2">
      <c r="A53">
        <v>52</v>
      </c>
      <c r="B53" t="s">
        <v>78</v>
      </c>
      <c r="D53" t="s">
        <v>2</v>
      </c>
      <c r="E53" t="s">
        <v>9</v>
      </c>
      <c r="G53" t="s">
        <v>11</v>
      </c>
      <c r="H53">
        <v>35</v>
      </c>
      <c r="I53">
        <v>36</v>
      </c>
      <c r="J53">
        <v>9.52</v>
      </c>
      <c r="K53">
        <v>7.16</v>
      </c>
      <c r="L53">
        <f>L52</f>
        <v>1.1000000000000001</v>
      </c>
      <c r="O53" s="21">
        <f>K53*(0.455/0.9)*(10/9)</f>
        <v>4.0219753086419754</v>
      </c>
      <c r="P53" s="21">
        <f>J53*(0.455/(0.9*1.5))*(10/9)</f>
        <v>3.5651028806584359</v>
      </c>
      <c r="Q53" s="23">
        <f t="shared" si="3"/>
        <v>4.0219753086419754</v>
      </c>
      <c r="R53" s="23" t="str">
        <f t="shared" si="4"/>
        <v/>
      </c>
      <c r="T53" t="str">
        <f t="shared" si="5"/>
        <v/>
      </c>
    </row>
    <row r="54" spans="1:20" x14ac:dyDescent="0.2">
      <c r="A54">
        <v>53</v>
      </c>
      <c r="B54" t="s">
        <v>79</v>
      </c>
      <c r="D54" t="s">
        <v>2</v>
      </c>
      <c r="E54" t="s">
        <v>9</v>
      </c>
      <c r="G54" t="s">
        <v>10</v>
      </c>
      <c r="H54">
        <v>33</v>
      </c>
      <c r="I54">
        <v>31</v>
      </c>
      <c r="J54">
        <v>8.44</v>
      </c>
      <c r="K54">
        <v>7.82</v>
      </c>
      <c r="L54">
        <v>1.1599999999999999</v>
      </c>
      <c r="M54">
        <v>0.628</v>
      </c>
      <c r="N54">
        <v>0.10299999999999999</v>
      </c>
      <c r="O54" s="21">
        <f t="shared" si="7"/>
        <v>4.7039846743295026</v>
      </c>
      <c r="P54" s="21">
        <f t="shared" si="8"/>
        <v>3.3846232439335893</v>
      </c>
      <c r="Q54" s="23">
        <f t="shared" si="3"/>
        <v>4.7039846743295026</v>
      </c>
      <c r="R54" s="23" t="str">
        <f t="shared" si="4"/>
        <v/>
      </c>
      <c r="T54" t="str">
        <f t="shared" si="5"/>
        <v/>
      </c>
    </row>
    <row r="55" spans="1:20" x14ac:dyDescent="0.2">
      <c r="A55">
        <v>54</v>
      </c>
      <c r="B55" t="s">
        <v>79</v>
      </c>
      <c r="D55" t="s">
        <v>2</v>
      </c>
      <c r="E55" t="s">
        <v>9</v>
      </c>
      <c r="G55" t="s">
        <v>11</v>
      </c>
      <c r="H55">
        <v>26</v>
      </c>
      <c r="I55">
        <v>29</v>
      </c>
      <c r="J55">
        <v>14.93</v>
      </c>
      <c r="K55">
        <v>9.9</v>
      </c>
      <c r="L55">
        <f t="shared" ref="L55:N55" si="29">L54</f>
        <v>1.1599999999999999</v>
      </c>
      <c r="M55" s="6">
        <f t="shared" si="29"/>
        <v>0.628</v>
      </c>
      <c r="N55" s="6">
        <f t="shared" si="29"/>
        <v>0.10299999999999999</v>
      </c>
      <c r="O55" s="21">
        <f t="shared" si="7"/>
        <v>5.9551724137931048</v>
      </c>
      <c r="P55" s="21">
        <f t="shared" si="8"/>
        <v>5.9872541507024275</v>
      </c>
      <c r="Q55" s="23">
        <f t="shared" si="3"/>
        <v>5.9551724137931048</v>
      </c>
      <c r="R55" s="23" t="str">
        <f t="shared" si="4"/>
        <v/>
      </c>
      <c r="S55" s="6"/>
      <c r="T55" t="str">
        <f t="shared" si="5"/>
        <v/>
      </c>
    </row>
    <row r="56" spans="1:20" x14ac:dyDescent="0.2">
      <c r="A56">
        <v>55</v>
      </c>
      <c r="B56" t="s">
        <v>79</v>
      </c>
      <c r="D56" t="s">
        <v>2</v>
      </c>
      <c r="E56" t="s">
        <v>9</v>
      </c>
      <c r="G56" t="s">
        <v>12</v>
      </c>
      <c r="H56">
        <v>30</v>
      </c>
      <c r="I56">
        <v>30</v>
      </c>
      <c r="J56">
        <v>12</v>
      </c>
      <c r="K56">
        <v>7.28</v>
      </c>
      <c r="L56" s="3">
        <v>0</v>
      </c>
      <c r="M56">
        <v>0.69199999999999995</v>
      </c>
      <c r="N56">
        <v>0.105</v>
      </c>
      <c r="O56" s="21">
        <f>K56*(0.628/1.16)*(10/9)</f>
        <v>4.3791570881226063</v>
      </c>
      <c r="P56" s="21">
        <f>J56*(0.628/(1.16*1.5))*(10/9)</f>
        <v>4.8122605363984681</v>
      </c>
      <c r="Q56" s="23" t="str">
        <f t="shared" si="3"/>
        <v/>
      </c>
      <c r="R56" s="23">
        <f t="shared" si="4"/>
        <v>4.3791570881226063</v>
      </c>
      <c r="T56" t="str">
        <f t="shared" si="5"/>
        <v/>
      </c>
    </row>
    <row r="57" spans="1:20" x14ac:dyDescent="0.2">
      <c r="A57">
        <v>56</v>
      </c>
      <c r="B57" t="s">
        <v>79</v>
      </c>
      <c r="D57" t="s">
        <v>2</v>
      </c>
      <c r="E57" t="s">
        <v>9</v>
      </c>
      <c r="G57" t="s">
        <v>14</v>
      </c>
      <c r="H57">
        <v>20</v>
      </c>
      <c r="I57">
        <v>20</v>
      </c>
      <c r="J57">
        <v>7.68</v>
      </c>
      <c r="K57">
        <v>7.68</v>
      </c>
      <c r="L57">
        <f t="shared" ref="L57:N57" si="30">L56</f>
        <v>0</v>
      </c>
      <c r="M57">
        <f t="shared" si="30"/>
        <v>0.69199999999999995</v>
      </c>
      <c r="N57">
        <f t="shared" si="30"/>
        <v>0.105</v>
      </c>
      <c r="O57" s="21">
        <f>K57*(0.628/1.16)*(10/9)</f>
        <v>4.6197701149425292</v>
      </c>
      <c r="P57" s="21">
        <f>J57*(0.628/(1.16*1.5))*(10/9)</f>
        <v>3.0798467432950196</v>
      </c>
      <c r="Q57" s="23" t="str">
        <f t="shared" si="3"/>
        <v/>
      </c>
      <c r="R57" s="23">
        <f t="shared" si="4"/>
        <v>4.6197701149425292</v>
      </c>
      <c r="T57" t="str">
        <f t="shared" si="5"/>
        <v/>
      </c>
    </row>
    <row r="58" spans="1:20" x14ac:dyDescent="0.2">
      <c r="A58">
        <v>57</v>
      </c>
      <c r="B58" t="s">
        <v>80</v>
      </c>
      <c r="C58" t="s">
        <v>80</v>
      </c>
      <c r="D58" t="s">
        <v>2</v>
      </c>
      <c r="E58" t="s">
        <v>9</v>
      </c>
      <c r="G58" t="s">
        <v>10</v>
      </c>
      <c r="H58">
        <v>54</v>
      </c>
      <c r="I58">
        <v>58</v>
      </c>
      <c r="J58">
        <v>16</v>
      </c>
      <c r="K58">
        <v>14.44</v>
      </c>
      <c r="L58">
        <v>1.34</v>
      </c>
      <c r="M58">
        <v>0.85199999999999998</v>
      </c>
      <c r="N58">
        <v>0.13600000000000001</v>
      </c>
      <c r="O58" s="21">
        <f t="shared" si="7"/>
        <v>10.20139303482587</v>
      </c>
      <c r="P58" s="21">
        <f t="shared" si="8"/>
        <v>7.5356550580431172</v>
      </c>
      <c r="Q58" s="23">
        <f t="shared" si="3"/>
        <v>10.20139303482587</v>
      </c>
      <c r="R58" s="23" t="str">
        <f t="shared" si="4"/>
        <v/>
      </c>
      <c r="T58" t="str">
        <f t="shared" si="5"/>
        <v/>
      </c>
    </row>
    <row r="59" spans="1:20" x14ac:dyDescent="0.2">
      <c r="A59">
        <v>58</v>
      </c>
      <c r="B59" t="s">
        <v>80</v>
      </c>
      <c r="C59" t="s">
        <v>80</v>
      </c>
      <c r="D59" t="s">
        <v>2</v>
      </c>
      <c r="E59" t="s">
        <v>9</v>
      </c>
      <c r="G59" t="s">
        <v>11</v>
      </c>
      <c r="H59">
        <v>55</v>
      </c>
      <c r="I59">
        <v>53</v>
      </c>
      <c r="J59">
        <v>14.15</v>
      </c>
      <c r="K59">
        <v>7.68</v>
      </c>
      <c r="L59">
        <f t="shared" ref="L59:N59" si="31">L58</f>
        <v>1.34</v>
      </c>
      <c r="M59">
        <f t="shared" si="31"/>
        <v>0.85199999999999998</v>
      </c>
      <c r="N59">
        <f t="shared" si="31"/>
        <v>0.13600000000000001</v>
      </c>
      <c r="O59" s="21">
        <f t="shared" si="7"/>
        <v>5.4256716417910447</v>
      </c>
      <c r="P59" s="21">
        <f t="shared" si="8"/>
        <v>6.6643449419568821</v>
      </c>
      <c r="Q59" s="23">
        <f t="shared" si="3"/>
        <v>5.4256716417910447</v>
      </c>
      <c r="R59" s="23" t="str">
        <f t="shared" si="4"/>
        <v/>
      </c>
      <c r="T59" t="str">
        <f t="shared" si="5"/>
        <v/>
      </c>
    </row>
    <row r="60" spans="1:20" x14ac:dyDescent="0.2">
      <c r="A60">
        <v>59</v>
      </c>
      <c r="B60" t="s">
        <v>80</v>
      </c>
      <c r="C60" t="s">
        <v>80</v>
      </c>
      <c r="D60" t="s">
        <v>2</v>
      </c>
      <c r="E60" t="s">
        <v>9</v>
      </c>
      <c r="G60" t="s">
        <v>12</v>
      </c>
      <c r="H60">
        <v>37</v>
      </c>
      <c r="I60">
        <v>39</v>
      </c>
      <c r="J60">
        <v>8.98</v>
      </c>
      <c r="K60">
        <v>8.42</v>
      </c>
      <c r="L60">
        <v>1.33</v>
      </c>
      <c r="M60">
        <v>0.75</v>
      </c>
      <c r="N60">
        <v>0.14299999999999999</v>
      </c>
      <c r="O60" s="21">
        <f t="shared" si="7"/>
        <v>5.2756892230576442</v>
      </c>
      <c r="P60" s="21">
        <f t="shared" si="8"/>
        <v>3.7510442773600672</v>
      </c>
      <c r="Q60" s="23" t="str">
        <f t="shared" si="3"/>
        <v/>
      </c>
      <c r="R60" s="23">
        <f t="shared" si="4"/>
        <v>5.2756892230576442</v>
      </c>
      <c r="T60" t="str">
        <f t="shared" si="5"/>
        <v/>
      </c>
    </row>
    <row r="61" spans="1:20" x14ac:dyDescent="0.2">
      <c r="A61">
        <v>60</v>
      </c>
      <c r="B61" t="s">
        <v>80</v>
      </c>
      <c r="C61" t="s">
        <v>80</v>
      </c>
      <c r="D61" t="s">
        <v>2</v>
      </c>
      <c r="E61" t="s">
        <v>9</v>
      </c>
      <c r="G61" t="s">
        <v>14</v>
      </c>
      <c r="H61">
        <v>46</v>
      </c>
      <c r="I61">
        <v>45</v>
      </c>
      <c r="J61">
        <v>14.27</v>
      </c>
      <c r="K61">
        <v>9.8000000000000007</v>
      </c>
      <c r="L61">
        <f t="shared" ref="L61:N61" si="32">L60</f>
        <v>1.33</v>
      </c>
      <c r="M61">
        <f t="shared" si="32"/>
        <v>0.75</v>
      </c>
      <c r="N61">
        <f t="shared" si="32"/>
        <v>0.14299999999999999</v>
      </c>
      <c r="O61" s="21">
        <f t="shared" si="7"/>
        <v>6.1403508771929838</v>
      </c>
      <c r="P61" s="21">
        <f t="shared" si="8"/>
        <v>5.9607351712614864</v>
      </c>
      <c r="Q61" s="23" t="str">
        <f t="shared" si="3"/>
        <v/>
      </c>
      <c r="R61" s="23">
        <f t="shared" si="4"/>
        <v>6.1403508771929838</v>
      </c>
      <c r="T61" t="str">
        <f t="shared" si="5"/>
        <v/>
      </c>
    </row>
    <row r="62" spans="1:20" x14ac:dyDescent="0.2">
      <c r="A62">
        <v>61</v>
      </c>
      <c r="B62" t="s">
        <v>81</v>
      </c>
      <c r="C62" t="s">
        <v>319</v>
      </c>
      <c r="D62" t="s">
        <v>2</v>
      </c>
      <c r="E62" t="s">
        <v>9</v>
      </c>
      <c r="G62" t="s">
        <v>10</v>
      </c>
      <c r="H62">
        <v>43</v>
      </c>
      <c r="I62">
        <v>40</v>
      </c>
      <c r="J62">
        <v>11.11</v>
      </c>
      <c r="K62">
        <v>7.87</v>
      </c>
      <c r="L62">
        <v>1.21</v>
      </c>
      <c r="M62">
        <v>0.63500000000000001</v>
      </c>
      <c r="N62">
        <v>0.13200000000000001</v>
      </c>
      <c r="O62" s="21">
        <f t="shared" si="7"/>
        <v>4.589026629935721</v>
      </c>
      <c r="P62" s="21">
        <f t="shared" si="8"/>
        <v>4.3188552188552194</v>
      </c>
      <c r="Q62" s="23">
        <f t="shared" si="3"/>
        <v>4.589026629935721</v>
      </c>
      <c r="R62" s="23" t="str">
        <f t="shared" si="4"/>
        <v/>
      </c>
      <c r="T62" t="str">
        <f t="shared" si="5"/>
        <v/>
      </c>
    </row>
    <row r="63" spans="1:20" x14ac:dyDescent="0.2">
      <c r="A63">
        <v>62</v>
      </c>
      <c r="B63" t="s">
        <v>81</v>
      </c>
      <c r="C63" t="s">
        <v>319</v>
      </c>
      <c r="D63" t="s">
        <v>2</v>
      </c>
      <c r="E63" t="s">
        <v>9</v>
      </c>
      <c r="G63" t="s">
        <v>11</v>
      </c>
      <c r="H63">
        <v>46</v>
      </c>
      <c r="I63">
        <v>45</v>
      </c>
      <c r="J63">
        <v>7.87</v>
      </c>
      <c r="K63">
        <v>8.65</v>
      </c>
      <c r="L63">
        <f t="shared" ref="L63:N63" si="33">L62</f>
        <v>1.21</v>
      </c>
      <c r="M63">
        <f t="shared" si="33"/>
        <v>0.63500000000000001</v>
      </c>
      <c r="N63">
        <f t="shared" si="33"/>
        <v>0.13200000000000001</v>
      </c>
      <c r="O63" s="21">
        <f t="shared" si="7"/>
        <v>5.0438475665748399</v>
      </c>
      <c r="P63" s="21">
        <f t="shared" si="8"/>
        <v>3.0593510866238143</v>
      </c>
      <c r="Q63" s="23">
        <f t="shared" si="3"/>
        <v>5.0438475665748399</v>
      </c>
      <c r="R63" s="23" t="str">
        <f t="shared" si="4"/>
        <v/>
      </c>
      <c r="T63" t="str">
        <f t="shared" si="5"/>
        <v/>
      </c>
    </row>
    <row r="64" spans="1:20" x14ac:dyDescent="0.2">
      <c r="A64">
        <v>63</v>
      </c>
      <c r="B64" t="s">
        <v>81</v>
      </c>
      <c r="C64" t="s">
        <v>319</v>
      </c>
      <c r="D64" t="s">
        <v>2</v>
      </c>
      <c r="E64" t="s">
        <v>9</v>
      </c>
      <c r="G64" t="s">
        <v>12</v>
      </c>
      <c r="H64">
        <v>42</v>
      </c>
      <c r="I64">
        <v>37</v>
      </c>
      <c r="J64">
        <v>8.65</v>
      </c>
      <c r="K64">
        <v>8.91</v>
      </c>
      <c r="L64">
        <v>1</v>
      </c>
      <c r="M64">
        <v>0.60599999999999998</v>
      </c>
      <c r="N64">
        <v>0.13300000000000001</v>
      </c>
      <c r="O64" s="21">
        <f t="shared" si="7"/>
        <v>5.9994000000000005</v>
      </c>
      <c r="P64" s="21">
        <f t="shared" si="8"/>
        <v>3.8828888888888886</v>
      </c>
      <c r="Q64" s="23" t="str">
        <f t="shared" si="3"/>
        <v/>
      </c>
      <c r="R64" s="23">
        <f t="shared" si="4"/>
        <v>5.9994000000000005</v>
      </c>
      <c r="T64" t="str">
        <f t="shared" si="5"/>
        <v/>
      </c>
    </row>
    <row r="65" spans="1:20" x14ac:dyDescent="0.2">
      <c r="A65">
        <v>64</v>
      </c>
      <c r="B65" t="s">
        <v>81</v>
      </c>
      <c r="C65" t="s">
        <v>319</v>
      </c>
      <c r="D65" t="s">
        <v>2</v>
      </c>
      <c r="E65" t="s">
        <v>9</v>
      </c>
      <c r="G65" t="s">
        <v>14</v>
      </c>
      <c r="H65">
        <v>37</v>
      </c>
      <c r="I65">
        <v>44</v>
      </c>
      <c r="J65">
        <v>8.91</v>
      </c>
      <c r="K65">
        <v>10.9</v>
      </c>
      <c r="L65">
        <f t="shared" ref="L65:N65" si="34">L64</f>
        <v>1</v>
      </c>
      <c r="M65">
        <f t="shared" si="34"/>
        <v>0.60599999999999998</v>
      </c>
      <c r="N65">
        <f t="shared" si="34"/>
        <v>0.13300000000000001</v>
      </c>
      <c r="O65" s="21">
        <f t="shared" si="7"/>
        <v>7.3393333333333342</v>
      </c>
      <c r="P65" s="21">
        <f t="shared" si="8"/>
        <v>3.9996</v>
      </c>
      <c r="Q65" s="23" t="str">
        <f t="shared" si="3"/>
        <v/>
      </c>
      <c r="R65" s="23">
        <f t="shared" si="4"/>
        <v>7.3393333333333342</v>
      </c>
      <c r="T65" t="str">
        <f t="shared" si="5"/>
        <v/>
      </c>
    </row>
    <row r="66" spans="1:20" x14ac:dyDescent="0.2">
      <c r="A66">
        <v>65</v>
      </c>
      <c r="B66" t="s">
        <v>82</v>
      </c>
      <c r="C66" t="s">
        <v>320</v>
      </c>
      <c r="D66" t="s">
        <v>2</v>
      </c>
      <c r="E66" t="s">
        <v>9</v>
      </c>
      <c r="G66" t="s">
        <v>10</v>
      </c>
      <c r="H66">
        <v>35</v>
      </c>
      <c r="I66">
        <v>36</v>
      </c>
      <c r="J66">
        <v>6.83</v>
      </c>
      <c r="K66">
        <v>8.48</v>
      </c>
      <c r="L66">
        <v>1.33</v>
      </c>
      <c r="M66">
        <v>0.78400000000000003</v>
      </c>
      <c r="N66">
        <v>0.152</v>
      </c>
      <c r="O66" s="21">
        <f t="shared" si="7"/>
        <v>5.5541520467836261</v>
      </c>
      <c r="P66" s="21">
        <f t="shared" si="8"/>
        <v>2.9823001949317742</v>
      </c>
      <c r="Q66" s="23">
        <f t="shared" si="3"/>
        <v>5.5541520467836261</v>
      </c>
      <c r="R66" s="23" t="str">
        <f t="shared" si="4"/>
        <v/>
      </c>
      <c r="T66" t="str">
        <f t="shared" si="5"/>
        <v/>
      </c>
    </row>
    <row r="67" spans="1:20" x14ac:dyDescent="0.2">
      <c r="A67">
        <v>66</v>
      </c>
      <c r="B67" t="s">
        <v>82</v>
      </c>
      <c r="C67" t="s">
        <v>320</v>
      </c>
      <c r="D67" t="s">
        <v>2</v>
      </c>
      <c r="E67" t="s">
        <v>9</v>
      </c>
      <c r="G67" t="s">
        <v>11</v>
      </c>
      <c r="H67">
        <v>34</v>
      </c>
      <c r="I67">
        <v>34</v>
      </c>
      <c r="J67">
        <v>6.79</v>
      </c>
      <c r="K67">
        <v>8.35</v>
      </c>
      <c r="L67">
        <f t="shared" ref="L67:N67" si="35">L66</f>
        <v>1.33</v>
      </c>
      <c r="M67">
        <f t="shared" si="35"/>
        <v>0.78400000000000003</v>
      </c>
      <c r="N67">
        <f t="shared" si="35"/>
        <v>0.152</v>
      </c>
      <c r="O67" s="21">
        <f t="shared" si="7"/>
        <v>5.4690058479532153</v>
      </c>
      <c r="P67" s="21">
        <f t="shared" si="8"/>
        <v>2.964834307992203</v>
      </c>
      <c r="Q67" s="23">
        <f t="shared" ref="Q67:Q130" si="36">IF(LEFT(G67,7)="IMPROVE",O67,"")</f>
        <v>5.4690058479532153</v>
      </c>
      <c r="R67" s="23" t="str">
        <f t="shared" ref="R67:R130" si="37">IF(LEFT(G67,7)="FARMER ",O67,"")</f>
        <v/>
      </c>
      <c r="T67" t="str">
        <f t="shared" ref="T67:T130" si="38">IF(O67&gt;14,"VVVVVVVV","")</f>
        <v/>
      </c>
    </row>
    <row r="68" spans="1:20" x14ac:dyDescent="0.2">
      <c r="A68">
        <v>67</v>
      </c>
      <c r="B68" t="s">
        <v>82</v>
      </c>
      <c r="C68" t="s">
        <v>320</v>
      </c>
      <c r="D68" t="s">
        <v>2</v>
      </c>
      <c r="E68" t="s">
        <v>9</v>
      </c>
      <c r="G68" t="s">
        <v>12</v>
      </c>
      <c r="H68">
        <v>39</v>
      </c>
      <c r="I68">
        <v>37</v>
      </c>
      <c r="J68">
        <v>13.96</v>
      </c>
      <c r="K68">
        <v>10.37</v>
      </c>
      <c r="L68">
        <v>1.38</v>
      </c>
      <c r="M68">
        <v>0.90800000000000003</v>
      </c>
      <c r="N68">
        <v>0.13800000000000001</v>
      </c>
      <c r="O68" s="21">
        <f t="shared" si="7"/>
        <v>7.5812882447665064</v>
      </c>
      <c r="P68" s="21">
        <f t="shared" si="8"/>
        <v>6.8039076757917352</v>
      </c>
      <c r="Q68" s="23" t="str">
        <f t="shared" si="36"/>
        <v/>
      </c>
      <c r="R68" s="23">
        <f t="shared" si="37"/>
        <v>7.5812882447665064</v>
      </c>
      <c r="T68" t="str">
        <f t="shared" si="38"/>
        <v/>
      </c>
    </row>
    <row r="69" spans="1:20" x14ac:dyDescent="0.2">
      <c r="A69">
        <v>68</v>
      </c>
      <c r="B69" t="s">
        <v>82</v>
      </c>
      <c r="C69" t="s">
        <v>320</v>
      </c>
      <c r="D69" t="s">
        <v>2</v>
      </c>
      <c r="E69" t="s">
        <v>9</v>
      </c>
      <c r="G69" t="s">
        <v>14</v>
      </c>
      <c r="H69">
        <v>51</v>
      </c>
      <c r="I69">
        <v>53</v>
      </c>
      <c r="J69">
        <v>15.78</v>
      </c>
      <c r="K69">
        <v>13.05</v>
      </c>
      <c r="L69">
        <f t="shared" ref="L69:N69" si="39">L68</f>
        <v>1.38</v>
      </c>
      <c r="M69">
        <f t="shared" si="39"/>
        <v>0.90800000000000003</v>
      </c>
      <c r="N69">
        <f t="shared" si="39"/>
        <v>0.13800000000000001</v>
      </c>
      <c r="O69" s="21">
        <f t="shared" si="7"/>
        <v>9.5405797101449288</v>
      </c>
      <c r="P69" s="21">
        <f t="shared" si="8"/>
        <v>7.6909500805152984</v>
      </c>
      <c r="Q69" s="23" t="str">
        <f t="shared" si="36"/>
        <v/>
      </c>
      <c r="R69" s="23">
        <f t="shared" si="37"/>
        <v>9.5405797101449288</v>
      </c>
      <c r="T69" t="str">
        <f t="shared" si="38"/>
        <v/>
      </c>
    </row>
    <row r="70" spans="1:20" x14ac:dyDescent="0.2">
      <c r="A70">
        <v>69</v>
      </c>
      <c r="B70" s="15" t="s">
        <v>83</v>
      </c>
      <c r="C70" s="15"/>
      <c r="D70" s="15" t="s">
        <v>2</v>
      </c>
      <c r="E70" s="15" t="s">
        <v>27</v>
      </c>
      <c r="F70" s="15"/>
      <c r="G70" s="15" t="s">
        <v>32</v>
      </c>
      <c r="H70" s="15">
        <v>42</v>
      </c>
      <c r="I70" s="15">
        <v>46</v>
      </c>
      <c r="J70" s="15">
        <v>14.07</v>
      </c>
      <c r="K70" s="15">
        <v>11.06</v>
      </c>
      <c r="L70" s="15">
        <v>0.92</v>
      </c>
      <c r="M70" s="15"/>
      <c r="N70" s="15"/>
      <c r="O70" s="21">
        <f t="shared" ref="O70:O73" si="40">K70*(0.55/0.964)*(10/9)</f>
        <v>7.01129552789304</v>
      </c>
      <c r="P70" s="21">
        <f t="shared" ref="P70:P73" si="41">J70*(0.55/(0.964*1.5))*(10/9)</f>
        <v>5.9462886122637171</v>
      </c>
      <c r="Q70" s="23" t="str">
        <f t="shared" si="36"/>
        <v/>
      </c>
      <c r="R70" s="23" t="str">
        <f t="shared" si="37"/>
        <v/>
      </c>
      <c r="T70" t="str">
        <f t="shared" si="38"/>
        <v/>
      </c>
    </row>
    <row r="71" spans="1:20" x14ac:dyDescent="0.2">
      <c r="A71">
        <v>70</v>
      </c>
      <c r="B71" s="15" t="s">
        <v>83</v>
      </c>
      <c r="C71" s="15"/>
      <c r="D71" s="15" t="s">
        <v>2</v>
      </c>
      <c r="E71" s="15" t="s">
        <v>27</v>
      </c>
      <c r="F71" s="15"/>
      <c r="G71" s="15" t="s">
        <v>33</v>
      </c>
      <c r="H71" s="15">
        <v>46</v>
      </c>
      <c r="I71" s="15">
        <v>48</v>
      </c>
      <c r="J71" s="15">
        <v>15.87</v>
      </c>
      <c r="K71" s="15">
        <v>11.76</v>
      </c>
      <c r="L71" s="15">
        <f>L70</f>
        <v>0.92</v>
      </c>
      <c r="M71" s="15"/>
      <c r="N71" s="15"/>
      <c r="O71" s="21">
        <f t="shared" si="40"/>
        <v>7.4550484094052569</v>
      </c>
      <c r="P71" s="21">
        <f t="shared" si="41"/>
        <v>6.7070078377132321</v>
      </c>
      <c r="Q71" s="23" t="str">
        <f t="shared" si="36"/>
        <v/>
      </c>
      <c r="R71" s="23" t="str">
        <f t="shared" si="37"/>
        <v/>
      </c>
      <c r="T71" t="str">
        <f t="shared" si="38"/>
        <v/>
      </c>
    </row>
    <row r="72" spans="1:20" x14ac:dyDescent="0.2">
      <c r="A72">
        <v>71</v>
      </c>
      <c r="B72" s="15" t="s">
        <v>83</v>
      </c>
      <c r="C72" s="15"/>
      <c r="D72" s="15" t="s">
        <v>2</v>
      </c>
      <c r="E72" s="15" t="s">
        <v>27</v>
      </c>
      <c r="F72" s="15"/>
      <c r="G72" s="15" t="s">
        <v>45</v>
      </c>
      <c r="H72" s="15">
        <v>41</v>
      </c>
      <c r="I72" s="15">
        <v>42</v>
      </c>
      <c r="J72" s="15">
        <v>8.31</v>
      </c>
      <c r="K72" s="15">
        <v>6.21</v>
      </c>
      <c r="L72" s="15">
        <v>1.02</v>
      </c>
      <c r="M72" s="15"/>
      <c r="N72" s="15"/>
      <c r="O72" s="21">
        <f t="shared" si="40"/>
        <v>3.9367219917012455</v>
      </c>
      <c r="P72" s="21">
        <f t="shared" si="41"/>
        <v>3.5119870908252655</v>
      </c>
      <c r="Q72" s="23" t="str">
        <f t="shared" si="36"/>
        <v/>
      </c>
      <c r="R72" s="23" t="str">
        <f t="shared" si="37"/>
        <v/>
      </c>
      <c r="T72" t="str">
        <f t="shared" si="38"/>
        <v/>
      </c>
    </row>
    <row r="73" spans="1:20" x14ac:dyDescent="0.2">
      <c r="A73">
        <v>72</v>
      </c>
      <c r="B73" s="15" t="s">
        <v>83</v>
      </c>
      <c r="C73" s="15"/>
      <c r="D73" s="15" t="s">
        <v>2</v>
      </c>
      <c r="E73" s="15" t="s">
        <v>27</v>
      </c>
      <c r="F73" s="15"/>
      <c r="G73" s="15" t="s">
        <v>46</v>
      </c>
      <c r="H73" s="15">
        <v>39</v>
      </c>
      <c r="I73" s="15">
        <v>41</v>
      </c>
      <c r="J73" s="15">
        <v>6.5</v>
      </c>
      <c r="K73" s="15">
        <v>6.41</v>
      </c>
      <c r="L73" s="15">
        <f>L72</f>
        <v>1.02</v>
      </c>
      <c r="M73" s="15"/>
      <c r="N73" s="15"/>
      <c r="O73" s="21">
        <f t="shared" si="40"/>
        <v>4.0635085292761648</v>
      </c>
      <c r="P73" s="21">
        <f t="shared" si="41"/>
        <v>2.7470416474565855</v>
      </c>
      <c r="Q73" s="23" t="str">
        <f t="shared" si="36"/>
        <v/>
      </c>
      <c r="R73" s="23" t="str">
        <f t="shared" si="37"/>
        <v/>
      </c>
      <c r="T73" t="str">
        <f t="shared" si="38"/>
        <v/>
      </c>
    </row>
    <row r="74" spans="1:20" x14ac:dyDescent="0.2">
      <c r="A74">
        <v>73</v>
      </c>
      <c r="B74" s="15" t="s">
        <v>84</v>
      </c>
      <c r="C74" s="15"/>
      <c r="D74" s="15" t="s">
        <v>2</v>
      </c>
      <c r="E74" s="15" t="s">
        <v>9</v>
      </c>
      <c r="F74" s="15"/>
      <c r="G74" s="15" t="s">
        <v>10</v>
      </c>
      <c r="H74" s="15">
        <v>30</v>
      </c>
      <c r="I74" s="15">
        <v>30</v>
      </c>
      <c r="J74" s="15">
        <v>7.33</v>
      </c>
      <c r="K74" s="15">
        <v>5.74</v>
      </c>
      <c r="L74" s="15">
        <v>1.1000000000000001</v>
      </c>
      <c r="M74" s="15"/>
      <c r="N74" s="15"/>
      <c r="O74" s="21">
        <f>K74*(0.493/0.66)*(10/9)</f>
        <v>4.7640067340067347</v>
      </c>
      <c r="P74" s="21">
        <f>J74*(0.493/(0.66*1.5))*(10/9)</f>
        <v>4.0557687991021325</v>
      </c>
      <c r="Q74" s="23">
        <f t="shared" si="36"/>
        <v>4.7640067340067347</v>
      </c>
      <c r="R74" s="23" t="str">
        <f t="shared" si="37"/>
        <v/>
      </c>
      <c r="S74" s="17"/>
      <c r="T74" t="str">
        <f t="shared" si="38"/>
        <v/>
      </c>
    </row>
    <row r="75" spans="1:20" x14ac:dyDescent="0.2">
      <c r="A75">
        <v>74</v>
      </c>
      <c r="B75" t="s">
        <v>84</v>
      </c>
      <c r="D75" t="s">
        <v>2</v>
      </c>
      <c r="E75" t="s">
        <v>9</v>
      </c>
      <c r="G75" t="s">
        <v>11</v>
      </c>
      <c r="H75">
        <v>33</v>
      </c>
      <c r="I75">
        <v>31</v>
      </c>
      <c r="J75">
        <v>9.9600000000000009</v>
      </c>
      <c r="K75">
        <v>5.77</v>
      </c>
      <c r="L75">
        <v>0.79</v>
      </c>
      <c r="O75" s="21">
        <f>K75*(0.493/0.66)*(10/9)</f>
        <v>4.7889057239057244</v>
      </c>
      <c r="P75" s="21">
        <f>J75*(0.493/(0.66*1.5))*(10/9)</f>
        <v>5.5109764309764309</v>
      </c>
      <c r="Q75" s="23">
        <f t="shared" si="36"/>
        <v>4.7889057239057244</v>
      </c>
      <c r="R75" s="23" t="str">
        <f t="shared" si="37"/>
        <v/>
      </c>
      <c r="T75" t="str">
        <f t="shared" si="38"/>
        <v/>
      </c>
    </row>
    <row r="76" spans="1:20" x14ac:dyDescent="0.2">
      <c r="A76">
        <v>75</v>
      </c>
      <c r="B76" t="s">
        <v>84</v>
      </c>
      <c r="D76" t="s">
        <v>2</v>
      </c>
      <c r="E76" t="s">
        <v>9</v>
      </c>
      <c r="G76" t="s">
        <v>12</v>
      </c>
      <c r="H76">
        <v>35</v>
      </c>
      <c r="I76">
        <v>32</v>
      </c>
      <c r="J76">
        <v>7.18</v>
      </c>
      <c r="K76">
        <v>4.88</v>
      </c>
      <c r="L76">
        <v>0.66</v>
      </c>
      <c r="M76">
        <v>0.49299999999999999</v>
      </c>
      <c r="N76">
        <v>7.2999999999999995E-2</v>
      </c>
      <c r="O76" s="21">
        <f t="shared" ref="O76:O133" si="42">K76*(M76/L76)*(10/9)</f>
        <v>4.0502356902356906</v>
      </c>
      <c r="P76" s="21">
        <f t="shared" ref="P76:P133" si="43">J76*(M76/(L76*1.5))*(10/9)</f>
        <v>3.9727721661054995</v>
      </c>
      <c r="Q76" s="23" t="str">
        <f t="shared" si="36"/>
        <v/>
      </c>
      <c r="R76" s="23">
        <f t="shared" si="37"/>
        <v>4.0502356902356906</v>
      </c>
      <c r="T76" t="str">
        <f t="shared" si="38"/>
        <v/>
      </c>
    </row>
    <row r="77" spans="1:20" x14ac:dyDescent="0.2">
      <c r="A77">
        <v>76</v>
      </c>
      <c r="B77" t="s">
        <v>84</v>
      </c>
      <c r="D77" t="s">
        <v>2</v>
      </c>
      <c r="E77" t="s">
        <v>9</v>
      </c>
      <c r="G77" t="s">
        <v>14</v>
      </c>
      <c r="H77">
        <v>31</v>
      </c>
      <c r="I77">
        <v>30</v>
      </c>
      <c r="J77">
        <v>8.61</v>
      </c>
      <c r="K77">
        <v>5.23</v>
      </c>
      <c r="L77">
        <f t="shared" ref="L77:N77" si="44">L76</f>
        <v>0.66</v>
      </c>
      <c r="M77">
        <f t="shared" si="44"/>
        <v>0.49299999999999999</v>
      </c>
      <c r="N77">
        <f t="shared" si="44"/>
        <v>7.2999999999999995E-2</v>
      </c>
      <c r="O77" s="21">
        <f t="shared" si="42"/>
        <v>4.3407239057239062</v>
      </c>
      <c r="P77" s="21">
        <f t="shared" si="43"/>
        <v>4.7640067340067338</v>
      </c>
      <c r="Q77" s="23" t="str">
        <f t="shared" si="36"/>
        <v/>
      </c>
      <c r="R77" s="23">
        <f t="shared" si="37"/>
        <v>4.3407239057239062</v>
      </c>
      <c r="T77" t="str">
        <f t="shared" si="38"/>
        <v/>
      </c>
    </row>
    <row r="78" spans="1:20" x14ac:dyDescent="0.2">
      <c r="A78">
        <v>77</v>
      </c>
      <c r="B78" t="s">
        <v>85</v>
      </c>
      <c r="C78" t="s">
        <v>321</v>
      </c>
      <c r="D78" t="s">
        <v>2</v>
      </c>
      <c r="E78" t="s">
        <v>9</v>
      </c>
      <c r="G78" t="s">
        <v>10</v>
      </c>
      <c r="H78">
        <v>53</v>
      </c>
      <c r="I78">
        <v>60</v>
      </c>
      <c r="J78">
        <v>10.210000000000001</v>
      </c>
      <c r="K78">
        <v>10.33</v>
      </c>
      <c r="L78">
        <v>1.1100000000000001</v>
      </c>
      <c r="M78">
        <v>0.69499999999999995</v>
      </c>
      <c r="N78">
        <v>0.14199999999999999</v>
      </c>
      <c r="O78" s="21">
        <f t="shared" si="42"/>
        <v>7.1865365365365355</v>
      </c>
      <c r="P78" s="21">
        <f t="shared" si="43"/>
        <v>4.7353687020353687</v>
      </c>
      <c r="Q78" s="23">
        <f t="shared" si="36"/>
        <v>7.1865365365365355</v>
      </c>
      <c r="R78" s="23" t="str">
        <f t="shared" si="37"/>
        <v/>
      </c>
      <c r="T78" t="str">
        <f t="shared" si="38"/>
        <v/>
      </c>
    </row>
    <row r="79" spans="1:20" x14ac:dyDescent="0.2">
      <c r="A79">
        <v>78</v>
      </c>
      <c r="B79" t="s">
        <v>85</v>
      </c>
      <c r="C79" t="s">
        <v>321</v>
      </c>
      <c r="D79" t="s">
        <v>2</v>
      </c>
      <c r="E79" t="s">
        <v>9</v>
      </c>
      <c r="G79" t="s">
        <v>11</v>
      </c>
      <c r="H79">
        <v>50</v>
      </c>
      <c r="I79">
        <v>48</v>
      </c>
      <c r="J79">
        <v>6.21</v>
      </c>
      <c r="K79">
        <v>6.21</v>
      </c>
      <c r="L79">
        <f t="shared" ref="L79:N79" si="45">L78</f>
        <v>1.1100000000000001</v>
      </c>
      <c r="M79">
        <f t="shared" si="45"/>
        <v>0.69499999999999995</v>
      </c>
      <c r="N79">
        <f t="shared" si="45"/>
        <v>0.14199999999999999</v>
      </c>
      <c r="O79" s="21">
        <f t="shared" si="42"/>
        <v>4.32027027027027</v>
      </c>
      <c r="P79" s="21">
        <f t="shared" si="43"/>
        <v>2.8801801801801803</v>
      </c>
      <c r="Q79" s="23">
        <f t="shared" si="36"/>
        <v>4.32027027027027</v>
      </c>
      <c r="R79" s="23" t="str">
        <f t="shared" si="37"/>
        <v/>
      </c>
      <c r="T79" t="str">
        <f t="shared" si="38"/>
        <v/>
      </c>
    </row>
    <row r="80" spans="1:20" x14ac:dyDescent="0.2">
      <c r="A80">
        <v>79</v>
      </c>
      <c r="B80" t="s">
        <v>85</v>
      </c>
      <c r="C80" t="s">
        <v>321</v>
      </c>
      <c r="D80" t="s">
        <v>2</v>
      </c>
      <c r="E80" t="s">
        <v>9</v>
      </c>
      <c r="G80" t="s">
        <v>12</v>
      </c>
      <c r="H80">
        <v>43</v>
      </c>
      <c r="I80">
        <v>45</v>
      </c>
      <c r="J80">
        <v>4.16</v>
      </c>
      <c r="K80">
        <v>4.16</v>
      </c>
      <c r="L80">
        <v>0.53</v>
      </c>
      <c r="M80">
        <v>0.26</v>
      </c>
      <c r="N80">
        <v>6.9000000000000006E-2</v>
      </c>
      <c r="O80" s="21">
        <f t="shared" si="42"/>
        <v>2.2675052410901468</v>
      </c>
      <c r="P80" s="21">
        <f t="shared" si="43"/>
        <v>1.5116701607267646</v>
      </c>
      <c r="Q80" s="23" t="str">
        <f t="shared" si="36"/>
        <v/>
      </c>
      <c r="R80" s="23">
        <f t="shared" si="37"/>
        <v>2.2675052410901468</v>
      </c>
      <c r="T80" t="str">
        <f t="shared" si="38"/>
        <v/>
      </c>
    </row>
    <row r="81" spans="1:20" x14ac:dyDescent="0.2">
      <c r="A81">
        <v>80</v>
      </c>
      <c r="B81" t="s">
        <v>85</v>
      </c>
      <c r="C81" t="s">
        <v>321</v>
      </c>
      <c r="D81" t="s">
        <v>2</v>
      </c>
      <c r="E81" t="s">
        <v>9</v>
      </c>
      <c r="G81" t="s">
        <v>14</v>
      </c>
      <c r="H81">
        <v>54</v>
      </c>
      <c r="I81">
        <v>55</v>
      </c>
      <c r="J81">
        <v>5.83</v>
      </c>
      <c r="K81">
        <v>5.83</v>
      </c>
      <c r="L81">
        <f t="shared" ref="L81:N81" si="46">L80</f>
        <v>0.53</v>
      </c>
      <c r="M81">
        <f t="shared" si="46"/>
        <v>0.26</v>
      </c>
      <c r="N81">
        <f t="shared" si="46"/>
        <v>6.9000000000000006E-2</v>
      </c>
      <c r="O81" s="21">
        <f t="shared" si="42"/>
        <v>3.1777777777777776</v>
      </c>
      <c r="P81" s="21">
        <f t="shared" si="43"/>
        <v>2.1185185185185182</v>
      </c>
      <c r="Q81" s="23" t="str">
        <f t="shared" si="36"/>
        <v/>
      </c>
      <c r="R81" s="23">
        <f t="shared" si="37"/>
        <v>3.1777777777777776</v>
      </c>
      <c r="T81" t="str">
        <f t="shared" si="38"/>
        <v/>
      </c>
    </row>
    <row r="82" spans="1:20" x14ac:dyDescent="0.2">
      <c r="A82">
        <v>81</v>
      </c>
      <c r="B82" t="s">
        <v>86</v>
      </c>
      <c r="C82" t="s">
        <v>322</v>
      </c>
      <c r="D82" t="s">
        <v>2</v>
      </c>
      <c r="E82" t="s">
        <v>9</v>
      </c>
      <c r="G82" t="s">
        <v>10</v>
      </c>
      <c r="H82">
        <v>48</v>
      </c>
      <c r="I82">
        <v>42</v>
      </c>
      <c r="J82">
        <v>19.21</v>
      </c>
      <c r="K82">
        <v>10.37</v>
      </c>
      <c r="L82">
        <v>1.24</v>
      </c>
      <c r="M82">
        <v>0.66500000000000004</v>
      </c>
      <c r="N82">
        <v>0.153</v>
      </c>
      <c r="O82" s="21">
        <f t="shared" si="42"/>
        <v>6.1792562724014344</v>
      </c>
      <c r="P82" s="21">
        <f t="shared" si="43"/>
        <v>7.6312126642771814</v>
      </c>
      <c r="Q82" s="23">
        <f t="shared" si="36"/>
        <v>6.1792562724014344</v>
      </c>
      <c r="R82" s="23" t="str">
        <f t="shared" si="37"/>
        <v/>
      </c>
      <c r="T82" t="str">
        <f t="shared" si="38"/>
        <v/>
      </c>
    </row>
    <row r="83" spans="1:20" x14ac:dyDescent="0.2">
      <c r="A83">
        <v>82</v>
      </c>
      <c r="B83" t="s">
        <v>86</v>
      </c>
      <c r="C83" t="s">
        <v>322</v>
      </c>
      <c r="D83" t="s">
        <v>2</v>
      </c>
      <c r="E83" t="s">
        <v>9</v>
      </c>
      <c r="G83" t="s">
        <v>11</v>
      </c>
      <c r="H83">
        <v>40</v>
      </c>
      <c r="I83">
        <v>40</v>
      </c>
      <c r="J83">
        <v>16.18</v>
      </c>
      <c r="K83">
        <v>9.8800000000000008</v>
      </c>
      <c r="L83">
        <f t="shared" ref="L83:N83" si="47">L82</f>
        <v>1.24</v>
      </c>
      <c r="M83">
        <f t="shared" si="47"/>
        <v>0.66500000000000004</v>
      </c>
      <c r="N83">
        <f t="shared" si="47"/>
        <v>0.153</v>
      </c>
      <c r="O83" s="21">
        <f t="shared" si="42"/>
        <v>5.8872759856630843</v>
      </c>
      <c r="P83" s="21">
        <f t="shared" si="43"/>
        <v>6.4275388291517332</v>
      </c>
      <c r="Q83" s="23">
        <f t="shared" si="36"/>
        <v>5.8872759856630843</v>
      </c>
      <c r="R83" s="23" t="str">
        <f t="shared" si="37"/>
        <v/>
      </c>
      <c r="T83" t="str">
        <f t="shared" si="38"/>
        <v/>
      </c>
    </row>
    <row r="84" spans="1:20" x14ac:dyDescent="0.2">
      <c r="A84">
        <v>83</v>
      </c>
      <c r="B84" t="s">
        <v>86</v>
      </c>
      <c r="C84" t="s">
        <v>322</v>
      </c>
      <c r="D84" t="s">
        <v>2</v>
      </c>
      <c r="E84" t="s">
        <v>9</v>
      </c>
      <c r="G84" t="s">
        <v>12</v>
      </c>
      <c r="H84">
        <v>55</v>
      </c>
      <c r="I84">
        <v>55</v>
      </c>
      <c r="J84">
        <v>13.24</v>
      </c>
      <c r="K84">
        <v>9.7799999999999994</v>
      </c>
      <c r="L84">
        <v>0.84</v>
      </c>
      <c r="M84">
        <v>0.44400000000000001</v>
      </c>
      <c r="N84">
        <v>6.9000000000000006E-2</v>
      </c>
      <c r="O84" s="21">
        <f t="shared" si="42"/>
        <v>5.7438095238095235</v>
      </c>
      <c r="P84" s="21">
        <f t="shared" si="43"/>
        <v>5.1839153439153449</v>
      </c>
      <c r="Q84" s="23" t="str">
        <f t="shared" si="36"/>
        <v/>
      </c>
      <c r="R84" s="23">
        <f t="shared" si="37"/>
        <v>5.7438095238095235</v>
      </c>
      <c r="T84" t="str">
        <f t="shared" si="38"/>
        <v/>
      </c>
    </row>
    <row r="85" spans="1:20" x14ac:dyDescent="0.2">
      <c r="A85">
        <v>84</v>
      </c>
      <c r="B85" t="s">
        <v>86</v>
      </c>
      <c r="C85" t="s">
        <v>322</v>
      </c>
      <c r="D85" t="s">
        <v>2</v>
      </c>
      <c r="E85" t="s">
        <v>9</v>
      </c>
      <c r="G85" t="s">
        <v>14</v>
      </c>
      <c r="H85">
        <v>50</v>
      </c>
      <c r="I85">
        <v>45</v>
      </c>
      <c r="J85">
        <v>13.84</v>
      </c>
      <c r="K85">
        <v>9.33</v>
      </c>
      <c r="L85">
        <f t="shared" ref="L85:N85" si="48">L84</f>
        <v>0.84</v>
      </c>
      <c r="M85">
        <f t="shared" si="48"/>
        <v>0.44400000000000001</v>
      </c>
      <c r="N85">
        <f t="shared" si="48"/>
        <v>6.9000000000000006E-2</v>
      </c>
      <c r="O85" s="21">
        <f t="shared" si="42"/>
        <v>5.4795238095238101</v>
      </c>
      <c r="P85" s="21">
        <f t="shared" si="43"/>
        <v>5.418835978835979</v>
      </c>
      <c r="Q85" s="23" t="str">
        <f t="shared" si="36"/>
        <v/>
      </c>
      <c r="R85" s="23">
        <f t="shared" si="37"/>
        <v>5.4795238095238101</v>
      </c>
      <c r="T85" t="str">
        <f t="shared" si="38"/>
        <v/>
      </c>
    </row>
    <row r="86" spans="1:20" x14ac:dyDescent="0.2">
      <c r="A86">
        <v>85</v>
      </c>
      <c r="B86" t="s">
        <v>87</v>
      </c>
      <c r="C86" t="s">
        <v>323</v>
      </c>
      <c r="D86" t="s">
        <v>2</v>
      </c>
      <c r="E86" t="s">
        <v>9</v>
      </c>
      <c r="G86" t="s">
        <v>10</v>
      </c>
      <c r="H86">
        <v>35</v>
      </c>
      <c r="I86">
        <v>36</v>
      </c>
      <c r="J86">
        <v>9.16</v>
      </c>
      <c r="K86">
        <v>6.4</v>
      </c>
      <c r="L86">
        <v>0.83</v>
      </c>
      <c r="M86">
        <v>0.438</v>
      </c>
      <c r="N86">
        <v>0.15</v>
      </c>
      <c r="O86" s="21">
        <f t="shared" si="42"/>
        <v>3.7526104417670694</v>
      </c>
      <c r="P86" s="21">
        <f t="shared" si="43"/>
        <v>3.5806157965194116</v>
      </c>
      <c r="Q86" s="23">
        <f t="shared" si="36"/>
        <v>3.7526104417670694</v>
      </c>
      <c r="R86" s="23" t="str">
        <f t="shared" si="37"/>
        <v/>
      </c>
      <c r="T86" t="str">
        <f t="shared" si="38"/>
        <v/>
      </c>
    </row>
    <row r="87" spans="1:20" x14ac:dyDescent="0.2">
      <c r="A87">
        <v>86</v>
      </c>
      <c r="B87" t="s">
        <v>87</v>
      </c>
      <c r="C87" t="s">
        <v>323</v>
      </c>
      <c r="D87" t="s">
        <v>2</v>
      </c>
      <c r="E87" t="s">
        <v>9</v>
      </c>
      <c r="G87" t="s">
        <v>11</v>
      </c>
      <c r="H87">
        <v>36</v>
      </c>
      <c r="I87">
        <v>36</v>
      </c>
      <c r="J87">
        <v>7.14</v>
      </c>
      <c r="K87">
        <v>6.4</v>
      </c>
      <c r="L87">
        <f t="shared" ref="L87:N87" si="49">L86</f>
        <v>0.83</v>
      </c>
      <c r="M87">
        <f t="shared" si="49"/>
        <v>0.438</v>
      </c>
      <c r="N87">
        <f t="shared" si="49"/>
        <v>0.15</v>
      </c>
      <c r="O87" s="21">
        <f t="shared" si="42"/>
        <v>3.7526104417670694</v>
      </c>
      <c r="P87" s="21">
        <f t="shared" si="43"/>
        <v>2.7910040160642575</v>
      </c>
      <c r="Q87" s="23">
        <f t="shared" si="36"/>
        <v>3.7526104417670694</v>
      </c>
      <c r="R87" s="23" t="str">
        <f t="shared" si="37"/>
        <v/>
      </c>
      <c r="T87" t="str">
        <f t="shared" si="38"/>
        <v/>
      </c>
    </row>
    <row r="88" spans="1:20" x14ac:dyDescent="0.2">
      <c r="A88">
        <v>87</v>
      </c>
      <c r="B88" t="s">
        <v>87</v>
      </c>
      <c r="C88" t="s">
        <v>323</v>
      </c>
      <c r="D88" t="s">
        <v>2</v>
      </c>
      <c r="E88" t="s">
        <v>9</v>
      </c>
      <c r="G88" t="s">
        <v>12</v>
      </c>
      <c r="H88">
        <v>43</v>
      </c>
      <c r="I88">
        <v>38</v>
      </c>
      <c r="J88">
        <v>10.36</v>
      </c>
      <c r="K88">
        <v>5.3</v>
      </c>
      <c r="L88">
        <v>0.85</v>
      </c>
      <c r="M88">
        <v>0.42</v>
      </c>
      <c r="N88">
        <v>0.105</v>
      </c>
      <c r="O88" s="21">
        <f t="shared" si="42"/>
        <v>2.9098039215686273</v>
      </c>
      <c r="P88" s="21">
        <f t="shared" si="43"/>
        <v>3.7918954248366012</v>
      </c>
      <c r="Q88" s="23" t="str">
        <f t="shared" si="36"/>
        <v/>
      </c>
      <c r="R88" s="23">
        <f t="shared" si="37"/>
        <v>2.9098039215686273</v>
      </c>
      <c r="T88" t="str">
        <f t="shared" si="38"/>
        <v/>
      </c>
    </row>
    <row r="89" spans="1:20" x14ac:dyDescent="0.2">
      <c r="A89">
        <v>88</v>
      </c>
      <c r="B89" s="13" t="s">
        <v>87</v>
      </c>
      <c r="C89" t="s">
        <v>323</v>
      </c>
      <c r="D89" s="13" t="s">
        <v>2</v>
      </c>
      <c r="E89" s="13" t="s">
        <v>9</v>
      </c>
      <c r="F89" s="13"/>
      <c r="G89" t="s">
        <v>14</v>
      </c>
      <c r="H89" s="13">
        <v>46</v>
      </c>
      <c r="I89" s="13">
        <v>36</v>
      </c>
      <c r="J89" s="13">
        <v>7.24</v>
      </c>
      <c r="K89" s="13">
        <v>10.94</v>
      </c>
      <c r="L89" s="13">
        <f t="shared" ref="L89:N89" si="50">L88</f>
        <v>0.85</v>
      </c>
      <c r="M89">
        <f t="shared" si="50"/>
        <v>0.42</v>
      </c>
      <c r="N89">
        <f t="shared" si="50"/>
        <v>0.105</v>
      </c>
      <c r="O89" s="21">
        <f t="shared" si="42"/>
        <v>6.0062745098039221</v>
      </c>
      <c r="P89" s="21">
        <f t="shared" si="43"/>
        <v>2.6499346405228761</v>
      </c>
      <c r="Q89" s="23" t="str">
        <f t="shared" si="36"/>
        <v/>
      </c>
      <c r="R89" s="23">
        <f t="shared" si="37"/>
        <v>6.0062745098039221</v>
      </c>
      <c r="T89" t="str">
        <f t="shared" si="38"/>
        <v/>
      </c>
    </row>
    <row r="90" spans="1:20" x14ac:dyDescent="0.2">
      <c r="A90">
        <v>89</v>
      </c>
      <c r="B90" t="s">
        <v>88</v>
      </c>
      <c r="C90" t="s">
        <v>324</v>
      </c>
      <c r="D90" t="s">
        <v>2</v>
      </c>
      <c r="E90" t="s">
        <v>9</v>
      </c>
      <c r="G90" t="s">
        <v>10</v>
      </c>
      <c r="H90">
        <v>22</v>
      </c>
      <c r="I90">
        <v>32</v>
      </c>
      <c r="J90">
        <v>8</v>
      </c>
      <c r="K90">
        <v>6.32</v>
      </c>
      <c r="L90">
        <v>0.8</v>
      </c>
      <c r="M90">
        <v>0.61499999999999999</v>
      </c>
      <c r="N90">
        <v>0.11899999999999999</v>
      </c>
      <c r="O90" s="21">
        <f t="shared" si="42"/>
        <v>5.3983333333333325</v>
      </c>
      <c r="P90" s="21">
        <f t="shared" si="43"/>
        <v>4.5555555555555554</v>
      </c>
      <c r="Q90" s="23">
        <f t="shared" si="36"/>
        <v>5.3983333333333325</v>
      </c>
      <c r="R90" s="23" t="str">
        <f t="shared" si="37"/>
        <v/>
      </c>
      <c r="T90" t="str">
        <f t="shared" si="38"/>
        <v/>
      </c>
    </row>
    <row r="91" spans="1:20" x14ac:dyDescent="0.2">
      <c r="A91">
        <v>90</v>
      </c>
      <c r="B91" t="s">
        <v>88</v>
      </c>
      <c r="C91" t="s">
        <v>324</v>
      </c>
      <c r="D91" t="s">
        <v>2</v>
      </c>
      <c r="E91" t="s">
        <v>9</v>
      </c>
      <c r="G91" t="s">
        <v>11</v>
      </c>
      <c r="H91">
        <v>38</v>
      </c>
      <c r="I91">
        <v>39</v>
      </c>
      <c r="J91">
        <v>8.31</v>
      </c>
      <c r="K91">
        <v>7.42</v>
      </c>
      <c r="L91">
        <f t="shared" ref="L91:N91" si="51">L90</f>
        <v>0.8</v>
      </c>
      <c r="M91">
        <f t="shared" si="51"/>
        <v>0.61499999999999999</v>
      </c>
      <c r="N91">
        <f t="shared" si="51"/>
        <v>0.11899999999999999</v>
      </c>
      <c r="O91" s="21">
        <f t="shared" si="42"/>
        <v>6.3379166666666666</v>
      </c>
      <c r="P91" s="21">
        <f t="shared" si="43"/>
        <v>4.7320833333333336</v>
      </c>
      <c r="Q91" s="23">
        <f t="shared" si="36"/>
        <v>6.3379166666666666</v>
      </c>
      <c r="R91" s="23" t="str">
        <f t="shared" si="37"/>
        <v/>
      </c>
      <c r="T91" t="str">
        <f t="shared" si="38"/>
        <v/>
      </c>
    </row>
    <row r="92" spans="1:20" x14ac:dyDescent="0.2">
      <c r="A92">
        <v>91</v>
      </c>
      <c r="B92" t="s">
        <v>88</v>
      </c>
      <c r="C92" t="s">
        <v>324</v>
      </c>
      <c r="D92" t="s">
        <v>2</v>
      </c>
      <c r="E92" t="s">
        <v>9</v>
      </c>
      <c r="G92" t="s">
        <v>12</v>
      </c>
      <c r="H92">
        <v>29</v>
      </c>
      <c r="I92">
        <v>32</v>
      </c>
      <c r="J92">
        <v>9.8800000000000008</v>
      </c>
      <c r="K92">
        <v>6.8</v>
      </c>
      <c r="L92">
        <v>1.3</v>
      </c>
      <c r="M92">
        <v>0.75900000000000001</v>
      </c>
      <c r="N92">
        <v>0.11899999999999999</v>
      </c>
      <c r="O92" s="21">
        <f t="shared" si="42"/>
        <v>4.4112820512820505</v>
      </c>
      <c r="P92" s="21">
        <f t="shared" si="43"/>
        <v>4.2728888888888896</v>
      </c>
      <c r="Q92" s="23" t="str">
        <f t="shared" si="36"/>
        <v/>
      </c>
      <c r="R92" s="23">
        <f t="shared" si="37"/>
        <v>4.4112820512820505</v>
      </c>
      <c r="T92" t="str">
        <f t="shared" si="38"/>
        <v/>
      </c>
    </row>
    <row r="93" spans="1:20" x14ac:dyDescent="0.2">
      <c r="A93">
        <v>92</v>
      </c>
      <c r="B93" t="s">
        <v>88</v>
      </c>
      <c r="C93" t="s">
        <v>324</v>
      </c>
      <c r="D93" t="s">
        <v>2</v>
      </c>
      <c r="E93" t="s">
        <v>9</v>
      </c>
      <c r="G93" t="s">
        <v>14</v>
      </c>
      <c r="H93">
        <v>35</v>
      </c>
      <c r="I93">
        <v>42</v>
      </c>
      <c r="J93">
        <v>8.58</v>
      </c>
      <c r="K93">
        <v>8</v>
      </c>
      <c r="L93">
        <f t="shared" ref="L93:N93" si="52">L92</f>
        <v>1.3</v>
      </c>
      <c r="M93">
        <f t="shared" si="52"/>
        <v>0.75900000000000001</v>
      </c>
      <c r="N93">
        <f t="shared" si="52"/>
        <v>0.11899999999999999</v>
      </c>
      <c r="O93" s="21">
        <f t="shared" si="42"/>
        <v>5.1897435897435891</v>
      </c>
      <c r="P93" s="21">
        <f t="shared" si="43"/>
        <v>3.7106666666666666</v>
      </c>
      <c r="Q93" s="23" t="str">
        <f t="shared" si="36"/>
        <v/>
      </c>
      <c r="R93" s="23">
        <f t="shared" si="37"/>
        <v>5.1897435897435891</v>
      </c>
      <c r="T93" t="str">
        <f t="shared" si="38"/>
        <v/>
      </c>
    </row>
    <row r="94" spans="1:20" x14ac:dyDescent="0.2">
      <c r="A94">
        <v>93</v>
      </c>
      <c r="B94" t="s">
        <v>89</v>
      </c>
      <c r="D94" t="s">
        <v>2</v>
      </c>
      <c r="E94" t="s">
        <v>9</v>
      </c>
      <c r="G94" t="s">
        <v>10</v>
      </c>
      <c r="H94">
        <v>31</v>
      </c>
      <c r="I94">
        <v>31</v>
      </c>
      <c r="J94">
        <v>6.87</v>
      </c>
      <c r="K94">
        <v>5.57</v>
      </c>
      <c r="L94">
        <v>0.99</v>
      </c>
      <c r="M94">
        <v>0.53800000000000003</v>
      </c>
      <c r="N94">
        <v>9.9000000000000005E-2</v>
      </c>
      <c r="O94" s="21">
        <f t="shared" si="42"/>
        <v>3.3632547699214372</v>
      </c>
      <c r="P94" s="21">
        <f t="shared" si="43"/>
        <v>2.7654769921436593</v>
      </c>
      <c r="Q94" s="23">
        <f t="shared" si="36"/>
        <v>3.3632547699214372</v>
      </c>
      <c r="R94" s="23" t="str">
        <f t="shared" si="37"/>
        <v/>
      </c>
      <c r="T94" t="str">
        <f t="shared" si="38"/>
        <v/>
      </c>
    </row>
    <row r="95" spans="1:20" x14ac:dyDescent="0.2">
      <c r="A95">
        <v>94</v>
      </c>
      <c r="B95" t="s">
        <v>89</v>
      </c>
      <c r="D95" t="s">
        <v>2</v>
      </c>
      <c r="E95" t="s">
        <v>9</v>
      </c>
      <c r="G95" t="s">
        <v>11</v>
      </c>
      <c r="H95">
        <v>30</v>
      </c>
      <c r="I95">
        <v>30</v>
      </c>
      <c r="J95">
        <v>9.5399999999999991</v>
      </c>
      <c r="K95">
        <v>4.33</v>
      </c>
      <c r="L95">
        <f t="shared" ref="L95:N95" si="53">L94</f>
        <v>0.99</v>
      </c>
      <c r="M95">
        <f t="shared" si="53"/>
        <v>0.53800000000000003</v>
      </c>
      <c r="N95">
        <f t="shared" si="53"/>
        <v>9.9000000000000005E-2</v>
      </c>
      <c r="O95" s="21">
        <f t="shared" si="42"/>
        <v>2.614523007856342</v>
      </c>
      <c r="P95" s="21">
        <f t="shared" si="43"/>
        <v>3.8402693602693607</v>
      </c>
      <c r="Q95" s="23">
        <f t="shared" si="36"/>
        <v>2.614523007856342</v>
      </c>
      <c r="R95" s="23" t="str">
        <f t="shared" si="37"/>
        <v/>
      </c>
      <c r="T95" t="str">
        <f t="shared" si="38"/>
        <v/>
      </c>
    </row>
    <row r="96" spans="1:20" x14ac:dyDescent="0.2">
      <c r="A96">
        <v>95</v>
      </c>
      <c r="B96" t="s">
        <v>89</v>
      </c>
      <c r="D96" t="s">
        <v>2</v>
      </c>
      <c r="E96" t="s">
        <v>9</v>
      </c>
      <c r="G96" t="s">
        <v>12</v>
      </c>
      <c r="H96">
        <v>36</v>
      </c>
      <c r="I96">
        <v>36</v>
      </c>
      <c r="J96">
        <v>7.22</v>
      </c>
      <c r="K96">
        <v>6.51</v>
      </c>
      <c r="L96">
        <v>1.07</v>
      </c>
      <c r="M96">
        <v>0.57799999999999996</v>
      </c>
      <c r="N96">
        <v>8.5999999999999993E-2</v>
      </c>
      <c r="O96" s="21">
        <f t="shared" si="42"/>
        <v>3.9073520249221181</v>
      </c>
      <c r="P96" s="21">
        <f t="shared" si="43"/>
        <v>2.8889996538594667</v>
      </c>
      <c r="Q96" s="23" t="str">
        <f t="shared" si="36"/>
        <v/>
      </c>
      <c r="R96" s="23">
        <f t="shared" si="37"/>
        <v>3.9073520249221181</v>
      </c>
      <c r="T96" t="str">
        <f t="shared" si="38"/>
        <v/>
      </c>
    </row>
    <row r="97" spans="1:20" x14ac:dyDescent="0.2">
      <c r="A97">
        <v>96</v>
      </c>
      <c r="B97" t="s">
        <v>89</v>
      </c>
      <c r="D97" t="s">
        <v>2</v>
      </c>
      <c r="E97" t="s">
        <v>9</v>
      </c>
      <c r="G97" t="s">
        <v>14</v>
      </c>
      <c r="H97">
        <v>37</v>
      </c>
      <c r="I97">
        <v>35</v>
      </c>
      <c r="J97">
        <v>7.12</v>
      </c>
      <c r="K97">
        <v>6.34</v>
      </c>
      <c r="L97">
        <f t="shared" ref="L97:N97" si="54">L96</f>
        <v>1.07</v>
      </c>
      <c r="M97">
        <f t="shared" si="54"/>
        <v>0.57799999999999996</v>
      </c>
      <c r="N97">
        <f t="shared" si="54"/>
        <v>8.5999999999999993E-2</v>
      </c>
      <c r="O97" s="21">
        <f t="shared" si="42"/>
        <v>3.8053167185877461</v>
      </c>
      <c r="P97" s="21">
        <f t="shared" si="43"/>
        <v>2.8489858082381443</v>
      </c>
      <c r="Q97" s="23" t="str">
        <f t="shared" si="36"/>
        <v/>
      </c>
      <c r="R97" s="23">
        <f t="shared" si="37"/>
        <v>3.8053167185877461</v>
      </c>
      <c r="T97" t="str">
        <f t="shared" si="38"/>
        <v/>
      </c>
    </row>
    <row r="98" spans="1:20" x14ac:dyDescent="0.2">
      <c r="A98">
        <v>97</v>
      </c>
      <c r="B98" t="s">
        <v>90</v>
      </c>
      <c r="C98" t="s">
        <v>325</v>
      </c>
      <c r="D98" t="s">
        <v>2</v>
      </c>
      <c r="E98" t="s">
        <v>9</v>
      </c>
      <c r="G98" t="s">
        <v>10</v>
      </c>
      <c r="H98">
        <v>55</v>
      </c>
      <c r="I98">
        <v>59</v>
      </c>
      <c r="J98">
        <v>18.43</v>
      </c>
      <c r="K98">
        <v>11.87</v>
      </c>
      <c r="L98">
        <v>1.1599999999999999</v>
      </c>
      <c r="M98">
        <v>0.60799999999999998</v>
      </c>
      <c r="N98">
        <v>8.5999999999999993E-2</v>
      </c>
      <c r="O98" s="21">
        <f t="shared" si="42"/>
        <v>6.9127969348659013</v>
      </c>
      <c r="P98" s="21">
        <f t="shared" si="43"/>
        <v>7.1554533844189026</v>
      </c>
      <c r="Q98" s="23">
        <f t="shared" si="36"/>
        <v>6.9127969348659013</v>
      </c>
      <c r="R98" s="23" t="str">
        <f t="shared" si="37"/>
        <v/>
      </c>
      <c r="T98" t="str">
        <f t="shared" si="38"/>
        <v/>
      </c>
    </row>
    <row r="99" spans="1:20" x14ac:dyDescent="0.2">
      <c r="A99">
        <v>98</v>
      </c>
      <c r="B99" t="s">
        <v>90</v>
      </c>
      <c r="C99" t="s">
        <v>325</v>
      </c>
      <c r="D99" t="s">
        <v>2</v>
      </c>
      <c r="E99" t="s">
        <v>9</v>
      </c>
      <c r="G99" t="s">
        <v>11</v>
      </c>
      <c r="H99">
        <v>47</v>
      </c>
      <c r="I99">
        <v>47</v>
      </c>
      <c r="J99">
        <v>18.690000000000001</v>
      </c>
      <c r="K99">
        <v>11.13</v>
      </c>
      <c r="L99">
        <f t="shared" ref="L99:N99" si="55">L98</f>
        <v>1.1599999999999999</v>
      </c>
      <c r="M99">
        <f t="shared" si="55"/>
        <v>0.60799999999999998</v>
      </c>
      <c r="N99">
        <f t="shared" si="55"/>
        <v>8.5999999999999993E-2</v>
      </c>
      <c r="O99" s="21">
        <f t="shared" si="42"/>
        <v>6.4818390804597712</v>
      </c>
      <c r="P99" s="21">
        <f t="shared" si="43"/>
        <v>7.2563984674329518</v>
      </c>
      <c r="Q99" s="23">
        <f t="shared" si="36"/>
        <v>6.4818390804597712</v>
      </c>
      <c r="R99" s="23" t="str">
        <f t="shared" si="37"/>
        <v/>
      </c>
      <c r="T99" t="str">
        <f t="shared" si="38"/>
        <v/>
      </c>
    </row>
    <row r="100" spans="1:20" x14ac:dyDescent="0.2">
      <c r="A100">
        <v>99</v>
      </c>
      <c r="B100" t="s">
        <v>90</v>
      </c>
      <c r="C100" t="s">
        <v>325</v>
      </c>
      <c r="D100" t="s">
        <v>2</v>
      </c>
      <c r="E100" t="s">
        <v>9</v>
      </c>
      <c r="G100" t="s">
        <v>12</v>
      </c>
      <c r="H100">
        <v>55</v>
      </c>
      <c r="I100">
        <v>53</v>
      </c>
      <c r="J100">
        <v>10.25</v>
      </c>
      <c r="K100">
        <v>8.16</v>
      </c>
      <c r="L100">
        <v>0.78</v>
      </c>
      <c r="M100">
        <v>0.38100000000000001</v>
      </c>
      <c r="N100">
        <v>9.2999999999999999E-2</v>
      </c>
      <c r="O100" s="21">
        <f t="shared" si="42"/>
        <v>4.4287179487179484</v>
      </c>
      <c r="P100" s="21">
        <f t="shared" si="43"/>
        <v>3.708689458689459</v>
      </c>
      <c r="Q100" s="23" t="str">
        <f t="shared" si="36"/>
        <v/>
      </c>
      <c r="R100" s="23">
        <f t="shared" si="37"/>
        <v>4.4287179487179484</v>
      </c>
      <c r="T100" t="str">
        <f t="shared" si="38"/>
        <v/>
      </c>
    </row>
    <row r="101" spans="1:20" x14ac:dyDescent="0.2">
      <c r="A101">
        <v>100</v>
      </c>
      <c r="B101" t="s">
        <v>90</v>
      </c>
      <c r="C101" t="s">
        <v>325</v>
      </c>
      <c r="D101" t="s">
        <v>2</v>
      </c>
      <c r="E101" t="s">
        <v>9</v>
      </c>
      <c r="G101" t="s">
        <v>14</v>
      </c>
      <c r="H101">
        <v>56</v>
      </c>
      <c r="I101">
        <v>53</v>
      </c>
      <c r="J101">
        <v>10.7</v>
      </c>
      <c r="K101">
        <v>8.25</v>
      </c>
      <c r="L101">
        <f t="shared" ref="L101:N101" si="56">L100</f>
        <v>0.78</v>
      </c>
      <c r="M101">
        <f t="shared" si="56"/>
        <v>0.38100000000000001</v>
      </c>
      <c r="N101">
        <f t="shared" si="56"/>
        <v>9.2999999999999999E-2</v>
      </c>
      <c r="O101" s="21">
        <f t="shared" si="42"/>
        <v>4.4775641025641022</v>
      </c>
      <c r="P101" s="21">
        <f t="shared" si="43"/>
        <v>3.8715099715099717</v>
      </c>
      <c r="Q101" s="23" t="str">
        <f t="shared" si="36"/>
        <v/>
      </c>
      <c r="R101" s="23">
        <f t="shared" si="37"/>
        <v>4.4775641025641022</v>
      </c>
      <c r="T101" t="str">
        <f t="shared" si="38"/>
        <v/>
      </c>
    </row>
    <row r="102" spans="1:20" x14ac:dyDescent="0.2">
      <c r="A102">
        <v>101</v>
      </c>
      <c r="B102" t="s">
        <v>91</v>
      </c>
      <c r="C102" t="s">
        <v>91</v>
      </c>
      <c r="D102" t="s">
        <v>2</v>
      </c>
      <c r="E102" t="s">
        <v>9</v>
      </c>
      <c r="G102" t="s">
        <v>10</v>
      </c>
      <c r="H102">
        <v>38</v>
      </c>
      <c r="I102">
        <v>38</v>
      </c>
      <c r="J102">
        <v>7.98</v>
      </c>
      <c r="K102">
        <v>5.98</v>
      </c>
      <c r="L102">
        <v>0.99</v>
      </c>
      <c r="M102">
        <v>0.60199999999999998</v>
      </c>
      <c r="N102">
        <v>0.14099999999999999</v>
      </c>
      <c r="O102" s="21">
        <f t="shared" si="42"/>
        <v>4.0403591470258142</v>
      </c>
      <c r="P102" s="21">
        <f t="shared" si="43"/>
        <v>3.5944332210998886</v>
      </c>
      <c r="Q102" s="23">
        <f t="shared" si="36"/>
        <v>4.0403591470258142</v>
      </c>
      <c r="R102" s="23" t="str">
        <f t="shared" si="37"/>
        <v/>
      </c>
      <c r="T102" t="str">
        <f t="shared" si="38"/>
        <v/>
      </c>
    </row>
    <row r="103" spans="1:20" x14ac:dyDescent="0.2">
      <c r="A103">
        <v>102</v>
      </c>
      <c r="B103" t="s">
        <v>91</v>
      </c>
      <c r="C103" t="s">
        <v>91</v>
      </c>
      <c r="D103" t="s">
        <v>2</v>
      </c>
      <c r="E103" t="s">
        <v>9</v>
      </c>
      <c r="G103" t="s">
        <v>11</v>
      </c>
      <c r="H103">
        <v>44</v>
      </c>
      <c r="I103">
        <v>40</v>
      </c>
      <c r="J103">
        <v>7.47</v>
      </c>
      <c r="K103">
        <v>7.47</v>
      </c>
      <c r="L103">
        <f t="shared" ref="L103:N103" si="57">L102</f>
        <v>0.99</v>
      </c>
      <c r="M103">
        <f t="shared" si="57"/>
        <v>0.60199999999999998</v>
      </c>
      <c r="N103">
        <f t="shared" si="57"/>
        <v>0.14099999999999999</v>
      </c>
      <c r="O103" s="21">
        <f t="shared" si="42"/>
        <v>5.0470707070707075</v>
      </c>
      <c r="P103" s="21">
        <f t="shared" si="43"/>
        <v>3.364713804713805</v>
      </c>
      <c r="Q103" s="23">
        <f t="shared" si="36"/>
        <v>5.0470707070707075</v>
      </c>
      <c r="R103" s="23" t="str">
        <f t="shared" si="37"/>
        <v/>
      </c>
      <c r="T103" t="str">
        <f t="shared" si="38"/>
        <v/>
      </c>
    </row>
    <row r="104" spans="1:20" x14ac:dyDescent="0.2">
      <c r="A104">
        <v>103</v>
      </c>
      <c r="B104" t="s">
        <v>91</v>
      </c>
      <c r="C104" t="s">
        <v>91</v>
      </c>
      <c r="D104" t="s">
        <v>2</v>
      </c>
      <c r="E104" t="s">
        <v>9</v>
      </c>
      <c r="G104" t="s">
        <v>12</v>
      </c>
      <c r="H104">
        <v>35</v>
      </c>
      <c r="I104">
        <v>32</v>
      </c>
      <c r="J104">
        <v>7.18</v>
      </c>
      <c r="K104">
        <v>4.88</v>
      </c>
      <c r="L104">
        <v>0.77</v>
      </c>
      <c r="M104">
        <v>0.42599999999999999</v>
      </c>
      <c r="N104">
        <v>9.4E-2</v>
      </c>
      <c r="O104" s="21">
        <f t="shared" si="42"/>
        <v>2.9998268398268397</v>
      </c>
      <c r="P104" s="21">
        <f t="shared" si="43"/>
        <v>2.9424531024531024</v>
      </c>
      <c r="Q104" s="23" t="str">
        <f t="shared" si="36"/>
        <v/>
      </c>
      <c r="R104" s="23">
        <f t="shared" si="37"/>
        <v>2.9998268398268397</v>
      </c>
      <c r="T104" t="str">
        <f t="shared" si="38"/>
        <v/>
      </c>
    </row>
    <row r="105" spans="1:20" x14ac:dyDescent="0.2">
      <c r="A105">
        <v>104</v>
      </c>
      <c r="B105" t="s">
        <v>91</v>
      </c>
      <c r="C105" t="s">
        <v>91</v>
      </c>
      <c r="D105" t="s">
        <v>2</v>
      </c>
      <c r="E105" t="s">
        <v>9</v>
      </c>
      <c r="G105" t="s">
        <v>14</v>
      </c>
      <c r="H105">
        <v>31</v>
      </c>
      <c r="I105">
        <v>30</v>
      </c>
      <c r="J105">
        <v>8.61</v>
      </c>
      <c r="K105">
        <v>5.23</v>
      </c>
      <c r="L105">
        <f t="shared" ref="L105:N105" si="58">L104</f>
        <v>0.77</v>
      </c>
      <c r="M105">
        <f t="shared" si="58"/>
        <v>0.42599999999999999</v>
      </c>
      <c r="N105">
        <f t="shared" si="58"/>
        <v>9.4E-2</v>
      </c>
      <c r="O105" s="21">
        <f t="shared" si="42"/>
        <v>3.214978354978355</v>
      </c>
      <c r="P105" s="21">
        <f t="shared" si="43"/>
        <v>3.5284848484848479</v>
      </c>
      <c r="Q105" s="23" t="str">
        <f t="shared" si="36"/>
        <v/>
      </c>
      <c r="R105" s="23">
        <f t="shared" si="37"/>
        <v>3.214978354978355</v>
      </c>
      <c r="S105" s="14"/>
      <c r="T105" t="str">
        <f t="shared" si="38"/>
        <v/>
      </c>
    </row>
    <row r="106" spans="1:20" x14ac:dyDescent="0.2">
      <c r="A106">
        <v>105</v>
      </c>
      <c r="B106" s="15" t="s">
        <v>92</v>
      </c>
      <c r="C106" t="s">
        <v>326</v>
      </c>
      <c r="D106" s="15" t="s">
        <v>0</v>
      </c>
      <c r="E106" s="15" t="s">
        <v>9</v>
      </c>
      <c r="F106" s="15"/>
      <c r="G106" s="15" t="s">
        <v>10</v>
      </c>
      <c r="H106" s="15">
        <v>29</v>
      </c>
      <c r="I106" s="15">
        <v>32</v>
      </c>
      <c r="J106" s="15">
        <v>8.85</v>
      </c>
      <c r="K106" s="15">
        <v>8.2899999999999991</v>
      </c>
      <c r="L106" s="15">
        <v>1.1599999999999999</v>
      </c>
      <c r="M106" s="15"/>
      <c r="N106" s="15"/>
      <c r="O106" s="21">
        <f t="shared" ref="O106:O109" si="59">K106*(0.55/0.964)*(10/9)</f>
        <v>5.2553019824804066</v>
      </c>
      <c r="P106" s="21">
        <f t="shared" ref="P106:P109" si="60">J106*(0.55/(0.964*1.5))*(10/9)</f>
        <v>3.7402028584601199</v>
      </c>
      <c r="Q106" s="23">
        <f t="shared" si="36"/>
        <v>5.2553019824804066</v>
      </c>
      <c r="R106" s="23" t="str">
        <f t="shared" si="37"/>
        <v/>
      </c>
      <c r="S106" s="15" t="s">
        <v>54</v>
      </c>
      <c r="T106" t="str">
        <f t="shared" si="38"/>
        <v/>
      </c>
    </row>
    <row r="107" spans="1:20" x14ac:dyDescent="0.2">
      <c r="A107">
        <v>106</v>
      </c>
      <c r="B107" s="15" t="s">
        <v>92</v>
      </c>
      <c r="C107" t="s">
        <v>326</v>
      </c>
      <c r="D107" s="15" t="s">
        <v>0</v>
      </c>
      <c r="E107" s="15" t="s">
        <v>9</v>
      </c>
      <c r="F107" s="15"/>
      <c r="G107" s="15" t="s">
        <v>11</v>
      </c>
      <c r="H107" s="15">
        <v>45</v>
      </c>
      <c r="I107" s="15">
        <v>42</v>
      </c>
      <c r="J107" s="15">
        <v>10.82</v>
      </c>
      <c r="K107" s="15">
        <v>10.82</v>
      </c>
      <c r="L107" s="15">
        <f>L106</f>
        <v>1.1599999999999999</v>
      </c>
      <c r="M107" s="15"/>
      <c r="N107" s="15"/>
      <c r="O107" s="21">
        <f t="shared" si="59"/>
        <v>6.8591516828031365</v>
      </c>
      <c r="P107" s="21">
        <f t="shared" si="60"/>
        <v>4.5727677885354243</v>
      </c>
      <c r="Q107" s="23">
        <f t="shared" si="36"/>
        <v>6.8591516828031365</v>
      </c>
      <c r="R107" s="23" t="str">
        <f t="shared" si="37"/>
        <v/>
      </c>
      <c r="S107" s="15"/>
      <c r="T107" t="str">
        <f t="shared" si="38"/>
        <v/>
      </c>
    </row>
    <row r="108" spans="1:20" x14ac:dyDescent="0.2">
      <c r="A108">
        <v>107</v>
      </c>
      <c r="B108" s="15" t="s">
        <v>92</v>
      </c>
      <c r="C108" t="s">
        <v>326</v>
      </c>
      <c r="D108" s="15" t="s">
        <v>0</v>
      </c>
      <c r="E108" s="15" t="s">
        <v>9</v>
      </c>
      <c r="F108" s="15"/>
      <c r="G108" s="15" t="s">
        <v>12</v>
      </c>
      <c r="H108" s="15">
        <v>23</v>
      </c>
      <c r="I108" s="15">
        <v>28</v>
      </c>
      <c r="J108" s="15">
        <v>11.1</v>
      </c>
      <c r="K108" s="15">
        <v>5.51</v>
      </c>
      <c r="L108" s="15">
        <v>1.1100000000000001</v>
      </c>
      <c r="M108" s="15"/>
      <c r="N108" s="15"/>
      <c r="O108" s="21">
        <f t="shared" si="59"/>
        <v>3.4929691101890277</v>
      </c>
      <c r="P108" s="21">
        <f t="shared" si="60"/>
        <v>4.691101890272015</v>
      </c>
      <c r="Q108" s="23" t="str">
        <f t="shared" si="36"/>
        <v/>
      </c>
      <c r="R108" s="23">
        <f t="shared" si="37"/>
        <v>3.4929691101890277</v>
      </c>
      <c r="S108" s="15" t="s">
        <v>54</v>
      </c>
      <c r="T108" t="str">
        <f t="shared" si="38"/>
        <v/>
      </c>
    </row>
    <row r="109" spans="1:20" x14ac:dyDescent="0.2">
      <c r="A109">
        <v>108</v>
      </c>
      <c r="B109" s="15" t="s">
        <v>92</v>
      </c>
      <c r="C109" t="s">
        <v>326</v>
      </c>
      <c r="D109" s="15" t="s">
        <v>0</v>
      </c>
      <c r="E109" s="15" t="s">
        <v>9</v>
      </c>
      <c r="F109" s="15"/>
      <c r="G109" s="15" t="s">
        <v>14</v>
      </c>
      <c r="H109" s="15">
        <v>16</v>
      </c>
      <c r="I109" s="15">
        <v>16</v>
      </c>
      <c r="J109" s="15">
        <v>3.64</v>
      </c>
      <c r="K109" s="15">
        <v>3.74</v>
      </c>
      <c r="L109" s="15">
        <f>L108</f>
        <v>1.1100000000000001</v>
      </c>
      <c r="M109" s="15"/>
      <c r="N109" s="15"/>
      <c r="O109" s="21">
        <f t="shared" si="59"/>
        <v>2.3709082526509917</v>
      </c>
      <c r="P109" s="21">
        <f t="shared" si="60"/>
        <v>1.538343322575688</v>
      </c>
      <c r="Q109" s="23" t="str">
        <f t="shared" si="36"/>
        <v/>
      </c>
      <c r="R109" s="23">
        <f t="shared" si="37"/>
        <v>2.3709082526509917</v>
      </c>
      <c r="S109" s="15"/>
      <c r="T109" t="str">
        <f t="shared" si="38"/>
        <v/>
      </c>
    </row>
    <row r="110" spans="1:20" x14ac:dyDescent="0.2">
      <c r="A110">
        <v>109</v>
      </c>
      <c r="B110" s="15" t="s">
        <v>93</v>
      </c>
      <c r="C110" s="28" t="s">
        <v>421</v>
      </c>
      <c r="D110" s="15" t="s">
        <v>0</v>
      </c>
      <c r="E110" s="15" t="s">
        <v>9</v>
      </c>
      <c r="F110" s="15"/>
      <c r="G110" s="15" t="s">
        <v>10</v>
      </c>
      <c r="H110" s="15">
        <v>30</v>
      </c>
      <c r="I110" s="15">
        <v>29</v>
      </c>
      <c r="J110" s="15">
        <v>5.0999999999999996</v>
      </c>
      <c r="K110" s="15">
        <v>5.49</v>
      </c>
      <c r="L110" s="15">
        <v>0.96</v>
      </c>
      <c r="M110" s="15"/>
      <c r="N110" s="15"/>
      <c r="O110" s="21">
        <f>K110*(0.419/0.63)*(10/9)</f>
        <v>4.0569841269841271</v>
      </c>
      <c r="P110" s="21">
        <f>J110*(0.419/(0.63*1.5))*(10/9)</f>
        <v>2.5125220458553787</v>
      </c>
      <c r="Q110" s="23">
        <f t="shared" si="36"/>
        <v>4.0569841269841271</v>
      </c>
      <c r="R110" s="23" t="str">
        <f t="shared" si="37"/>
        <v/>
      </c>
      <c r="S110" s="15" t="s">
        <v>54</v>
      </c>
      <c r="T110" t="str">
        <f t="shared" si="38"/>
        <v/>
      </c>
    </row>
    <row r="111" spans="1:20" x14ac:dyDescent="0.2">
      <c r="A111">
        <v>110</v>
      </c>
      <c r="B111" t="s">
        <v>93</v>
      </c>
      <c r="C111" s="28" t="s">
        <v>421</v>
      </c>
      <c r="D111" t="s">
        <v>0</v>
      </c>
      <c r="E111" t="s">
        <v>9</v>
      </c>
      <c r="G111" t="s">
        <v>11</v>
      </c>
      <c r="H111">
        <v>36</v>
      </c>
      <c r="I111">
        <v>50</v>
      </c>
      <c r="J111">
        <v>11.09</v>
      </c>
      <c r="K111">
        <v>9.2100000000000009</v>
      </c>
      <c r="L111">
        <f>L110</f>
        <v>0.96</v>
      </c>
      <c r="O111" s="21">
        <f>K111*(0.419/0.63)*(10/9)</f>
        <v>6.8059788359788369</v>
      </c>
      <c r="P111" s="21">
        <f>J111*(0.419/(0.63*1.5))*(10/9)</f>
        <v>5.4635038212815985</v>
      </c>
      <c r="Q111" s="23">
        <f t="shared" si="36"/>
        <v>6.8059788359788369</v>
      </c>
      <c r="R111" s="23" t="str">
        <f t="shared" si="37"/>
        <v/>
      </c>
      <c r="T111" t="str">
        <f t="shared" si="38"/>
        <v/>
      </c>
    </row>
    <row r="112" spans="1:20" x14ac:dyDescent="0.2">
      <c r="A112">
        <v>111</v>
      </c>
      <c r="B112" t="s">
        <v>93</v>
      </c>
      <c r="C112" s="28" t="s">
        <v>421</v>
      </c>
      <c r="D112" t="s">
        <v>0</v>
      </c>
      <c r="E112" t="s">
        <v>9</v>
      </c>
      <c r="G112" t="s">
        <v>12</v>
      </c>
      <c r="H112">
        <v>32</v>
      </c>
      <c r="I112">
        <v>33</v>
      </c>
      <c r="J112">
        <v>7.15</v>
      </c>
      <c r="K112">
        <v>5.98</v>
      </c>
      <c r="L112">
        <v>0.63</v>
      </c>
      <c r="M112">
        <v>0.41899999999999998</v>
      </c>
      <c r="N112">
        <v>9.7000000000000003E-2</v>
      </c>
      <c r="O112" s="21">
        <f t="shared" si="42"/>
        <v>4.4190828924162258</v>
      </c>
      <c r="P112" s="21">
        <f t="shared" si="43"/>
        <v>3.5224573780129331</v>
      </c>
      <c r="Q112" s="23" t="str">
        <f t="shared" si="36"/>
        <v/>
      </c>
      <c r="R112" s="23">
        <f t="shared" si="37"/>
        <v>4.4190828924162258</v>
      </c>
      <c r="T112" t="str">
        <f t="shared" si="38"/>
        <v/>
      </c>
    </row>
    <row r="113" spans="1:20" x14ac:dyDescent="0.2">
      <c r="A113">
        <v>112</v>
      </c>
      <c r="B113" t="s">
        <v>93</v>
      </c>
      <c r="C113" s="28" t="s">
        <v>421</v>
      </c>
      <c r="D113" t="s">
        <v>0</v>
      </c>
      <c r="E113" t="s">
        <v>9</v>
      </c>
      <c r="G113" t="s">
        <v>14</v>
      </c>
      <c r="H113">
        <v>32</v>
      </c>
      <c r="I113">
        <v>31</v>
      </c>
      <c r="J113">
        <v>6.9</v>
      </c>
      <c r="K113">
        <v>5.62</v>
      </c>
      <c r="L113">
        <f t="shared" ref="L113:N113" si="61">L112</f>
        <v>0.63</v>
      </c>
      <c r="M113">
        <f t="shared" si="61"/>
        <v>0.41899999999999998</v>
      </c>
      <c r="N113">
        <f t="shared" si="61"/>
        <v>9.7000000000000003E-2</v>
      </c>
      <c r="O113" s="21">
        <f t="shared" si="42"/>
        <v>4.1530511463844801</v>
      </c>
      <c r="P113" s="21">
        <f t="shared" si="43"/>
        <v>3.3992945326278656</v>
      </c>
      <c r="Q113" s="23" t="str">
        <f t="shared" si="36"/>
        <v/>
      </c>
      <c r="R113" s="23">
        <f t="shared" si="37"/>
        <v>4.1530511463844801</v>
      </c>
      <c r="T113" t="str">
        <f t="shared" si="38"/>
        <v/>
      </c>
    </row>
    <row r="114" spans="1:20" x14ac:dyDescent="0.2">
      <c r="A114">
        <v>113</v>
      </c>
      <c r="B114" t="s">
        <v>94</v>
      </c>
      <c r="C114" t="s">
        <v>94</v>
      </c>
      <c r="D114" t="s">
        <v>0</v>
      </c>
      <c r="E114" t="s">
        <v>9</v>
      </c>
      <c r="G114" t="s">
        <v>10</v>
      </c>
      <c r="H114">
        <v>40</v>
      </c>
      <c r="I114">
        <v>40</v>
      </c>
      <c r="J114">
        <v>4.84</v>
      </c>
      <c r="K114">
        <v>4.87</v>
      </c>
      <c r="L114">
        <v>0.75</v>
      </c>
      <c r="M114">
        <v>0.58099999999999996</v>
      </c>
      <c r="N114">
        <v>0.128</v>
      </c>
      <c r="O114" s="21">
        <f t="shared" si="42"/>
        <v>4.1918074074074072</v>
      </c>
      <c r="P114" s="21">
        <f t="shared" si="43"/>
        <v>2.777323456790123</v>
      </c>
      <c r="Q114" s="23">
        <f t="shared" si="36"/>
        <v>4.1918074074074072</v>
      </c>
      <c r="R114" s="23" t="str">
        <f t="shared" si="37"/>
        <v/>
      </c>
      <c r="T114" t="str">
        <f t="shared" si="38"/>
        <v/>
      </c>
    </row>
    <row r="115" spans="1:20" x14ac:dyDescent="0.2">
      <c r="A115">
        <v>114</v>
      </c>
      <c r="B115" t="s">
        <v>94</v>
      </c>
      <c r="C115" t="s">
        <v>94</v>
      </c>
      <c r="D115" t="s">
        <v>0</v>
      </c>
      <c r="E115" t="s">
        <v>9</v>
      </c>
      <c r="G115" t="s">
        <v>11</v>
      </c>
      <c r="H115">
        <v>38</v>
      </c>
      <c r="I115">
        <v>41</v>
      </c>
      <c r="J115">
        <v>6.93</v>
      </c>
      <c r="K115">
        <v>6.4</v>
      </c>
      <c r="L115">
        <f t="shared" ref="L115:N115" si="62">L114</f>
        <v>0.75</v>
      </c>
      <c r="M115">
        <f t="shared" si="62"/>
        <v>0.58099999999999996</v>
      </c>
      <c r="N115">
        <f t="shared" si="62"/>
        <v>0.128</v>
      </c>
      <c r="O115" s="21">
        <f t="shared" si="42"/>
        <v>5.5087407407407412</v>
      </c>
      <c r="P115" s="21">
        <f t="shared" si="43"/>
        <v>3.9766222222222218</v>
      </c>
      <c r="Q115" s="23">
        <f t="shared" si="36"/>
        <v>5.5087407407407412</v>
      </c>
      <c r="R115" s="23" t="str">
        <f t="shared" si="37"/>
        <v/>
      </c>
      <c r="T115" t="str">
        <f t="shared" si="38"/>
        <v/>
      </c>
    </row>
    <row r="116" spans="1:20" x14ac:dyDescent="0.2">
      <c r="A116">
        <v>115</v>
      </c>
      <c r="B116" t="s">
        <v>94</v>
      </c>
      <c r="C116" t="s">
        <v>94</v>
      </c>
      <c r="D116" t="s">
        <v>0</v>
      </c>
      <c r="E116" t="s">
        <v>9</v>
      </c>
      <c r="G116" t="s">
        <v>12</v>
      </c>
      <c r="H116">
        <v>57</v>
      </c>
      <c r="I116">
        <v>57</v>
      </c>
      <c r="J116">
        <v>3.53</v>
      </c>
      <c r="K116">
        <v>3.33</v>
      </c>
      <c r="L116">
        <v>0.57999999999999996</v>
      </c>
      <c r="M116">
        <v>0.32800000000000001</v>
      </c>
      <c r="N116">
        <v>6.5000000000000002E-2</v>
      </c>
      <c r="O116" s="21">
        <f t="shared" si="42"/>
        <v>2.0924137931034488</v>
      </c>
      <c r="P116" s="21">
        <f t="shared" si="43"/>
        <v>1.4787228607918266</v>
      </c>
      <c r="Q116" s="23" t="str">
        <f t="shared" si="36"/>
        <v/>
      </c>
      <c r="R116" s="23">
        <f t="shared" si="37"/>
        <v>2.0924137931034488</v>
      </c>
      <c r="T116" t="str">
        <f t="shared" si="38"/>
        <v/>
      </c>
    </row>
    <row r="117" spans="1:20" x14ac:dyDescent="0.2">
      <c r="A117">
        <v>116</v>
      </c>
      <c r="B117" t="s">
        <v>94</v>
      </c>
      <c r="C117" t="s">
        <v>94</v>
      </c>
      <c r="D117" t="s">
        <v>0</v>
      </c>
      <c r="E117" t="s">
        <v>9</v>
      </c>
      <c r="G117" t="s">
        <v>14</v>
      </c>
      <c r="H117">
        <v>45</v>
      </c>
      <c r="I117">
        <v>45</v>
      </c>
      <c r="J117">
        <v>3.83</v>
      </c>
      <c r="K117">
        <v>3.05</v>
      </c>
      <c r="L117">
        <f t="shared" ref="L117:N117" si="63">L116</f>
        <v>0.57999999999999996</v>
      </c>
      <c r="M117">
        <f t="shared" si="63"/>
        <v>0.32800000000000001</v>
      </c>
      <c r="N117">
        <f t="shared" si="63"/>
        <v>6.5000000000000002E-2</v>
      </c>
      <c r="O117" s="21">
        <f t="shared" si="42"/>
        <v>1.9164750957854406</v>
      </c>
      <c r="P117" s="21">
        <f t="shared" si="43"/>
        <v>1.6043933588761179</v>
      </c>
      <c r="Q117" s="23" t="str">
        <f t="shared" si="36"/>
        <v/>
      </c>
      <c r="R117" s="23">
        <f t="shared" si="37"/>
        <v>1.9164750957854406</v>
      </c>
      <c r="T117" t="str">
        <f t="shared" si="38"/>
        <v/>
      </c>
    </row>
    <row r="118" spans="1:20" x14ac:dyDescent="0.2">
      <c r="A118">
        <v>117</v>
      </c>
      <c r="B118" t="s">
        <v>95</v>
      </c>
      <c r="C118" t="s">
        <v>327</v>
      </c>
      <c r="D118" t="s">
        <v>0</v>
      </c>
      <c r="E118" t="s">
        <v>9</v>
      </c>
      <c r="G118" t="s">
        <v>10</v>
      </c>
      <c r="H118">
        <v>23</v>
      </c>
      <c r="I118">
        <v>21</v>
      </c>
      <c r="J118">
        <v>8.98</v>
      </c>
      <c r="K118">
        <v>4.7300000000000004</v>
      </c>
      <c r="L118">
        <v>1.1399999999999999</v>
      </c>
      <c r="M118">
        <v>0.65800000000000003</v>
      </c>
      <c r="N118">
        <v>0.16800000000000001</v>
      </c>
      <c r="O118" s="21">
        <f t="shared" si="42"/>
        <v>3.0334697855750496</v>
      </c>
      <c r="P118" s="21">
        <f t="shared" si="43"/>
        <v>3.8394022092267712</v>
      </c>
      <c r="Q118" s="23">
        <f t="shared" si="36"/>
        <v>3.0334697855750496</v>
      </c>
      <c r="R118" s="23" t="str">
        <f t="shared" si="37"/>
        <v/>
      </c>
      <c r="T118" t="str">
        <f t="shared" si="38"/>
        <v/>
      </c>
    </row>
    <row r="119" spans="1:20" x14ac:dyDescent="0.2">
      <c r="A119">
        <v>118</v>
      </c>
      <c r="B119" t="s">
        <v>95</v>
      </c>
      <c r="C119" t="s">
        <v>327</v>
      </c>
      <c r="D119" t="s">
        <v>0</v>
      </c>
      <c r="E119" t="s">
        <v>9</v>
      </c>
      <c r="G119" t="s">
        <v>11</v>
      </c>
      <c r="H119">
        <v>26</v>
      </c>
      <c r="I119">
        <v>27</v>
      </c>
      <c r="J119">
        <v>7.81</v>
      </c>
      <c r="K119">
        <v>3.71</v>
      </c>
      <c r="L119">
        <f t="shared" ref="L119:N119" si="64">L118</f>
        <v>1.1399999999999999</v>
      </c>
      <c r="M119">
        <f t="shared" si="64"/>
        <v>0.65800000000000003</v>
      </c>
      <c r="N119">
        <f t="shared" si="64"/>
        <v>0.16800000000000001</v>
      </c>
      <c r="O119" s="21">
        <f t="shared" si="42"/>
        <v>2.3793177387914239</v>
      </c>
      <c r="P119" s="21">
        <f t="shared" si="43"/>
        <v>3.3391682910981157</v>
      </c>
      <c r="Q119" s="23">
        <f t="shared" si="36"/>
        <v>2.3793177387914239</v>
      </c>
      <c r="R119" s="23" t="str">
        <f t="shared" si="37"/>
        <v/>
      </c>
      <c r="T119" t="str">
        <f t="shared" si="38"/>
        <v/>
      </c>
    </row>
    <row r="120" spans="1:20" x14ac:dyDescent="0.2">
      <c r="A120">
        <v>119</v>
      </c>
      <c r="B120" t="s">
        <v>95</v>
      </c>
      <c r="C120" t="s">
        <v>327</v>
      </c>
      <c r="D120" t="s">
        <v>0</v>
      </c>
      <c r="E120" t="s">
        <v>9</v>
      </c>
      <c r="G120" t="s">
        <v>12</v>
      </c>
      <c r="H120">
        <v>21</v>
      </c>
      <c r="I120">
        <v>21</v>
      </c>
      <c r="J120">
        <v>6.17</v>
      </c>
      <c r="K120">
        <v>3.05</v>
      </c>
      <c r="L120">
        <v>0.53</v>
      </c>
      <c r="M120" s="13">
        <v>0.48699999999999999</v>
      </c>
      <c r="N120" s="13">
        <v>9.1999999999999998E-2</v>
      </c>
      <c r="O120" s="21">
        <f t="shared" si="42"/>
        <v>3.1139412997903562</v>
      </c>
      <c r="P120" s="21">
        <f t="shared" si="43"/>
        <v>4.1995667365478688</v>
      </c>
      <c r="Q120" s="23" t="str">
        <f t="shared" si="36"/>
        <v/>
      </c>
      <c r="R120" s="23">
        <f t="shared" si="37"/>
        <v>3.1139412997903562</v>
      </c>
      <c r="T120" t="str">
        <f t="shared" si="38"/>
        <v/>
      </c>
    </row>
    <row r="121" spans="1:20" x14ac:dyDescent="0.2">
      <c r="A121">
        <v>120</v>
      </c>
      <c r="B121" t="s">
        <v>95</v>
      </c>
      <c r="C121" t="s">
        <v>327</v>
      </c>
      <c r="D121" t="s">
        <v>0</v>
      </c>
      <c r="E121" t="s">
        <v>9</v>
      </c>
      <c r="G121" t="s">
        <v>14</v>
      </c>
      <c r="H121">
        <v>37</v>
      </c>
      <c r="I121">
        <v>29</v>
      </c>
      <c r="J121">
        <v>8.1</v>
      </c>
      <c r="K121">
        <v>3.37</v>
      </c>
      <c r="L121">
        <f t="shared" ref="L121:N121" si="65">L120</f>
        <v>0.53</v>
      </c>
      <c r="M121">
        <f t="shared" si="65"/>
        <v>0.48699999999999999</v>
      </c>
      <c r="N121">
        <f t="shared" si="65"/>
        <v>9.1999999999999998E-2</v>
      </c>
      <c r="O121" s="21">
        <f t="shared" si="42"/>
        <v>3.4406498951781974</v>
      </c>
      <c r="P121" s="21">
        <f t="shared" si="43"/>
        <v>5.5132075471698103</v>
      </c>
      <c r="Q121" s="23" t="str">
        <f t="shared" si="36"/>
        <v/>
      </c>
      <c r="R121" s="23">
        <f t="shared" si="37"/>
        <v>3.4406498951781974</v>
      </c>
      <c r="T121" t="str">
        <f t="shared" si="38"/>
        <v/>
      </c>
    </row>
    <row r="122" spans="1:20" x14ac:dyDescent="0.2">
      <c r="A122">
        <v>121</v>
      </c>
      <c r="B122" t="s">
        <v>96</v>
      </c>
      <c r="C122" t="s">
        <v>96</v>
      </c>
      <c r="D122" t="s">
        <v>0</v>
      </c>
      <c r="E122" t="s">
        <v>9</v>
      </c>
      <c r="G122" t="s">
        <v>10</v>
      </c>
      <c r="H122">
        <v>36</v>
      </c>
      <c r="I122">
        <v>35</v>
      </c>
      <c r="J122">
        <v>13.79</v>
      </c>
      <c r="K122">
        <v>7.01</v>
      </c>
      <c r="L122">
        <v>1.44</v>
      </c>
      <c r="M122">
        <v>0.77300000000000002</v>
      </c>
      <c r="N122">
        <v>0.16700000000000001</v>
      </c>
      <c r="O122" s="21">
        <f t="shared" si="42"/>
        <v>4.1811188271604935</v>
      </c>
      <c r="P122" s="21">
        <f t="shared" si="43"/>
        <v>5.4833693415637859</v>
      </c>
      <c r="Q122" s="23">
        <f t="shared" si="36"/>
        <v>4.1811188271604935</v>
      </c>
      <c r="R122" s="23" t="str">
        <f t="shared" si="37"/>
        <v/>
      </c>
      <c r="T122" t="str">
        <f t="shared" si="38"/>
        <v/>
      </c>
    </row>
    <row r="123" spans="1:20" x14ac:dyDescent="0.2">
      <c r="A123">
        <v>122</v>
      </c>
      <c r="B123" t="s">
        <v>96</v>
      </c>
      <c r="C123" t="s">
        <v>96</v>
      </c>
      <c r="D123" t="s">
        <v>0</v>
      </c>
      <c r="E123" t="s">
        <v>9</v>
      </c>
      <c r="G123" t="s">
        <v>11</v>
      </c>
      <c r="H123">
        <v>55</v>
      </c>
      <c r="I123">
        <v>48</v>
      </c>
      <c r="J123">
        <v>13.29</v>
      </c>
      <c r="K123">
        <v>16.8</v>
      </c>
      <c r="L123">
        <f t="shared" ref="L123:N123" si="66">L122</f>
        <v>1.44</v>
      </c>
      <c r="M123">
        <f t="shared" si="66"/>
        <v>0.77300000000000002</v>
      </c>
      <c r="N123">
        <f t="shared" si="66"/>
        <v>0.16700000000000001</v>
      </c>
      <c r="O123" s="21">
        <f t="shared" si="42"/>
        <v>10.020370370370371</v>
      </c>
      <c r="P123" s="21">
        <f t="shared" si="43"/>
        <v>5.2845524691358019</v>
      </c>
      <c r="Q123" s="23">
        <f t="shared" si="36"/>
        <v>10.020370370370371</v>
      </c>
      <c r="R123" s="23" t="str">
        <f t="shared" si="37"/>
        <v/>
      </c>
      <c r="T123" t="str">
        <f t="shared" si="38"/>
        <v/>
      </c>
    </row>
    <row r="124" spans="1:20" x14ac:dyDescent="0.2">
      <c r="A124">
        <v>123</v>
      </c>
      <c r="B124" t="s">
        <v>96</v>
      </c>
      <c r="C124" t="s">
        <v>96</v>
      </c>
      <c r="D124" t="s">
        <v>0</v>
      </c>
      <c r="E124" t="s">
        <v>9</v>
      </c>
      <c r="G124" t="s">
        <v>12</v>
      </c>
      <c r="H124">
        <v>35</v>
      </c>
      <c r="I124">
        <v>35</v>
      </c>
      <c r="J124">
        <v>13.3</v>
      </c>
      <c r="K124">
        <v>6.44</v>
      </c>
      <c r="L124">
        <v>0.61</v>
      </c>
      <c r="M124" s="4">
        <v>0.184</v>
      </c>
      <c r="N124" s="4">
        <v>6.7000000000000004E-2</v>
      </c>
      <c r="O124" s="21">
        <f t="shared" si="42"/>
        <v>2.1583970856102006</v>
      </c>
      <c r="P124" s="21">
        <f t="shared" si="43"/>
        <v>2.9717061323618701</v>
      </c>
      <c r="Q124" s="23" t="str">
        <f t="shared" si="36"/>
        <v/>
      </c>
      <c r="R124" s="23">
        <f t="shared" si="37"/>
        <v>2.1583970856102006</v>
      </c>
      <c r="T124" t="str">
        <f t="shared" si="38"/>
        <v/>
      </c>
    </row>
    <row r="125" spans="1:20" x14ac:dyDescent="0.2">
      <c r="A125">
        <v>124</v>
      </c>
      <c r="B125" t="s">
        <v>96</v>
      </c>
      <c r="C125" t="s">
        <v>96</v>
      </c>
      <c r="D125" t="s">
        <v>0</v>
      </c>
      <c r="E125" t="s">
        <v>9</v>
      </c>
      <c r="G125" t="s">
        <v>14</v>
      </c>
      <c r="H125">
        <v>55</v>
      </c>
      <c r="I125">
        <v>26</v>
      </c>
      <c r="J125">
        <v>11.23</v>
      </c>
      <c r="K125">
        <v>2.68</v>
      </c>
      <c r="L125">
        <f t="shared" ref="L125:N125" si="67">L124</f>
        <v>0.61</v>
      </c>
      <c r="M125">
        <f t="shared" si="67"/>
        <v>0.184</v>
      </c>
      <c r="N125">
        <f t="shared" si="67"/>
        <v>6.7000000000000004E-2</v>
      </c>
      <c r="O125" s="21">
        <f t="shared" si="42"/>
        <v>0.89821493624772331</v>
      </c>
      <c r="P125" s="21">
        <f t="shared" si="43"/>
        <v>2.5091924711596842</v>
      </c>
      <c r="Q125" s="23" t="str">
        <f t="shared" si="36"/>
        <v/>
      </c>
      <c r="R125" s="23">
        <f t="shared" si="37"/>
        <v>0.89821493624772331</v>
      </c>
      <c r="T125" t="str">
        <f t="shared" si="38"/>
        <v/>
      </c>
    </row>
    <row r="126" spans="1:20" x14ac:dyDescent="0.2">
      <c r="A126">
        <v>125</v>
      </c>
      <c r="B126" s="15" t="s">
        <v>97</v>
      </c>
      <c r="C126" t="s">
        <v>328</v>
      </c>
      <c r="D126" s="15" t="s">
        <v>0</v>
      </c>
      <c r="E126" s="15" t="s">
        <v>9</v>
      </c>
      <c r="F126" s="15"/>
      <c r="G126" s="15" t="s">
        <v>10</v>
      </c>
      <c r="H126" s="15">
        <v>28</v>
      </c>
      <c r="I126" s="15">
        <v>32</v>
      </c>
      <c r="J126" s="15">
        <v>7.12</v>
      </c>
      <c r="K126" s="15">
        <v>7</v>
      </c>
      <c r="L126" s="15">
        <v>1.07</v>
      </c>
      <c r="M126" s="15"/>
      <c r="N126" s="15"/>
      <c r="O126" s="21">
        <f>K126*(0.397/0.84)*(10/9)</f>
        <v>3.6759259259259265</v>
      </c>
      <c r="P126" s="21">
        <f>J126*(0.397/(0.84*1.5))*(10/9)</f>
        <v>2.4926278659611993</v>
      </c>
      <c r="Q126" s="23">
        <f t="shared" si="36"/>
        <v>3.6759259259259265</v>
      </c>
      <c r="R126" s="23" t="str">
        <f t="shared" si="37"/>
        <v/>
      </c>
      <c r="S126" s="15" t="s">
        <v>54</v>
      </c>
      <c r="T126" t="str">
        <f t="shared" si="38"/>
        <v/>
      </c>
    </row>
    <row r="127" spans="1:20" x14ac:dyDescent="0.2">
      <c r="A127">
        <v>126</v>
      </c>
      <c r="B127" t="s">
        <v>97</v>
      </c>
      <c r="C127" t="s">
        <v>328</v>
      </c>
      <c r="D127" t="s">
        <v>0</v>
      </c>
      <c r="E127" t="s">
        <v>9</v>
      </c>
      <c r="G127" t="s">
        <v>11</v>
      </c>
      <c r="H127">
        <v>32</v>
      </c>
      <c r="I127">
        <v>29</v>
      </c>
      <c r="J127">
        <v>4.97</v>
      </c>
      <c r="K127">
        <v>5.44</v>
      </c>
      <c r="L127">
        <f>L126</f>
        <v>1.07</v>
      </c>
      <c r="O127" s="21">
        <f>K127*(0.397/0.84)*(10/9)</f>
        <v>2.8567195767195774</v>
      </c>
      <c r="P127" s="21">
        <f>J127*(0.397/(0.84*1.5))*(10/9)</f>
        <v>1.7399382716049383</v>
      </c>
      <c r="Q127" s="23">
        <f t="shared" si="36"/>
        <v>2.8567195767195774</v>
      </c>
      <c r="R127" s="23" t="str">
        <f t="shared" si="37"/>
        <v/>
      </c>
      <c r="T127" t="str">
        <f t="shared" si="38"/>
        <v/>
      </c>
    </row>
    <row r="128" spans="1:20" x14ac:dyDescent="0.2">
      <c r="A128">
        <v>127</v>
      </c>
      <c r="B128" t="s">
        <v>97</v>
      </c>
      <c r="C128" t="s">
        <v>328</v>
      </c>
      <c r="D128" t="s">
        <v>0</v>
      </c>
      <c r="E128" t="s">
        <v>9</v>
      </c>
      <c r="G128" t="s">
        <v>12</v>
      </c>
      <c r="H128">
        <v>37</v>
      </c>
      <c r="I128">
        <v>37</v>
      </c>
      <c r="J128">
        <v>6.25</v>
      </c>
      <c r="K128">
        <v>6.14</v>
      </c>
      <c r="L128">
        <v>0.84</v>
      </c>
      <c r="M128">
        <v>0.39700000000000002</v>
      </c>
      <c r="N128">
        <v>9.2999999999999999E-2</v>
      </c>
      <c r="O128" s="21">
        <f t="shared" si="42"/>
        <v>3.2243121693121695</v>
      </c>
      <c r="P128" s="21">
        <f t="shared" si="43"/>
        <v>2.1880511463844798</v>
      </c>
      <c r="Q128" s="23" t="str">
        <f t="shared" si="36"/>
        <v/>
      </c>
      <c r="R128" s="23">
        <f t="shared" si="37"/>
        <v>3.2243121693121695</v>
      </c>
      <c r="T128" t="str">
        <f t="shared" si="38"/>
        <v/>
      </c>
    </row>
    <row r="129" spans="1:20" x14ac:dyDescent="0.2">
      <c r="A129">
        <v>128</v>
      </c>
      <c r="B129" t="s">
        <v>97</v>
      </c>
      <c r="C129" t="s">
        <v>328</v>
      </c>
      <c r="D129" t="s">
        <v>0</v>
      </c>
      <c r="E129" t="s">
        <v>9</v>
      </c>
      <c r="G129" t="s">
        <v>14</v>
      </c>
      <c r="H129">
        <v>30</v>
      </c>
      <c r="I129">
        <v>30</v>
      </c>
      <c r="J129">
        <v>8.24</v>
      </c>
      <c r="K129">
        <v>6.07</v>
      </c>
      <c r="L129">
        <f t="shared" ref="L129:N129" si="68">L128</f>
        <v>0.84</v>
      </c>
      <c r="M129">
        <f t="shared" si="68"/>
        <v>0.39700000000000002</v>
      </c>
      <c r="N129">
        <f t="shared" si="68"/>
        <v>9.2999999999999999E-2</v>
      </c>
      <c r="O129" s="21">
        <f t="shared" si="42"/>
        <v>3.187552910052911</v>
      </c>
      <c r="P129" s="21">
        <f t="shared" si="43"/>
        <v>2.8847266313932978</v>
      </c>
      <c r="Q129" s="23" t="str">
        <f t="shared" si="36"/>
        <v/>
      </c>
      <c r="R129" s="23">
        <f t="shared" si="37"/>
        <v>3.187552910052911</v>
      </c>
      <c r="T129" t="str">
        <f t="shared" si="38"/>
        <v/>
      </c>
    </row>
    <row r="130" spans="1:20" x14ac:dyDescent="0.2">
      <c r="A130">
        <v>129</v>
      </c>
      <c r="B130" t="s">
        <v>98</v>
      </c>
      <c r="C130" t="s">
        <v>329</v>
      </c>
      <c r="D130" t="s">
        <v>0</v>
      </c>
      <c r="E130" t="s">
        <v>9</v>
      </c>
      <c r="G130" t="s">
        <v>10</v>
      </c>
      <c r="H130">
        <v>49</v>
      </c>
      <c r="I130">
        <v>45</v>
      </c>
      <c r="J130">
        <v>13.75</v>
      </c>
      <c r="K130">
        <v>7.39</v>
      </c>
      <c r="L130">
        <v>1.22</v>
      </c>
      <c r="M130">
        <v>0.76200000000000001</v>
      </c>
      <c r="N130">
        <v>8.2000000000000003E-2</v>
      </c>
      <c r="O130" s="21">
        <f t="shared" si="42"/>
        <v>5.128579234972678</v>
      </c>
      <c r="P130" s="21">
        <f t="shared" si="43"/>
        <v>6.3615664845173034</v>
      </c>
      <c r="Q130" s="23">
        <f t="shared" si="36"/>
        <v>5.128579234972678</v>
      </c>
      <c r="R130" s="23" t="str">
        <f t="shared" si="37"/>
        <v/>
      </c>
      <c r="T130" t="str">
        <f t="shared" si="38"/>
        <v/>
      </c>
    </row>
    <row r="131" spans="1:20" x14ac:dyDescent="0.2">
      <c r="A131">
        <v>130</v>
      </c>
      <c r="B131" t="s">
        <v>98</v>
      </c>
      <c r="C131" t="s">
        <v>329</v>
      </c>
      <c r="D131" t="s">
        <v>0</v>
      </c>
      <c r="E131" t="s">
        <v>9</v>
      </c>
      <c r="G131" t="s">
        <v>11</v>
      </c>
      <c r="H131">
        <v>48</v>
      </c>
      <c r="I131">
        <v>44</v>
      </c>
      <c r="J131">
        <v>11.71</v>
      </c>
      <c r="K131">
        <v>6.93</v>
      </c>
      <c r="L131">
        <f t="shared" ref="L131:N131" si="69">L130</f>
        <v>1.22</v>
      </c>
      <c r="M131">
        <f t="shared" si="69"/>
        <v>0.76200000000000001</v>
      </c>
      <c r="N131">
        <f t="shared" si="69"/>
        <v>8.2000000000000003E-2</v>
      </c>
      <c r="O131" s="21">
        <f t="shared" si="42"/>
        <v>4.8093442622950819</v>
      </c>
      <c r="P131" s="21">
        <f t="shared" si="43"/>
        <v>5.4177413479052827</v>
      </c>
      <c r="Q131" s="23">
        <f t="shared" ref="Q131:Q194" si="70">IF(LEFT(G131,7)="IMPROVE",O131,"")</f>
        <v>4.8093442622950819</v>
      </c>
      <c r="R131" s="23" t="str">
        <f t="shared" ref="R131:R194" si="71">IF(LEFT(G131,7)="FARMER ",O131,"")</f>
        <v/>
      </c>
      <c r="T131" t="str">
        <f t="shared" ref="T131:T194" si="72">IF(O131&gt;14,"VVVVVVVV","")</f>
        <v/>
      </c>
    </row>
    <row r="132" spans="1:20" x14ac:dyDescent="0.2">
      <c r="A132">
        <v>131</v>
      </c>
      <c r="B132" t="s">
        <v>98</v>
      </c>
      <c r="C132" t="s">
        <v>329</v>
      </c>
      <c r="D132" t="s">
        <v>0</v>
      </c>
      <c r="E132" t="s">
        <v>9</v>
      </c>
      <c r="G132" t="s">
        <v>12</v>
      </c>
      <c r="H132">
        <v>40</v>
      </c>
      <c r="I132">
        <v>41</v>
      </c>
      <c r="J132">
        <v>5.14</v>
      </c>
      <c r="K132">
        <v>6.86</v>
      </c>
      <c r="L132">
        <v>0.54</v>
      </c>
      <c r="M132">
        <v>0.33600000000000002</v>
      </c>
      <c r="N132">
        <v>7.1999999999999995E-2</v>
      </c>
      <c r="O132" s="21">
        <f t="shared" si="42"/>
        <v>4.7427160493827163</v>
      </c>
      <c r="P132" s="21">
        <f t="shared" si="43"/>
        <v>2.3690534979423865</v>
      </c>
      <c r="Q132" s="23" t="str">
        <f t="shared" si="70"/>
        <v/>
      </c>
      <c r="R132" s="23">
        <f t="shared" si="71"/>
        <v>4.7427160493827163</v>
      </c>
      <c r="T132" t="str">
        <f t="shared" si="72"/>
        <v/>
      </c>
    </row>
    <row r="133" spans="1:20" x14ac:dyDescent="0.2">
      <c r="A133">
        <v>132</v>
      </c>
      <c r="B133" t="s">
        <v>98</v>
      </c>
      <c r="C133" t="s">
        <v>329</v>
      </c>
      <c r="D133" t="s">
        <v>0</v>
      </c>
      <c r="E133" t="s">
        <v>9</v>
      </c>
      <c r="G133" t="s">
        <v>14</v>
      </c>
      <c r="H133">
        <v>34</v>
      </c>
      <c r="I133">
        <v>34</v>
      </c>
      <c r="J133">
        <v>3.66</v>
      </c>
      <c r="K133">
        <v>2.65</v>
      </c>
      <c r="L133">
        <f t="shared" ref="L133:N133" si="73">L132</f>
        <v>0.54</v>
      </c>
      <c r="M133">
        <f t="shared" si="73"/>
        <v>0.33600000000000002</v>
      </c>
      <c r="N133">
        <f t="shared" si="73"/>
        <v>7.1999999999999995E-2</v>
      </c>
      <c r="O133" s="21">
        <f t="shared" si="42"/>
        <v>1.8320987654320988</v>
      </c>
      <c r="P133" s="21">
        <f t="shared" si="43"/>
        <v>1.6869135802469135</v>
      </c>
      <c r="Q133" s="23" t="str">
        <f t="shared" si="70"/>
        <v/>
      </c>
      <c r="R133" s="23">
        <f t="shared" si="71"/>
        <v>1.8320987654320988</v>
      </c>
      <c r="T133" t="str">
        <f t="shared" si="72"/>
        <v/>
      </c>
    </row>
    <row r="134" spans="1:20" x14ac:dyDescent="0.2">
      <c r="A134">
        <v>133</v>
      </c>
      <c r="B134" t="s">
        <v>99</v>
      </c>
      <c r="C134" t="s">
        <v>330</v>
      </c>
      <c r="D134" t="s">
        <v>0</v>
      </c>
      <c r="E134" t="s">
        <v>9</v>
      </c>
      <c r="G134" t="s">
        <v>10</v>
      </c>
      <c r="H134">
        <v>40</v>
      </c>
      <c r="I134">
        <v>45</v>
      </c>
      <c r="J134">
        <v>13.29</v>
      </c>
      <c r="K134">
        <v>9.99</v>
      </c>
      <c r="L134">
        <v>1.07</v>
      </c>
      <c r="M134">
        <v>0.56499999999999995</v>
      </c>
      <c r="N134">
        <v>0.111</v>
      </c>
      <c r="O134" s="21">
        <f t="shared" ref="O134:O197" si="74">K134*(M134/L134)*(10/9)</f>
        <v>5.8612149532710278</v>
      </c>
      <c r="P134" s="21">
        <f t="shared" ref="P134:P197" si="75">J134*(M134/(L134*1.5))*(10/9)</f>
        <v>5.1982346832814121</v>
      </c>
      <c r="Q134" s="23">
        <f t="shared" si="70"/>
        <v>5.8612149532710278</v>
      </c>
      <c r="R134" s="23" t="str">
        <f t="shared" si="71"/>
        <v/>
      </c>
      <c r="T134" t="str">
        <f t="shared" si="72"/>
        <v/>
      </c>
    </row>
    <row r="135" spans="1:20" x14ac:dyDescent="0.2">
      <c r="A135">
        <v>134</v>
      </c>
      <c r="B135" t="s">
        <v>99</v>
      </c>
      <c r="C135" t="s">
        <v>330</v>
      </c>
      <c r="D135" t="s">
        <v>0</v>
      </c>
      <c r="E135" t="s">
        <v>9</v>
      </c>
      <c r="G135" t="s">
        <v>11</v>
      </c>
      <c r="H135">
        <v>38</v>
      </c>
      <c r="I135">
        <v>38</v>
      </c>
      <c r="J135">
        <v>10.07</v>
      </c>
      <c r="K135">
        <v>7.09</v>
      </c>
      <c r="L135">
        <f t="shared" ref="L135:N135" si="76">L134</f>
        <v>1.07</v>
      </c>
      <c r="M135">
        <f t="shared" si="76"/>
        <v>0.56499999999999995</v>
      </c>
      <c r="N135">
        <f t="shared" si="76"/>
        <v>0.111</v>
      </c>
      <c r="O135" s="21">
        <f t="shared" si="74"/>
        <v>4.1597611630321909</v>
      </c>
      <c r="P135" s="21">
        <f t="shared" si="75"/>
        <v>3.9387677397023193</v>
      </c>
      <c r="Q135" s="23">
        <f t="shared" si="70"/>
        <v>4.1597611630321909</v>
      </c>
      <c r="R135" s="23" t="str">
        <f t="shared" si="71"/>
        <v/>
      </c>
      <c r="T135" t="str">
        <f t="shared" si="72"/>
        <v/>
      </c>
    </row>
    <row r="136" spans="1:20" x14ac:dyDescent="0.2">
      <c r="A136">
        <v>135</v>
      </c>
      <c r="B136" t="s">
        <v>99</v>
      </c>
      <c r="C136" t="s">
        <v>330</v>
      </c>
      <c r="D136" t="s">
        <v>0</v>
      </c>
      <c r="E136" t="s">
        <v>9</v>
      </c>
      <c r="G136" t="s">
        <v>12</v>
      </c>
      <c r="H136">
        <v>35</v>
      </c>
      <c r="I136">
        <v>36</v>
      </c>
      <c r="J136">
        <v>8.9700000000000006</v>
      </c>
      <c r="K136">
        <v>6.02</v>
      </c>
      <c r="L136">
        <v>0.97</v>
      </c>
      <c r="M136">
        <v>0.42199999999999999</v>
      </c>
      <c r="N136">
        <v>7.4999999999999997E-2</v>
      </c>
      <c r="O136" s="21">
        <f t="shared" si="74"/>
        <v>2.9100114547537226</v>
      </c>
      <c r="P136" s="21">
        <f t="shared" si="75"/>
        <v>2.8906758304696449</v>
      </c>
      <c r="Q136" s="23" t="str">
        <f t="shared" si="70"/>
        <v/>
      </c>
      <c r="R136" s="23">
        <f t="shared" si="71"/>
        <v>2.9100114547537226</v>
      </c>
      <c r="T136" t="str">
        <f t="shared" si="72"/>
        <v/>
      </c>
    </row>
    <row r="137" spans="1:20" x14ac:dyDescent="0.2">
      <c r="A137">
        <v>136</v>
      </c>
      <c r="B137" t="s">
        <v>99</v>
      </c>
      <c r="C137" t="s">
        <v>330</v>
      </c>
      <c r="D137" t="s">
        <v>0</v>
      </c>
      <c r="E137" t="s">
        <v>9</v>
      </c>
      <c r="G137" t="s">
        <v>14</v>
      </c>
      <c r="H137">
        <v>41</v>
      </c>
      <c r="I137">
        <v>42</v>
      </c>
      <c r="J137">
        <v>9.1300000000000008</v>
      </c>
      <c r="K137">
        <v>6.79</v>
      </c>
      <c r="L137">
        <f t="shared" ref="L137:N137" si="77">L136</f>
        <v>0.97</v>
      </c>
      <c r="M137">
        <f t="shared" si="77"/>
        <v>0.42199999999999999</v>
      </c>
      <c r="N137">
        <f t="shared" si="77"/>
        <v>7.4999999999999997E-2</v>
      </c>
      <c r="O137" s="21">
        <f t="shared" si="74"/>
        <v>3.2822222222222224</v>
      </c>
      <c r="P137" s="21">
        <f t="shared" si="75"/>
        <v>2.9422374952271859</v>
      </c>
      <c r="Q137" s="23" t="str">
        <f t="shared" si="70"/>
        <v/>
      </c>
      <c r="R137" s="23">
        <f t="shared" si="71"/>
        <v>3.2822222222222224</v>
      </c>
      <c r="T137" t="str">
        <f t="shared" si="72"/>
        <v/>
      </c>
    </row>
    <row r="138" spans="1:20" x14ac:dyDescent="0.2">
      <c r="A138">
        <v>137</v>
      </c>
      <c r="B138" t="s">
        <v>100</v>
      </c>
      <c r="C138" t="s">
        <v>331</v>
      </c>
      <c r="D138" t="s">
        <v>0</v>
      </c>
      <c r="E138" t="s">
        <v>9</v>
      </c>
      <c r="G138" t="s">
        <v>10</v>
      </c>
      <c r="H138">
        <v>38</v>
      </c>
      <c r="I138">
        <v>41</v>
      </c>
      <c r="J138">
        <v>9.6199999999999992</v>
      </c>
      <c r="K138">
        <v>8.68</v>
      </c>
      <c r="L138">
        <v>1.25</v>
      </c>
      <c r="M138">
        <v>0.745</v>
      </c>
      <c r="N138">
        <v>0.156</v>
      </c>
      <c r="O138" s="21">
        <f t="shared" si="74"/>
        <v>5.7480888888888879</v>
      </c>
      <c r="P138" s="21">
        <f t="shared" si="75"/>
        <v>4.2470518518518521</v>
      </c>
      <c r="Q138" s="23">
        <f t="shared" si="70"/>
        <v>5.7480888888888879</v>
      </c>
      <c r="R138" s="23" t="str">
        <f t="shared" si="71"/>
        <v/>
      </c>
      <c r="T138" t="str">
        <f t="shared" si="72"/>
        <v/>
      </c>
    </row>
    <row r="139" spans="1:20" x14ac:dyDescent="0.2">
      <c r="A139">
        <v>138</v>
      </c>
      <c r="B139" t="s">
        <v>100</v>
      </c>
      <c r="C139" t="s">
        <v>331</v>
      </c>
      <c r="D139" t="s">
        <v>0</v>
      </c>
      <c r="E139" t="s">
        <v>9</v>
      </c>
      <c r="G139" t="s">
        <v>11</v>
      </c>
      <c r="H139">
        <v>48</v>
      </c>
      <c r="I139">
        <v>50</v>
      </c>
      <c r="J139">
        <v>9.0500000000000007</v>
      </c>
      <c r="K139">
        <v>9.99</v>
      </c>
      <c r="L139">
        <f t="shared" ref="L139:N139" si="78">L138</f>
        <v>1.25</v>
      </c>
      <c r="M139">
        <f t="shared" si="78"/>
        <v>0.745</v>
      </c>
      <c r="N139">
        <f t="shared" si="78"/>
        <v>0.156</v>
      </c>
      <c r="O139" s="21">
        <f t="shared" si="74"/>
        <v>6.6156000000000006</v>
      </c>
      <c r="P139" s="21">
        <f t="shared" si="75"/>
        <v>3.9954074074074075</v>
      </c>
      <c r="Q139" s="23">
        <f t="shared" si="70"/>
        <v>6.6156000000000006</v>
      </c>
      <c r="R139" s="23" t="str">
        <f t="shared" si="71"/>
        <v/>
      </c>
      <c r="T139" t="str">
        <f t="shared" si="72"/>
        <v/>
      </c>
    </row>
    <row r="140" spans="1:20" x14ac:dyDescent="0.2">
      <c r="A140">
        <v>139</v>
      </c>
      <c r="B140" t="s">
        <v>100</v>
      </c>
      <c r="C140" t="s">
        <v>331</v>
      </c>
      <c r="D140" t="s">
        <v>0</v>
      </c>
      <c r="E140" t="s">
        <v>9</v>
      </c>
      <c r="G140" t="s">
        <v>12</v>
      </c>
      <c r="H140">
        <v>33</v>
      </c>
      <c r="I140">
        <v>36</v>
      </c>
      <c r="J140">
        <v>7.59</v>
      </c>
      <c r="K140">
        <v>5.59</v>
      </c>
      <c r="L140">
        <f t="shared" ref="L140:M140" si="79">L139</f>
        <v>1.25</v>
      </c>
      <c r="M140">
        <f t="shared" si="79"/>
        <v>0.745</v>
      </c>
      <c r="N140">
        <v>0.13500000000000001</v>
      </c>
      <c r="O140" s="21">
        <f t="shared" si="74"/>
        <v>3.7018222222222219</v>
      </c>
      <c r="P140" s="21">
        <f t="shared" si="75"/>
        <v>3.3508444444444443</v>
      </c>
      <c r="Q140" s="23" t="str">
        <f t="shared" si="70"/>
        <v/>
      </c>
      <c r="R140" s="23">
        <f t="shared" si="71"/>
        <v>3.7018222222222219</v>
      </c>
      <c r="T140" t="str">
        <f t="shared" si="72"/>
        <v/>
      </c>
    </row>
    <row r="141" spans="1:20" x14ac:dyDescent="0.2">
      <c r="A141">
        <v>140</v>
      </c>
      <c r="B141" t="s">
        <v>100</v>
      </c>
      <c r="C141" t="s">
        <v>331</v>
      </c>
      <c r="D141" t="s">
        <v>0</v>
      </c>
      <c r="E141" t="s">
        <v>9</v>
      </c>
      <c r="G141" t="s">
        <v>14</v>
      </c>
      <c r="H141">
        <v>36</v>
      </c>
      <c r="I141">
        <v>36</v>
      </c>
      <c r="J141">
        <v>8.59</v>
      </c>
      <c r="K141">
        <v>6.44</v>
      </c>
      <c r="L141">
        <f t="shared" ref="L141:M141" si="80">L140</f>
        <v>1.25</v>
      </c>
      <c r="M141">
        <f t="shared" si="80"/>
        <v>0.745</v>
      </c>
      <c r="O141" s="21">
        <f t="shared" si="74"/>
        <v>4.2647111111111116</v>
      </c>
      <c r="P141" s="21">
        <f t="shared" si="75"/>
        <v>3.7923259259259261</v>
      </c>
      <c r="Q141" s="23" t="str">
        <f t="shared" si="70"/>
        <v/>
      </c>
      <c r="R141" s="23">
        <f t="shared" si="71"/>
        <v>4.2647111111111116</v>
      </c>
      <c r="T141" t="str">
        <f t="shared" si="72"/>
        <v/>
      </c>
    </row>
    <row r="142" spans="1:20" x14ac:dyDescent="0.2">
      <c r="A142">
        <v>141</v>
      </c>
      <c r="B142" s="15" t="s">
        <v>101</v>
      </c>
      <c r="C142" t="s">
        <v>101</v>
      </c>
      <c r="D142" s="15" t="s">
        <v>0</v>
      </c>
      <c r="E142" s="15" t="s">
        <v>9</v>
      </c>
      <c r="F142" s="15"/>
      <c r="G142" s="15" t="s">
        <v>10</v>
      </c>
      <c r="H142" s="15">
        <v>43</v>
      </c>
      <c r="I142" s="15">
        <v>44</v>
      </c>
      <c r="J142" s="15">
        <v>13.14</v>
      </c>
      <c r="K142" s="15">
        <v>10.24</v>
      </c>
      <c r="L142" s="15">
        <v>1.01</v>
      </c>
      <c r="M142" s="15"/>
      <c r="N142" s="15"/>
      <c r="O142" s="21">
        <f>K142*(0.514/0.89)*(10/9)</f>
        <v>6.5709862671660426</v>
      </c>
      <c r="P142" s="21">
        <f>J142*(0.514/(0.89*1.5))*(10/9)</f>
        <v>5.6212734082397011</v>
      </c>
      <c r="Q142" s="23">
        <f t="shared" si="70"/>
        <v>6.5709862671660426</v>
      </c>
      <c r="R142" s="23" t="str">
        <f t="shared" si="71"/>
        <v/>
      </c>
      <c r="S142" s="15"/>
      <c r="T142" t="str">
        <f t="shared" si="72"/>
        <v/>
      </c>
    </row>
    <row r="143" spans="1:20" x14ac:dyDescent="0.2">
      <c r="A143">
        <v>142</v>
      </c>
      <c r="B143" t="s">
        <v>101</v>
      </c>
      <c r="C143" t="s">
        <v>101</v>
      </c>
      <c r="D143" t="s">
        <v>0</v>
      </c>
      <c r="E143" t="s">
        <v>9</v>
      </c>
      <c r="G143" t="s">
        <v>11</v>
      </c>
      <c r="H143">
        <v>44</v>
      </c>
      <c r="I143">
        <v>48</v>
      </c>
      <c r="J143">
        <v>15.16</v>
      </c>
      <c r="K143">
        <v>11.28</v>
      </c>
      <c r="L143">
        <f>L142</f>
        <v>1.01</v>
      </c>
      <c r="O143" s="21">
        <f>K143*(0.514/0.89)*(10/9)</f>
        <v>7.2383520599250941</v>
      </c>
      <c r="P143" s="21">
        <f>J143*(0.514/(0.89*1.5))*(10/9)</f>
        <v>6.4854265501456521</v>
      </c>
      <c r="Q143" s="23">
        <f t="shared" si="70"/>
        <v>7.2383520599250941</v>
      </c>
      <c r="R143" s="23" t="str">
        <f t="shared" si="71"/>
        <v/>
      </c>
      <c r="T143" t="str">
        <f t="shared" si="72"/>
        <v/>
      </c>
    </row>
    <row r="144" spans="1:20" x14ac:dyDescent="0.2">
      <c r="A144">
        <v>143</v>
      </c>
      <c r="B144" t="s">
        <v>101</v>
      </c>
      <c r="C144" t="s">
        <v>101</v>
      </c>
      <c r="D144" t="s">
        <v>0</v>
      </c>
      <c r="E144" t="s">
        <v>9</v>
      </c>
      <c r="G144" t="s">
        <v>12</v>
      </c>
      <c r="H144">
        <v>32</v>
      </c>
      <c r="I144">
        <v>32</v>
      </c>
      <c r="J144">
        <v>7.95</v>
      </c>
      <c r="K144">
        <v>5.18</v>
      </c>
      <c r="L144">
        <v>0.89</v>
      </c>
      <c r="M144">
        <v>0.51400000000000001</v>
      </c>
      <c r="N144">
        <v>0.1</v>
      </c>
      <c r="O144" s="21">
        <f t="shared" si="74"/>
        <v>3.3239950062421975</v>
      </c>
      <c r="P144" s="21">
        <f t="shared" si="75"/>
        <v>3.4009987515605498</v>
      </c>
      <c r="Q144" s="23" t="str">
        <f t="shared" si="70"/>
        <v/>
      </c>
      <c r="R144" s="23">
        <f t="shared" si="71"/>
        <v>3.3239950062421975</v>
      </c>
      <c r="T144" t="str">
        <f t="shared" si="72"/>
        <v/>
      </c>
    </row>
    <row r="145" spans="1:20" x14ac:dyDescent="0.2">
      <c r="A145">
        <v>144</v>
      </c>
      <c r="B145" t="s">
        <v>101</v>
      </c>
      <c r="C145" t="s">
        <v>101</v>
      </c>
      <c r="D145" t="s">
        <v>0</v>
      </c>
      <c r="E145" t="s">
        <v>9</v>
      </c>
      <c r="G145" t="s">
        <v>14</v>
      </c>
      <c r="H145">
        <v>33</v>
      </c>
      <c r="I145">
        <v>33</v>
      </c>
      <c r="J145">
        <v>10.99</v>
      </c>
      <c r="K145">
        <v>7.17</v>
      </c>
      <c r="L145">
        <f>L144</f>
        <v>0.89</v>
      </c>
      <c r="O145" s="21">
        <f>K145*(0.514/0.89)*(10/9)</f>
        <v>4.6009737827715362</v>
      </c>
      <c r="P145" s="21">
        <f>J145*(0.514/(0.89*1.5))*(10/9)</f>
        <v>4.7015064502704957</v>
      </c>
      <c r="Q145" s="23" t="str">
        <f t="shared" si="70"/>
        <v/>
      </c>
      <c r="R145" s="23">
        <f t="shared" si="71"/>
        <v>4.6009737827715362</v>
      </c>
      <c r="T145" t="str">
        <f t="shared" si="72"/>
        <v/>
      </c>
    </row>
    <row r="146" spans="1:20" x14ac:dyDescent="0.2">
      <c r="A146">
        <v>145</v>
      </c>
      <c r="B146" s="15" t="s">
        <v>102</v>
      </c>
      <c r="C146" t="s">
        <v>332</v>
      </c>
      <c r="D146" s="15" t="s">
        <v>0</v>
      </c>
      <c r="E146" s="15" t="s">
        <v>9</v>
      </c>
      <c r="F146" s="15"/>
      <c r="G146" s="15" t="s">
        <v>10</v>
      </c>
      <c r="H146" s="15">
        <v>35</v>
      </c>
      <c r="I146" s="15">
        <v>35</v>
      </c>
      <c r="J146" s="15">
        <v>6.93</v>
      </c>
      <c r="K146" s="15">
        <v>11.1</v>
      </c>
      <c r="L146" s="15">
        <v>1.03</v>
      </c>
      <c r="M146" s="15"/>
      <c r="N146" s="15"/>
      <c r="O146" s="21">
        <f t="shared" ref="O146:O153" si="81">K146*(0.55/0.964)*(10/9)</f>
        <v>7.0366528354080229</v>
      </c>
      <c r="P146" s="21">
        <f t="shared" ref="P146:P153" si="82">J146*(0.55/(0.964*1.5))*(10/9)</f>
        <v>2.9287690179806365</v>
      </c>
      <c r="Q146" s="23">
        <f t="shared" si="70"/>
        <v>7.0366528354080229</v>
      </c>
      <c r="R146" s="23" t="str">
        <f t="shared" si="71"/>
        <v/>
      </c>
      <c r="S146" s="15" t="s">
        <v>54</v>
      </c>
      <c r="T146" t="str">
        <f t="shared" si="72"/>
        <v/>
      </c>
    </row>
    <row r="147" spans="1:20" x14ac:dyDescent="0.2">
      <c r="A147">
        <v>146</v>
      </c>
      <c r="B147" s="15" t="s">
        <v>102</v>
      </c>
      <c r="C147" t="s">
        <v>332</v>
      </c>
      <c r="D147" s="15" t="s">
        <v>0</v>
      </c>
      <c r="E147" s="15" t="s">
        <v>9</v>
      </c>
      <c r="F147" s="15"/>
      <c r="G147" s="15" t="s">
        <v>11</v>
      </c>
      <c r="H147" s="15">
        <v>27</v>
      </c>
      <c r="I147" s="15">
        <v>27</v>
      </c>
      <c r="J147" s="15">
        <v>5.8</v>
      </c>
      <c r="K147" s="15">
        <v>8.44</v>
      </c>
      <c r="L147" s="15">
        <f>L146</f>
        <v>1.03</v>
      </c>
      <c r="M147" s="15"/>
      <c r="N147" s="15"/>
      <c r="O147" s="21">
        <f t="shared" si="81"/>
        <v>5.3503918856615957</v>
      </c>
      <c r="P147" s="21">
        <f t="shared" si="82"/>
        <v>2.4512063931151071</v>
      </c>
      <c r="Q147" s="23">
        <f t="shared" si="70"/>
        <v>5.3503918856615957</v>
      </c>
      <c r="R147" s="23" t="str">
        <f t="shared" si="71"/>
        <v/>
      </c>
      <c r="S147" s="15"/>
      <c r="T147" t="str">
        <f t="shared" si="72"/>
        <v/>
      </c>
    </row>
    <row r="148" spans="1:20" x14ac:dyDescent="0.2">
      <c r="A148">
        <v>147</v>
      </c>
      <c r="B148" s="15" t="s">
        <v>102</v>
      </c>
      <c r="C148" t="s">
        <v>332</v>
      </c>
      <c r="D148" s="15" t="s">
        <v>0</v>
      </c>
      <c r="E148" s="15" t="s">
        <v>9</v>
      </c>
      <c r="F148" s="15"/>
      <c r="G148" s="15" t="s">
        <v>12</v>
      </c>
      <c r="H148" s="15">
        <v>38</v>
      </c>
      <c r="I148" s="15">
        <v>24</v>
      </c>
      <c r="J148" s="15">
        <v>2.92</v>
      </c>
      <c r="K148" s="15">
        <v>7.43</v>
      </c>
      <c r="L148" s="15">
        <v>0.53</v>
      </c>
      <c r="M148" s="15"/>
      <c r="N148" s="15"/>
      <c r="O148" s="21">
        <f t="shared" si="81"/>
        <v>4.7101198709082537</v>
      </c>
      <c r="P148" s="21">
        <f t="shared" si="82"/>
        <v>1.2340556323958816</v>
      </c>
      <c r="Q148" s="23" t="str">
        <f t="shared" si="70"/>
        <v/>
      </c>
      <c r="R148" s="23">
        <f t="shared" si="71"/>
        <v>4.7101198709082537</v>
      </c>
      <c r="S148" s="15"/>
      <c r="T148" t="str">
        <f t="shared" si="72"/>
        <v/>
      </c>
    </row>
    <row r="149" spans="1:20" x14ac:dyDescent="0.2">
      <c r="A149">
        <v>148</v>
      </c>
      <c r="B149" s="15" t="s">
        <v>102</v>
      </c>
      <c r="C149" t="s">
        <v>332</v>
      </c>
      <c r="D149" s="15" t="s">
        <v>0</v>
      </c>
      <c r="E149" s="15" t="s">
        <v>9</v>
      </c>
      <c r="F149" s="15"/>
      <c r="G149" s="15" t="s">
        <v>14</v>
      </c>
      <c r="H149" s="15">
        <v>29</v>
      </c>
      <c r="I149" s="15">
        <v>30</v>
      </c>
      <c r="J149" s="15">
        <v>4.04</v>
      </c>
      <c r="K149" s="15">
        <v>6.75</v>
      </c>
      <c r="L149" s="15">
        <f>L148</f>
        <v>0.53</v>
      </c>
      <c r="M149" s="15"/>
      <c r="N149" s="15"/>
      <c r="O149" s="21">
        <f t="shared" si="81"/>
        <v>4.2790456431535278</v>
      </c>
      <c r="P149" s="21">
        <f t="shared" si="82"/>
        <v>1.707392039342247</v>
      </c>
      <c r="Q149" s="23" t="str">
        <f t="shared" si="70"/>
        <v/>
      </c>
      <c r="R149" s="23">
        <f t="shared" si="71"/>
        <v>4.2790456431535278</v>
      </c>
      <c r="S149" s="15"/>
      <c r="T149" t="str">
        <f t="shared" si="72"/>
        <v/>
      </c>
    </row>
    <row r="150" spans="1:20" x14ac:dyDescent="0.2">
      <c r="A150">
        <v>149</v>
      </c>
      <c r="B150" s="11" t="s">
        <v>103</v>
      </c>
      <c r="C150" s="14" t="s">
        <v>417</v>
      </c>
      <c r="D150" s="15" t="s">
        <v>0</v>
      </c>
      <c r="E150" s="15" t="s">
        <v>9</v>
      </c>
      <c r="F150" s="15"/>
      <c r="G150" s="15" t="s">
        <v>10</v>
      </c>
      <c r="H150" s="15">
        <v>37</v>
      </c>
      <c r="I150" s="15">
        <v>36</v>
      </c>
      <c r="J150" s="15">
        <v>8.0399999999999991</v>
      </c>
      <c r="K150" s="15">
        <v>4.2</v>
      </c>
      <c r="L150" s="15">
        <v>0.83</v>
      </c>
      <c r="M150" s="15"/>
      <c r="N150" s="15"/>
      <c r="O150" s="21">
        <f t="shared" si="81"/>
        <v>2.662517289073306</v>
      </c>
      <c r="P150" s="21">
        <f t="shared" si="82"/>
        <v>3.3978792070078376</v>
      </c>
      <c r="Q150" s="23">
        <f t="shared" si="70"/>
        <v>2.662517289073306</v>
      </c>
      <c r="R150" s="23" t="str">
        <f t="shared" si="71"/>
        <v/>
      </c>
      <c r="T150" t="str">
        <f t="shared" si="72"/>
        <v/>
      </c>
    </row>
    <row r="151" spans="1:20" x14ac:dyDescent="0.2">
      <c r="A151">
        <v>150</v>
      </c>
      <c r="B151" s="11" t="s">
        <v>103</v>
      </c>
      <c r="C151" s="14" t="s">
        <v>417</v>
      </c>
      <c r="D151" s="15" t="s">
        <v>0</v>
      </c>
      <c r="E151" s="15" t="s">
        <v>9</v>
      </c>
      <c r="F151" s="15"/>
      <c r="G151" s="15" t="s">
        <v>11</v>
      </c>
      <c r="H151" s="15">
        <v>38</v>
      </c>
      <c r="I151" s="15">
        <v>34</v>
      </c>
      <c r="J151" s="15">
        <v>3.54</v>
      </c>
      <c r="K151" s="15">
        <v>3.99</v>
      </c>
      <c r="L151" s="15">
        <f>L150</f>
        <v>0.83</v>
      </c>
      <c r="M151" s="15"/>
      <c r="N151" s="15"/>
      <c r="O151" s="21">
        <f t="shared" si="81"/>
        <v>2.5293914246196407</v>
      </c>
      <c r="P151" s="21">
        <f t="shared" si="82"/>
        <v>1.4960811433840482</v>
      </c>
      <c r="Q151" s="23">
        <f t="shared" si="70"/>
        <v>2.5293914246196407</v>
      </c>
      <c r="R151" s="23" t="str">
        <f t="shared" si="71"/>
        <v/>
      </c>
      <c r="T151" t="str">
        <f t="shared" si="72"/>
        <v/>
      </c>
    </row>
    <row r="152" spans="1:20" x14ac:dyDescent="0.2">
      <c r="A152">
        <v>151</v>
      </c>
      <c r="B152" s="11" t="s">
        <v>103</v>
      </c>
      <c r="C152" s="14" t="s">
        <v>417</v>
      </c>
      <c r="D152" s="15" t="s">
        <v>0</v>
      </c>
      <c r="E152" s="15" t="s">
        <v>9</v>
      </c>
      <c r="F152" s="15"/>
      <c r="G152" s="15" t="s">
        <v>12</v>
      </c>
      <c r="H152" s="15">
        <v>20</v>
      </c>
      <c r="I152" s="15">
        <v>23</v>
      </c>
      <c r="J152" s="15">
        <v>4.9000000000000004</v>
      </c>
      <c r="K152" s="15">
        <v>5.42</v>
      </c>
      <c r="L152" s="15">
        <v>1.43</v>
      </c>
      <c r="M152" s="15"/>
      <c r="N152" s="15"/>
      <c r="O152" s="21">
        <f t="shared" si="81"/>
        <v>3.4359151682803142</v>
      </c>
      <c r="P152" s="21">
        <f t="shared" si="82"/>
        <v>2.0708467803903492</v>
      </c>
      <c r="Q152" s="23" t="str">
        <f t="shared" si="70"/>
        <v/>
      </c>
      <c r="R152" s="23">
        <f t="shared" si="71"/>
        <v>3.4359151682803142</v>
      </c>
      <c r="T152" t="str">
        <f t="shared" si="72"/>
        <v/>
      </c>
    </row>
    <row r="153" spans="1:20" x14ac:dyDescent="0.2">
      <c r="A153">
        <v>152</v>
      </c>
      <c r="B153" t="s">
        <v>103</v>
      </c>
      <c r="C153" s="14" t="s">
        <v>417</v>
      </c>
      <c r="D153" t="s">
        <v>0</v>
      </c>
      <c r="E153" t="s">
        <v>9</v>
      </c>
      <c r="G153" t="s">
        <v>14</v>
      </c>
      <c r="H153">
        <v>24</v>
      </c>
      <c r="I153">
        <v>21</v>
      </c>
      <c r="J153">
        <v>4.4800000000000004</v>
      </c>
      <c r="K153">
        <v>4.83</v>
      </c>
      <c r="L153">
        <f>L152</f>
        <v>1.43</v>
      </c>
      <c r="O153" s="21">
        <f t="shared" si="81"/>
        <v>3.0618948824343022</v>
      </c>
      <c r="P153" s="21">
        <f t="shared" si="82"/>
        <v>1.8933456277854623</v>
      </c>
      <c r="Q153" s="23" t="str">
        <f t="shared" si="70"/>
        <v/>
      </c>
      <c r="R153" s="23">
        <f t="shared" si="71"/>
        <v>3.0618948824343022</v>
      </c>
      <c r="T153" t="str">
        <f t="shared" si="72"/>
        <v/>
      </c>
    </row>
    <row r="154" spans="1:20" x14ac:dyDescent="0.2">
      <c r="A154">
        <v>153</v>
      </c>
      <c r="B154" s="11" t="s">
        <v>104</v>
      </c>
      <c r="C154" s="14" t="s">
        <v>333</v>
      </c>
      <c r="D154" t="s">
        <v>0</v>
      </c>
      <c r="E154" t="s">
        <v>9</v>
      </c>
      <c r="G154" t="s">
        <v>10</v>
      </c>
      <c r="H154">
        <v>45</v>
      </c>
      <c r="I154">
        <v>42</v>
      </c>
      <c r="J154">
        <v>11.11</v>
      </c>
      <c r="K154">
        <v>6.93</v>
      </c>
      <c r="L154">
        <v>1.17</v>
      </c>
      <c r="M154">
        <v>0.72199999999999998</v>
      </c>
      <c r="N154">
        <v>0.16300000000000001</v>
      </c>
      <c r="O154" s="21">
        <f t="shared" si="74"/>
        <v>4.7516239316239322</v>
      </c>
      <c r="P154" s="21">
        <f t="shared" si="75"/>
        <v>5.0784552073440965</v>
      </c>
      <c r="Q154" s="23">
        <f t="shared" si="70"/>
        <v>4.7516239316239322</v>
      </c>
      <c r="R154" s="23" t="str">
        <f t="shared" si="71"/>
        <v/>
      </c>
      <c r="T154" t="str">
        <f t="shared" si="72"/>
        <v/>
      </c>
    </row>
    <row r="155" spans="1:20" x14ac:dyDescent="0.2">
      <c r="A155">
        <v>154</v>
      </c>
      <c r="B155" s="11" t="s">
        <v>104</v>
      </c>
      <c r="C155" s="14" t="s">
        <v>333</v>
      </c>
      <c r="D155" t="s">
        <v>0</v>
      </c>
      <c r="E155" t="s">
        <v>9</v>
      </c>
      <c r="G155" t="s">
        <v>11</v>
      </c>
      <c r="H155">
        <v>39</v>
      </c>
      <c r="I155">
        <v>39</v>
      </c>
      <c r="J155">
        <v>9.41</v>
      </c>
      <c r="K155">
        <v>6.26</v>
      </c>
      <c r="L155">
        <f t="shared" ref="L155:N155" si="83">L154</f>
        <v>1.17</v>
      </c>
      <c r="M155">
        <f t="shared" si="83"/>
        <v>0.72199999999999998</v>
      </c>
      <c r="N155">
        <f t="shared" si="83"/>
        <v>0.16300000000000001</v>
      </c>
      <c r="O155" s="21">
        <f t="shared" si="74"/>
        <v>4.2922317188983863</v>
      </c>
      <c r="P155" s="21">
        <f t="shared" si="75"/>
        <v>4.3013738524849643</v>
      </c>
      <c r="Q155" s="23">
        <f t="shared" si="70"/>
        <v>4.2922317188983863</v>
      </c>
      <c r="R155" s="23" t="str">
        <f t="shared" si="71"/>
        <v/>
      </c>
      <c r="T155" t="str">
        <f t="shared" si="72"/>
        <v/>
      </c>
    </row>
    <row r="156" spans="1:20" x14ac:dyDescent="0.2">
      <c r="A156">
        <v>155</v>
      </c>
      <c r="B156" s="11" t="s">
        <v>104</v>
      </c>
      <c r="C156" s="14" t="s">
        <v>333</v>
      </c>
      <c r="D156" t="s">
        <v>0</v>
      </c>
      <c r="E156" t="s">
        <v>9</v>
      </c>
      <c r="G156" t="s">
        <v>12</v>
      </c>
      <c r="H156">
        <v>35</v>
      </c>
      <c r="I156">
        <v>33</v>
      </c>
      <c r="J156">
        <v>5.08</v>
      </c>
      <c r="K156">
        <v>2.74</v>
      </c>
      <c r="L156">
        <v>0.54</v>
      </c>
      <c r="M156">
        <v>0.30199999999999999</v>
      </c>
      <c r="N156">
        <v>0.14599999999999999</v>
      </c>
      <c r="O156" s="21">
        <f t="shared" si="74"/>
        <v>1.7026337448559672</v>
      </c>
      <c r="P156" s="21">
        <f t="shared" si="75"/>
        <v>2.1044718792866939</v>
      </c>
      <c r="Q156" s="23" t="str">
        <f t="shared" si="70"/>
        <v/>
      </c>
      <c r="R156" s="23">
        <f t="shared" si="71"/>
        <v>1.7026337448559672</v>
      </c>
      <c r="T156" t="str">
        <f t="shared" si="72"/>
        <v/>
      </c>
    </row>
    <row r="157" spans="1:20" x14ac:dyDescent="0.2">
      <c r="A157">
        <v>156</v>
      </c>
      <c r="B157" s="11" t="s">
        <v>104</v>
      </c>
      <c r="C157" s="14" t="s">
        <v>333</v>
      </c>
      <c r="D157" t="s">
        <v>0</v>
      </c>
      <c r="E157" t="s">
        <v>9</v>
      </c>
      <c r="G157" t="s">
        <v>14</v>
      </c>
      <c r="H157">
        <v>41</v>
      </c>
      <c r="I157">
        <v>32</v>
      </c>
      <c r="J157">
        <v>4.8899999999999997</v>
      </c>
      <c r="K157">
        <v>3.22</v>
      </c>
      <c r="L157">
        <f t="shared" ref="L157:N157" si="84">L156</f>
        <v>0.54</v>
      </c>
      <c r="M157">
        <f t="shared" si="84"/>
        <v>0.30199999999999999</v>
      </c>
      <c r="N157">
        <f t="shared" si="84"/>
        <v>0.14599999999999999</v>
      </c>
      <c r="O157" s="21">
        <f t="shared" si="74"/>
        <v>2.0009053497942388</v>
      </c>
      <c r="P157" s="21">
        <f t="shared" si="75"/>
        <v>2.0257613168724276</v>
      </c>
      <c r="Q157" s="23" t="str">
        <f t="shared" si="70"/>
        <v/>
      </c>
      <c r="R157" s="23">
        <f t="shared" si="71"/>
        <v>2.0009053497942388</v>
      </c>
      <c r="T157" t="str">
        <f t="shared" si="72"/>
        <v/>
      </c>
    </row>
    <row r="158" spans="1:20" x14ac:dyDescent="0.2">
      <c r="A158">
        <v>157</v>
      </c>
      <c r="B158" t="s">
        <v>105</v>
      </c>
      <c r="C158" t="s">
        <v>334</v>
      </c>
      <c r="D158" t="s">
        <v>0</v>
      </c>
      <c r="E158" t="s">
        <v>9</v>
      </c>
      <c r="G158" t="s">
        <v>10</v>
      </c>
      <c r="H158">
        <v>29</v>
      </c>
      <c r="I158">
        <v>32</v>
      </c>
      <c r="J158">
        <v>8.3000000000000007</v>
      </c>
      <c r="K158">
        <v>7.22</v>
      </c>
      <c r="L158">
        <v>1.38</v>
      </c>
      <c r="M158" s="4">
        <v>0.54400000000000004</v>
      </c>
      <c r="N158" s="4">
        <v>9.1999999999999998E-2</v>
      </c>
      <c r="O158" s="21">
        <f t="shared" si="74"/>
        <v>3.1623832528180364</v>
      </c>
      <c r="P158" s="21">
        <f t="shared" si="75"/>
        <v>2.4236178207192705</v>
      </c>
      <c r="Q158" s="23">
        <f t="shared" si="70"/>
        <v>3.1623832528180364</v>
      </c>
      <c r="R158" s="23" t="str">
        <f t="shared" si="71"/>
        <v/>
      </c>
      <c r="T158" t="str">
        <f t="shared" si="72"/>
        <v/>
      </c>
    </row>
    <row r="159" spans="1:20" x14ac:dyDescent="0.2">
      <c r="A159">
        <v>158</v>
      </c>
      <c r="B159" t="s">
        <v>105</v>
      </c>
      <c r="C159" t="s">
        <v>334</v>
      </c>
      <c r="D159" t="s">
        <v>0</v>
      </c>
      <c r="E159" t="s">
        <v>9</v>
      </c>
      <c r="G159" t="s">
        <v>11</v>
      </c>
      <c r="H159">
        <v>35</v>
      </c>
      <c r="I159">
        <v>38</v>
      </c>
      <c r="J159">
        <v>2.41</v>
      </c>
      <c r="K159">
        <v>9.1</v>
      </c>
      <c r="L159">
        <f t="shared" ref="L159:N159" si="85">L158</f>
        <v>1.38</v>
      </c>
      <c r="M159">
        <f t="shared" si="85"/>
        <v>0.54400000000000004</v>
      </c>
      <c r="N159">
        <f t="shared" si="85"/>
        <v>9.1999999999999998E-2</v>
      </c>
      <c r="O159" s="21">
        <f t="shared" si="74"/>
        <v>3.985829307568439</v>
      </c>
      <c r="P159" s="21">
        <f t="shared" si="75"/>
        <v>0.70372517444981231</v>
      </c>
      <c r="Q159" s="23">
        <f t="shared" si="70"/>
        <v>3.985829307568439</v>
      </c>
      <c r="R159" s="23" t="str">
        <f t="shared" si="71"/>
        <v/>
      </c>
      <c r="T159" t="str">
        <f t="shared" si="72"/>
        <v/>
      </c>
    </row>
    <row r="160" spans="1:20" x14ac:dyDescent="0.2">
      <c r="A160">
        <v>159</v>
      </c>
      <c r="B160" t="s">
        <v>105</v>
      </c>
      <c r="C160" t="s">
        <v>334</v>
      </c>
      <c r="D160" t="s">
        <v>0</v>
      </c>
      <c r="E160" t="s">
        <v>9</v>
      </c>
      <c r="G160" t="s">
        <v>12</v>
      </c>
      <c r="H160">
        <v>29</v>
      </c>
      <c r="I160">
        <v>37</v>
      </c>
      <c r="J160">
        <v>14.51</v>
      </c>
      <c r="K160">
        <v>16.21</v>
      </c>
      <c r="L160">
        <v>2.04</v>
      </c>
      <c r="M160" s="4">
        <v>0.64400000000000002</v>
      </c>
      <c r="N160" s="4">
        <v>0.123</v>
      </c>
      <c r="O160" s="21">
        <f t="shared" si="74"/>
        <v>5.6858605664488024</v>
      </c>
      <c r="P160" s="21">
        <f t="shared" si="75"/>
        <v>3.3930428467683371</v>
      </c>
      <c r="Q160" s="23" t="str">
        <f t="shared" si="70"/>
        <v/>
      </c>
      <c r="R160" s="23">
        <f t="shared" si="71"/>
        <v>5.6858605664488024</v>
      </c>
      <c r="T160" t="str">
        <f t="shared" si="72"/>
        <v/>
      </c>
    </row>
    <row r="161" spans="1:20" x14ac:dyDescent="0.2">
      <c r="A161">
        <v>160</v>
      </c>
      <c r="B161" t="s">
        <v>105</v>
      </c>
      <c r="C161" t="s">
        <v>334</v>
      </c>
      <c r="D161" t="s">
        <v>0</v>
      </c>
      <c r="E161" t="s">
        <v>9</v>
      </c>
      <c r="G161" t="s">
        <v>14</v>
      </c>
      <c r="H161">
        <v>22</v>
      </c>
      <c r="I161">
        <v>34</v>
      </c>
      <c r="J161">
        <v>13.49</v>
      </c>
      <c r="K161">
        <v>17.190000000000001</v>
      </c>
      <c r="L161">
        <f t="shared" ref="L161:N161" si="86">L160</f>
        <v>2.04</v>
      </c>
      <c r="M161">
        <f t="shared" si="86"/>
        <v>0.64400000000000002</v>
      </c>
      <c r="N161">
        <f t="shared" si="86"/>
        <v>0.123</v>
      </c>
      <c r="O161" s="21">
        <f t="shared" si="74"/>
        <v>6.0296078431372555</v>
      </c>
      <c r="P161" s="21">
        <f t="shared" si="75"/>
        <v>3.1545243282498188</v>
      </c>
      <c r="Q161" s="23" t="str">
        <f t="shared" si="70"/>
        <v/>
      </c>
      <c r="R161" s="23">
        <f t="shared" si="71"/>
        <v>6.0296078431372555</v>
      </c>
      <c r="T161" t="str">
        <f t="shared" si="72"/>
        <v/>
      </c>
    </row>
    <row r="162" spans="1:20" x14ac:dyDescent="0.2">
      <c r="A162">
        <v>161</v>
      </c>
      <c r="B162" t="s">
        <v>106</v>
      </c>
      <c r="C162" t="s">
        <v>335</v>
      </c>
      <c r="D162" t="s">
        <v>0</v>
      </c>
      <c r="E162" t="s">
        <v>9</v>
      </c>
      <c r="G162" t="s">
        <v>10</v>
      </c>
      <c r="H162">
        <v>42</v>
      </c>
      <c r="I162">
        <v>42</v>
      </c>
      <c r="J162">
        <v>6.1</v>
      </c>
      <c r="K162">
        <v>5.39</v>
      </c>
      <c r="L162">
        <v>0.82</v>
      </c>
      <c r="M162">
        <v>0.621</v>
      </c>
      <c r="N162">
        <v>9.8000000000000004E-2</v>
      </c>
      <c r="O162" s="21">
        <f t="shared" si="74"/>
        <v>4.5354878048780485</v>
      </c>
      <c r="P162" s="21">
        <f t="shared" si="75"/>
        <v>3.4219512195121951</v>
      </c>
      <c r="Q162" s="23">
        <f t="shared" si="70"/>
        <v>4.5354878048780485</v>
      </c>
      <c r="R162" s="23" t="str">
        <f t="shared" si="71"/>
        <v/>
      </c>
      <c r="T162" t="str">
        <f t="shared" si="72"/>
        <v/>
      </c>
    </row>
    <row r="163" spans="1:20" x14ac:dyDescent="0.2">
      <c r="A163">
        <v>162</v>
      </c>
      <c r="B163" t="s">
        <v>106</v>
      </c>
      <c r="C163" t="s">
        <v>335</v>
      </c>
      <c r="D163" t="s">
        <v>0</v>
      </c>
      <c r="E163" t="s">
        <v>9</v>
      </c>
      <c r="G163" t="s">
        <v>11</v>
      </c>
      <c r="H163">
        <v>27</v>
      </c>
      <c r="I163">
        <v>27</v>
      </c>
      <c r="J163">
        <v>3.54</v>
      </c>
      <c r="K163">
        <v>4.1399999999999997</v>
      </c>
      <c r="L163">
        <f t="shared" ref="L163:N163" si="87">L162</f>
        <v>0.82</v>
      </c>
      <c r="M163">
        <f t="shared" si="87"/>
        <v>0.621</v>
      </c>
      <c r="N163">
        <f t="shared" si="87"/>
        <v>9.8000000000000004E-2</v>
      </c>
      <c r="O163" s="21">
        <f t="shared" si="74"/>
        <v>3.4836585365853656</v>
      </c>
      <c r="P163" s="21">
        <f t="shared" si="75"/>
        <v>1.9858536585365856</v>
      </c>
      <c r="Q163" s="23">
        <f t="shared" si="70"/>
        <v>3.4836585365853656</v>
      </c>
      <c r="R163" s="23" t="str">
        <f t="shared" si="71"/>
        <v/>
      </c>
      <c r="T163" t="str">
        <f t="shared" si="72"/>
        <v/>
      </c>
    </row>
    <row r="164" spans="1:20" x14ac:dyDescent="0.2">
      <c r="A164">
        <v>163</v>
      </c>
      <c r="B164" t="s">
        <v>106</v>
      </c>
      <c r="C164" t="s">
        <v>335</v>
      </c>
      <c r="D164" t="s">
        <v>0</v>
      </c>
      <c r="E164" t="s">
        <v>9</v>
      </c>
      <c r="G164" t="s">
        <v>12</v>
      </c>
      <c r="H164">
        <v>28</v>
      </c>
      <c r="I164">
        <v>28</v>
      </c>
      <c r="J164">
        <v>4.84</v>
      </c>
      <c r="K164">
        <v>3.81</v>
      </c>
      <c r="L164">
        <v>0.65</v>
      </c>
      <c r="M164">
        <v>0.499</v>
      </c>
      <c r="N164">
        <v>9.8000000000000004E-2</v>
      </c>
      <c r="O164" s="21">
        <f t="shared" si="74"/>
        <v>3.2498974358974357</v>
      </c>
      <c r="P164" s="21">
        <f t="shared" si="75"/>
        <v>2.752319088319088</v>
      </c>
      <c r="Q164" s="23" t="str">
        <f t="shared" si="70"/>
        <v/>
      </c>
      <c r="R164" s="23">
        <f t="shared" si="71"/>
        <v>3.2498974358974357</v>
      </c>
      <c r="T164" t="str">
        <f t="shared" si="72"/>
        <v/>
      </c>
    </row>
    <row r="165" spans="1:20" x14ac:dyDescent="0.2">
      <c r="A165">
        <v>164</v>
      </c>
      <c r="B165" t="s">
        <v>106</v>
      </c>
      <c r="C165" t="s">
        <v>335</v>
      </c>
      <c r="D165" t="s">
        <v>0</v>
      </c>
      <c r="E165" t="s">
        <v>9</v>
      </c>
      <c r="G165" t="s">
        <v>14</v>
      </c>
      <c r="H165">
        <v>16</v>
      </c>
      <c r="I165">
        <v>16</v>
      </c>
      <c r="J165">
        <v>2.0499999999999998</v>
      </c>
      <c r="K165">
        <v>1.91</v>
      </c>
      <c r="L165">
        <f>L164</f>
        <v>0.65</v>
      </c>
      <c r="M165">
        <f t="shared" ref="M165:N165" si="88">M164</f>
        <v>0.499</v>
      </c>
      <c r="N165">
        <f t="shared" si="88"/>
        <v>9.8000000000000004E-2</v>
      </c>
      <c r="O165" s="21">
        <f t="shared" si="74"/>
        <v>1.6292136752136752</v>
      </c>
      <c r="P165" s="21">
        <f t="shared" si="75"/>
        <v>1.1657549857549854</v>
      </c>
      <c r="Q165" s="23" t="str">
        <f t="shared" si="70"/>
        <v/>
      </c>
      <c r="R165" s="23">
        <f t="shared" si="71"/>
        <v>1.6292136752136752</v>
      </c>
      <c r="T165" t="str">
        <f t="shared" si="72"/>
        <v/>
      </c>
    </row>
    <row r="166" spans="1:20" x14ac:dyDescent="0.2">
      <c r="A166">
        <v>165</v>
      </c>
      <c r="B166" s="6" t="s">
        <v>107</v>
      </c>
      <c r="C166" t="s">
        <v>336</v>
      </c>
      <c r="D166" s="6" t="s">
        <v>0</v>
      </c>
      <c r="E166" s="6" t="s">
        <v>9</v>
      </c>
      <c r="F166" s="6"/>
      <c r="G166" s="6" t="s">
        <v>10</v>
      </c>
      <c r="H166" s="6">
        <v>27</v>
      </c>
      <c r="I166" s="6">
        <v>32</v>
      </c>
      <c r="J166" s="6">
        <v>7.1</v>
      </c>
      <c r="K166" s="6">
        <v>6.4</v>
      </c>
      <c r="L166" s="6">
        <v>1.08</v>
      </c>
      <c r="M166" s="6"/>
      <c r="N166" s="6"/>
      <c r="O166" s="21">
        <f>K166*(0.441/0.7)*(10/9)</f>
        <v>4.4800000000000004</v>
      </c>
      <c r="P166" s="21">
        <f>J166*(0.441/(0.7*1.5))*(10/9)</f>
        <v>3.3133333333333344</v>
      </c>
      <c r="Q166" s="23">
        <f t="shared" si="70"/>
        <v>4.4800000000000004</v>
      </c>
      <c r="R166" s="23" t="str">
        <f t="shared" si="71"/>
        <v/>
      </c>
      <c r="T166" t="str">
        <f t="shared" si="72"/>
        <v/>
      </c>
    </row>
    <row r="167" spans="1:20" x14ac:dyDescent="0.2">
      <c r="A167">
        <v>166</v>
      </c>
      <c r="B167" t="s">
        <v>107</v>
      </c>
      <c r="C167" t="s">
        <v>336</v>
      </c>
      <c r="D167" t="s">
        <v>0</v>
      </c>
      <c r="E167" t="s">
        <v>9</v>
      </c>
      <c r="G167" t="s">
        <v>11</v>
      </c>
      <c r="H167">
        <v>29</v>
      </c>
      <c r="I167">
        <v>32</v>
      </c>
      <c r="J167">
        <v>5.8</v>
      </c>
      <c r="K167">
        <v>5.3</v>
      </c>
      <c r="L167">
        <f t="shared" ref="L167" si="89">L166</f>
        <v>1.08</v>
      </c>
      <c r="O167" s="21">
        <f>K167*(0.441/0.7)*(10/9)</f>
        <v>3.71</v>
      </c>
      <c r="P167" s="21">
        <f>J167*(0.441/(0.7*1.5))*(10/9)</f>
        <v>2.706666666666667</v>
      </c>
      <c r="Q167" s="23">
        <f t="shared" si="70"/>
        <v>3.71</v>
      </c>
      <c r="R167" s="23" t="str">
        <f t="shared" si="71"/>
        <v/>
      </c>
      <c r="T167" t="str">
        <f t="shared" si="72"/>
        <v/>
      </c>
    </row>
    <row r="168" spans="1:20" x14ac:dyDescent="0.2">
      <c r="A168">
        <v>167</v>
      </c>
      <c r="B168" t="s">
        <v>107</v>
      </c>
      <c r="C168" t="s">
        <v>336</v>
      </c>
      <c r="D168" t="s">
        <v>0</v>
      </c>
      <c r="E168" t="s">
        <v>9</v>
      </c>
      <c r="G168" t="s">
        <v>12</v>
      </c>
      <c r="H168">
        <v>23</v>
      </c>
      <c r="I168">
        <v>21</v>
      </c>
      <c r="J168">
        <v>6.55</v>
      </c>
      <c r="K168">
        <v>4.58</v>
      </c>
      <c r="L168">
        <v>0.7</v>
      </c>
      <c r="M168">
        <v>0.441</v>
      </c>
      <c r="N168">
        <v>8.8999999999999996E-2</v>
      </c>
      <c r="O168" s="21">
        <f t="shared" si="74"/>
        <v>3.2060000000000004</v>
      </c>
      <c r="P168" s="21">
        <f t="shared" si="75"/>
        <v>3.0566666666666671</v>
      </c>
      <c r="Q168" s="23" t="str">
        <f t="shared" si="70"/>
        <v/>
      </c>
      <c r="R168" s="23">
        <f t="shared" si="71"/>
        <v>3.2060000000000004</v>
      </c>
      <c r="T168" t="str">
        <f t="shared" si="72"/>
        <v/>
      </c>
    </row>
    <row r="169" spans="1:20" x14ac:dyDescent="0.2">
      <c r="A169">
        <v>168</v>
      </c>
      <c r="B169" t="s">
        <v>107</v>
      </c>
      <c r="C169" t="s">
        <v>336</v>
      </c>
      <c r="D169" t="s">
        <v>0</v>
      </c>
      <c r="E169" t="s">
        <v>9</v>
      </c>
      <c r="G169" t="s">
        <v>14</v>
      </c>
      <c r="H169">
        <v>26</v>
      </c>
      <c r="I169">
        <v>27</v>
      </c>
      <c r="J169">
        <v>3.6</v>
      </c>
      <c r="K169">
        <v>4</v>
      </c>
      <c r="L169">
        <f t="shared" ref="L169:N169" si="90">L168</f>
        <v>0.7</v>
      </c>
      <c r="M169">
        <f t="shared" si="90"/>
        <v>0.441</v>
      </c>
      <c r="N169">
        <f t="shared" si="90"/>
        <v>8.8999999999999996E-2</v>
      </c>
      <c r="O169" s="21">
        <f t="shared" si="74"/>
        <v>2.8000000000000003</v>
      </c>
      <c r="P169" s="21">
        <f t="shared" si="75"/>
        <v>1.6800000000000006</v>
      </c>
      <c r="Q169" s="23" t="str">
        <f t="shared" si="70"/>
        <v/>
      </c>
      <c r="R169" s="23">
        <f t="shared" si="71"/>
        <v>2.8000000000000003</v>
      </c>
      <c r="T169" t="str">
        <f t="shared" si="72"/>
        <v/>
      </c>
    </row>
    <row r="170" spans="1:20" x14ac:dyDescent="0.2">
      <c r="A170">
        <v>169</v>
      </c>
      <c r="B170" t="s">
        <v>108</v>
      </c>
      <c r="C170" t="s">
        <v>108</v>
      </c>
      <c r="D170" t="s">
        <v>0</v>
      </c>
      <c r="E170" t="s">
        <v>9</v>
      </c>
      <c r="G170" t="s">
        <v>10</v>
      </c>
      <c r="H170">
        <v>44</v>
      </c>
      <c r="I170">
        <v>47</v>
      </c>
      <c r="J170">
        <v>16.5</v>
      </c>
      <c r="K170">
        <v>8.42</v>
      </c>
      <c r="L170">
        <v>1.4</v>
      </c>
      <c r="M170">
        <v>0.71099999999999997</v>
      </c>
      <c r="N170">
        <v>0.17100000000000001</v>
      </c>
      <c r="O170" s="21">
        <f t="shared" si="74"/>
        <v>4.7512857142857152</v>
      </c>
      <c r="P170" s="21">
        <f t="shared" si="75"/>
        <v>6.2071428571428591</v>
      </c>
      <c r="Q170" s="23">
        <f t="shared" si="70"/>
        <v>4.7512857142857152</v>
      </c>
      <c r="R170" s="23" t="str">
        <f t="shared" si="71"/>
        <v/>
      </c>
      <c r="T170" t="str">
        <f t="shared" si="72"/>
        <v/>
      </c>
    </row>
    <row r="171" spans="1:20" x14ac:dyDescent="0.2">
      <c r="A171">
        <v>170</v>
      </c>
      <c r="B171" t="s">
        <v>108</v>
      </c>
      <c r="C171" t="s">
        <v>108</v>
      </c>
      <c r="D171" t="s">
        <v>0</v>
      </c>
      <c r="E171" t="s">
        <v>9</v>
      </c>
      <c r="G171" t="s">
        <v>11</v>
      </c>
      <c r="H171">
        <v>33</v>
      </c>
      <c r="I171">
        <v>33</v>
      </c>
      <c r="J171">
        <v>13.88</v>
      </c>
      <c r="K171">
        <v>6.18</v>
      </c>
      <c r="L171">
        <f t="shared" ref="L171:N171" si="91">L170</f>
        <v>1.4</v>
      </c>
      <c r="M171">
        <f t="shared" si="91"/>
        <v>0.71099999999999997</v>
      </c>
      <c r="N171">
        <f t="shared" si="91"/>
        <v>0.17100000000000001</v>
      </c>
      <c r="O171" s="21">
        <f t="shared" si="74"/>
        <v>3.4872857142857145</v>
      </c>
      <c r="P171" s="21">
        <f t="shared" si="75"/>
        <v>5.221523809523811</v>
      </c>
      <c r="Q171" s="23">
        <f t="shared" si="70"/>
        <v>3.4872857142857145</v>
      </c>
      <c r="R171" s="23" t="str">
        <f t="shared" si="71"/>
        <v/>
      </c>
      <c r="T171" t="str">
        <f t="shared" si="72"/>
        <v/>
      </c>
    </row>
    <row r="172" spans="1:20" x14ac:dyDescent="0.2">
      <c r="A172">
        <v>171</v>
      </c>
      <c r="B172" t="s">
        <v>108</v>
      </c>
      <c r="C172" t="s">
        <v>108</v>
      </c>
      <c r="D172" t="s">
        <v>0</v>
      </c>
      <c r="E172" t="s">
        <v>9</v>
      </c>
      <c r="G172" t="s">
        <v>12</v>
      </c>
      <c r="H172">
        <v>40</v>
      </c>
      <c r="I172">
        <v>35</v>
      </c>
      <c r="J172">
        <v>8.67</v>
      </c>
      <c r="K172">
        <v>5.22</v>
      </c>
      <c r="L172">
        <v>0.6</v>
      </c>
      <c r="M172">
        <v>0.55000000000000004</v>
      </c>
      <c r="N172">
        <v>0.06</v>
      </c>
      <c r="O172" s="21">
        <f t="shared" si="74"/>
        <v>5.3166666666666673</v>
      </c>
      <c r="P172" s="21">
        <f t="shared" si="75"/>
        <v>5.8870370370370386</v>
      </c>
      <c r="Q172" s="23" t="str">
        <f t="shared" si="70"/>
        <v/>
      </c>
      <c r="R172" s="23">
        <f t="shared" si="71"/>
        <v>5.3166666666666673</v>
      </c>
      <c r="T172" t="str">
        <f t="shared" si="72"/>
        <v/>
      </c>
    </row>
    <row r="173" spans="1:20" x14ac:dyDescent="0.2">
      <c r="A173">
        <v>172</v>
      </c>
      <c r="B173" t="s">
        <v>108</v>
      </c>
      <c r="C173" t="s">
        <v>108</v>
      </c>
      <c r="D173" t="s">
        <v>0</v>
      </c>
      <c r="E173" t="s">
        <v>9</v>
      </c>
      <c r="G173" t="s">
        <v>14</v>
      </c>
      <c r="H173">
        <v>32</v>
      </c>
      <c r="I173">
        <v>29</v>
      </c>
      <c r="J173">
        <v>12.74</v>
      </c>
      <c r="K173">
        <v>4.38</v>
      </c>
      <c r="L173">
        <f t="shared" ref="L173:N173" si="92">L172</f>
        <v>0.6</v>
      </c>
      <c r="M173">
        <f t="shared" si="92"/>
        <v>0.55000000000000004</v>
      </c>
      <c r="N173">
        <f t="shared" si="92"/>
        <v>0.06</v>
      </c>
      <c r="O173" s="21">
        <f t="shared" si="74"/>
        <v>4.4611111111111121</v>
      </c>
      <c r="P173" s="21">
        <f t="shared" si="75"/>
        <v>8.6506172839506199</v>
      </c>
      <c r="Q173" s="23" t="str">
        <f t="shared" si="70"/>
        <v/>
      </c>
      <c r="R173" s="23">
        <f t="shared" si="71"/>
        <v>4.4611111111111121</v>
      </c>
      <c r="T173" t="str">
        <f t="shared" si="72"/>
        <v/>
      </c>
    </row>
    <row r="174" spans="1:20" x14ac:dyDescent="0.2">
      <c r="A174">
        <v>173</v>
      </c>
      <c r="B174" t="s">
        <v>109</v>
      </c>
      <c r="C174" s="12" t="s">
        <v>337</v>
      </c>
      <c r="D174" t="s">
        <v>0</v>
      </c>
      <c r="E174" t="s">
        <v>9</v>
      </c>
      <c r="G174" t="s">
        <v>10</v>
      </c>
      <c r="H174">
        <v>27</v>
      </c>
      <c r="I174">
        <v>26</v>
      </c>
      <c r="J174">
        <v>5.0199999999999996</v>
      </c>
      <c r="K174">
        <v>3.4</v>
      </c>
      <c r="L174">
        <v>0.88</v>
      </c>
      <c r="M174">
        <v>0.55300000000000005</v>
      </c>
      <c r="N174">
        <v>0.14000000000000001</v>
      </c>
      <c r="O174" s="21">
        <f t="shared" si="74"/>
        <v>2.3739898989898993</v>
      </c>
      <c r="P174" s="21">
        <f t="shared" si="75"/>
        <v>2.3367508417508414</v>
      </c>
      <c r="Q174" s="23">
        <f t="shared" si="70"/>
        <v>2.3739898989898993</v>
      </c>
      <c r="R174" s="23" t="str">
        <f t="shared" si="71"/>
        <v/>
      </c>
      <c r="T174" t="str">
        <f t="shared" si="72"/>
        <v/>
      </c>
    </row>
    <row r="175" spans="1:20" x14ac:dyDescent="0.2">
      <c r="A175">
        <v>174</v>
      </c>
      <c r="B175" t="s">
        <v>109</v>
      </c>
      <c r="C175" s="12" t="s">
        <v>337</v>
      </c>
      <c r="D175" t="s">
        <v>0</v>
      </c>
      <c r="E175" t="s">
        <v>9</v>
      </c>
      <c r="G175" t="s">
        <v>11</v>
      </c>
      <c r="H175">
        <v>28</v>
      </c>
      <c r="I175">
        <v>29</v>
      </c>
      <c r="J175">
        <v>5.26</v>
      </c>
      <c r="K175">
        <v>4.29</v>
      </c>
      <c r="L175">
        <f t="shared" ref="L175:N175" si="93">L174</f>
        <v>0.88</v>
      </c>
      <c r="M175">
        <f t="shared" si="93"/>
        <v>0.55300000000000005</v>
      </c>
      <c r="N175">
        <f t="shared" si="93"/>
        <v>0.14000000000000001</v>
      </c>
      <c r="O175" s="21">
        <f t="shared" si="74"/>
        <v>2.9954166666666668</v>
      </c>
      <c r="P175" s="21">
        <f t="shared" si="75"/>
        <v>2.4484680134680135</v>
      </c>
      <c r="Q175" s="23">
        <f t="shared" si="70"/>
        <v>2.9954166666666668</v>
      </c>
      <c r="R175" s="23" t="str">
        <f t="shared" si="71"/>
        <v/>
      </c>
      <c r="T175" t="str">
        <f t="shared" si="72"/>
        <v/>
      </c>
    </row>
    <row r="176" spans="1:20" x14ac:dyDescent="0.2">
      <c r="A176">
        <v>175</v>
      </c>
      <c r="B176" t="s">
        <v>109</v>
      </c>
      <c r="C176" s="12" t="s">
        <v>337</v>
      </c>
      <c r="D176" t="s">
        <v>0</v>
      </c>
      <c r="E176" t="s">
        <v>9</v>
      </c>
      <c r="G176" t="s">
        <v>12</v>
      </c>
      <c r="H176">
        <v>17</v>
      </c>
      <c r="I176">
        <v>16</v>
      </c>
      <c r="J176">
        <v>1.71</v>
      </c>
      <c r="K176">
        <v>2.06</v>
      </c>
      <c r="L176">
        <v>0.76</v>
      </c>
      <c r="M176">
        <v>0.5</v>
      </c>
      <c r="N176">
        <v>0.16200000000000001</v>
      </c>
      <c r="O176" s="21">
        <f t="shared" si="74"/>
        <v>1.5058479532163744</v>
      </c>
      <c r="P176" s="21">
        <f t="shared" si="75"/>
        <v>0.83333333333333326</v>
      </c>
      <c r="Q176" s="23" t="str">
        <f t="shared" si="70"/>
        <v/>
      </c>
      <c r="R176" s="23">
        <f t="shared" si="71"/>
        <v>1.5058479532163744</v>
      </c>
      <c r="T176" t="str">
        <f t="shared" si="72"/>
        <v/>
      </c>
    </row>
    <row r="177" spans="1:20" x14ac:dyDescent="0.2">
      <c r="A177">
        <v>176</v>
      </c>
      <c r="B177" t="s">
        <v>109</v>
      </c>
      <c r="C177" s="12" t="s">
        <v>337</v>
      </c>
      <c r="D177" t="s">
        <v>0</v>
      </c>
      <c r="E177" t="s">
        <v>9</v>
      </c>
      <c r="G177" t="s">
        <v>14</v>
      </c>
      <c r="H177">
        <v>27</v>
      </c>
      <c r="I177">
        <v>27</v>
      </c>
      <c r="J177">
        <v>2.11</v>
      </c>
      <c r="K177">
        <v>3.77</v>
      </c>
      <c r="L177">
        <f t="shared" ref="L177:N177" si="94">L176</f>
        <v>0.76</v>
      </c>
      <c r="M177">
        <f t="shared" si="94"/>
        <v>0.5</v>
      </c>
      <c r="N177">
        <f t="shared" si="94"/>
        <v>0.16200000000000001</v>
      </c>
      <c r="O177" s="21">
        <f t="shared" si="74"/>
        <v>2.7558479532163749</v>
      </c>
      <c r="P177" s="21">
        <f t="shared" si="75"/>
        <v>1.0282651072124755</v>
      </c>
      <c r="Q177" s="23" t="str">
        <f t="shared" si="70"/>
        <v/>
      </c>
      <c r="R177" s="23">
        <f t="shared" si="71"/>
        <v>2.7558479532163749</v>
      </c>
      <c r="T177" t="str">
        <f t="shared" si="72"/>
        <v/>
      </c>
    </row>
    <row r="178" spans="1:20" x14ac:dyDescent="0.2">
      <c r="A178">
        <v>177</v>
      </c>
      <c r="B178" t="s">
        <v>110</v>
      </c>
      <c r="C178" t="s">
        <v>110</v>
      </c>
      <c r="D178" t="s">
        <v>0</v>
      </c>
      <c r="E178" t="s">
        <v>9</v>
      </c>
      <c r="G178" t="s">
        <v>10</v>
      </c>
      <c r="H178">
        <v>32</v>
      </c>
      <c r="I178">
        <v>39</v>
      </c>
      <c r="J178">
        <v>24.11</v>
      </c>
      <c r="K178" s="1">
        <v>20.64</v>
      </c>
      <c r="L178" s="1">
        <v>1.21</v>
      </c>
      <c r="M178" s="1">
        <v>0.80400000000000005</v>
      </c>
      <c r="N178">
        <v>0.16900000000000001</v>
      </c>
      <c r="O178" s="21">
        <f t="shared" si="74"/>
        <v>15.238347107438019</v>
      </c>
      <c r="P178" s="21">
        <f t="shared" si="75"/>
        <v>11.866813590449956</v>
      </c>
      <c r="Q178" s="23">
        <f t="shared" si="70"/>
        <v>15.238347107438019</v>
      </c>
      <c r="R178" s="23" t="str">
        <f t="shared" si="71"/>
        <v/>
      </c>
      <c r="T178" t="str">
        <f t="shared" si="72"/>
        <v>VVVVVVVV</v>
      </c>
    </row>
    <row r="179" spans="1:20" x14ac:dyDescent="0.2">
      <c r="A179">
        <v>178</v>
      </c>
      <c r="B179" t="s">
        <v>110</v>
      </c>
      <c r="C179" t="s">
        <v>110</v>
      </c>
      <c r="D179" t="s">
        <v>0</v>
      </c>
      <c r="E179" t="s">
        <v>9</v>
      </c>
      <c r="G179" t="s">
        <v>11</v>
      </c>
      <c r="H179">
        <v>41</v>
      </c>
      <c r="I179">
        <v>52</v>
      </c>
      <c r="J179">
        <v>18.73</v>
      </c>
      <c r="K179">
        <v>11.75</v>
      </c>
      <c r="L179">
        <f t="shared" ref="L179:N179" si="95">L178</f>
        <v>1.21</v>
      </c>
      <c r="M179">
        <f t="shared" si="95"/>
        <v>0.80400000000000005</v>
      </c>
      <c r="N179">
        <f t="shared" si="95"/>
        <v>0.16900000000000001</v>
      </c>
      <c r="O179" s="21">
        <f t="shared" si="74"/>
        <v>8.674931129476585</v>
      </c>
      <c r="P179" s="21">
        <f t="shared" si="75"/>
        <v>9.2188062442607901</v>
      </c>
      <c r="Q179" s="23">
        <f t="shared" si="70"/>
        <v>8.674931129476585</v>
      </c>
      <c r="R179" s="23" t="str">
        <f t="shared" si="71"/>
        <v/>
      </c>
      <c r="T179" t="str">
        <f t="shared" si="72"/>
        <v/>
      </c>
    </row>
    <row r="180" spans="1:20" x14ac:dyDescent="0.2">
      <c r="A180">
        <v>179</v>
      </c>
      <c r="B180" t="s">
        <v>110</v>
      </c>
      <c r="C180" t="s">
        <v>110</v>
      </c>
      <c r="D180" t="s">
        <v>0</v>
      </c>
      <c r="E180" t="s">
        <v>9</v>
      </c>
      <c r="G180" t="s">
        <v>12</v>
      </c>
      <c r="H180">
        <v>42</v>
      </c>
      <c r="I180">
        <v>48</v>
      </c>
      <c r="J180">
        <v>21.23</v>
      </c>
      <c r="K180">
        <v>9.93</v>
      </c>
      <c r="L180">
        <v>0.64</v>
      </c>
      <c r="M180">
        <v>0.41399999999999998</v>
      </c>
      <c r="N180">
        <v>0.106</v>
      </c>
      <c r="O180" s="21">
        <f t="shared" si="74"/>
        <v>7.1371874999999996</v>
      </c>
      <c r="P180" s="21">
        <f t="shared" si="75"/>
        <v>10.172708333333333</v>
      </c>
      <c r="Q180" s="23" t="str">
        <f t="shared" si="70"/>
        <v/>
      </c>
      <c r="R180" s="23">
        <f t="shared" si="71"/>
        <v>7.1371874999999996</v>
      </c>
      <c r="T180" t="str">
        <f t="shared" si="72"/>
        <v/>
      </c>
    </row>
    <row r="181" spans="1:20" x14ac:dyDescent="0.2">
      <c r="A181">
        <v>180</v>
      </c>
      <c r="B181" t="s">
        <v>110</v>
      </c>
      <c r="C181" t="s">
        <v>110</v>
      </c>
      <c r="D181" t="s">
        <v>0</v>
      </c>
      <c r="E181" t="s">
        <v>9</v>
      </c>
      <c r="G181" t="s">
        <v>14</v>
      </c>
      <c r="H181">
        <v>40</v>
      </c>
      <c r="I181">
        <v>43</v>
      </c>
      <c r="J181">
        <v>22.02</v>
      </c>
      <c r="K181">
        <v>9.5399999999999991</v>
      </c>
      <c r="L181">
        <f t="shared" ref="L181:N181" si="96">L180</f>
        <v>0.64</v>
      </c>
      <c r="M181">
        <f t="shared" si="96"/>
        <v>0.41399999999999998</v>
      </c>
      <c r="N181">
        <f t="shared" si="96"/>
        <v>0.106</v>
      </c>
      <c r="O181" s="21">
        <f t="shared" si="74"/>
        <v>6.8568749999999996</v>
      </c>
      <c r="P181" s="21">
        <f t="shared" si="75"/>
        <v>10.55125</v>
      </c>
      <c r="Q181" s="23" t="str">
        <f t="shared" si="70"/>
        <v/>
      </c>
      <c r="R181" s="23">
        <f t="shared" si="71"/>
        <v>6.8568749999999996</v>
      </c>
      <c r="T181" t="str">
        <f t="shared" si="72"/>
        <v/>
      </c>
    </row>
    <row r="182" spans="1:20" x14ac:dyDescent="0.2">
      <c r="A182">
        <v>181</v>
      </c>
      <c r="B182" t="s">
        <v>111</v>
      </c>
      <c r="C182" t="s">
        <v>338</v>
      </c>
      <c r="D182" t="s">
        <v>0</v>
      </c>
      <c r="E182" t="s">
        <v>9</v>
      </c>
      <c r="G182" t="s">
        <v>10</v>
      </c>
      <c r="H182">
        <v>33</v>
      </c>
      <c r="I182">
        <v>33</v>
      </c>
      <c r="J182">
        <v>5.07</v>
      </c>
      <c r="K182">
        <v>4.51</v>
      </c>
      <c r="L182">
        <v>1.1499999999999999</v>
      </c>
      <c r="M182">
        <v>0.7</v>
      </c>
      <c r="N182">
        <v>0.17899999999999999</v>
      </c>
      <c r="O182" s="21">
        <f t="shared" si="74"/>
        <v>3.0502415458937198</v>
      </c>
      <c r="P182" s="21">
        <f t="shared" si="75"/>
        <v>2.2859903381642517</v>
      </c>
      <c r="Q182" s="23">
        <f t="shared" si="70"/>
        <v>3.0502415458937198</v>
      </c>
      <c r="R182" s="23" t="str">
        <f t="shared" si="71"/>
        <v/>
      </c>
      <c r="S182" s="14"/>
      <c r="T182" t="str">
        <f t="shared" si="72"/>
        <v/>
      </c>
    </row>
    <row r="183" spans="1:20" x14ac:dyDescent="0.2">
      <c r="A183">
        <v>182</v>
      </c>
      <c r="B183" t="s">
        <v>111</v>
      </c>
      <c r="C183" t="s">
        <v>338</v>
      </c>
      <c r="D183" t="s">
        <v>0</v>
      </c>
      <c r="E183" t="s">
        <v>9</v>
      </c>
      <c r="G183" t="s">
        <v>11</v>
      </c>
      <c r="H183">
        <v>31</v>
      </c>
      <c r="I183">
        <v>32</v>
      </c>
      <c r="J183">
        <v>4.13</v>
      </c>
      <c r="K183">
        <v>4.2300000000000004</v>
      </c>
      <c r="L183">
        <f t="shared" ref="L183:N183" si="97">L182</f>
        <v>1.1499999999999999</v>
      </c>
      <c r="M183">
        <f t="shared" si="97"/>
        <v>0.7</v>
      </c>
      <c r="N183">
        <f t="shared" si="97"/>
        <v>0.17899999999999999</v>
      </c>
      <c r="O183" s="21">
        <f t="shared" si="74"/>
        <v>2.8608695652173917</v>
      </c>
      <c r="P183" s="21">
        <f t="shared" si="75"/>
        <v>1.8621578099838971</v>
      </c>
      <c r="Q183" s="23">
        <f t="shared" si="70"/>
        <v>2.8608695652173917</v>
      </c>
      <c r="R183" s="23" t="str">
        <f t="shared" si="71"/>
        <v/>
      </c>
      <c r="T183" t="str">
        <f t="shared" si="72"/>
        <v/>
      </c>
    </row>
    <row r="184" spans="1:20" x14ac:dyDescent="0.2">
      <c r="A184">
        <v>183</v>
      </c>
      <c r="B184" t="s">
        <v>111</v>
      </c>
      <c r="C184" t="s">
        <v>338</v>
      </c>
      <c r="D184" t="s">
        <v>0</v>
      </c>
      <c r="E184" t="s">
        <v>9</v>
      </c>
      <c r="G184" t="s">
        <v>12</v>
      </c>
      <c r="H184">
        <v>30</v>
      </c>
      <c r="I184">
        <v>29</v>
      </c>
      <c r="J184">
        <v>3.19</v>
      </c>
      <c r="K184">
        <v>3.8</v>
      </c>
      <c r="L184">
        <v>0.95</v>
      </c>
      <c r="M184">
        <v>0.54</v>
      </c>
      <c r="N184">
        <v>9.0999999999999998E-2</v>
      </c>
      <c r="O184" s="21">
        <f t="shared" si="74"/>
        <v>2.4000000000000004</v>
      </c>
      <c r="P184" s="21">
        <f t="shared" si="75"/>
        <v>1.3431578947368426</v>
      </c>
      <c r="Q184" s="23" t="str">
        <f t="shared" si="70"/>
        <v/>
      </c>
      <c r="R184" s="23">
        <f t="shared" si="71"/>
        <v>2.4000000000000004</v>
      </c>
      <c r="T184" t="str">
        <f t="shared" si="72"/>
        <v/>
      </c>
    </row>
    <row r="185" spans="1:20" x14ac:dyDescent="0.2">
      <c r="A185">
        <v>184</v>
      </c>
      <c r="B185" t="s">
        <v>111</v>
      </c>
      <c r="C185" t="s">
        <v>338</v>
      </c>
      <c r="D185" t="s">
        <v>0</v>
      </c>
      <c r="E185" t="s">
        <v>9</v>
      </c>
      <c r="G185" t="s">
        <v>14</v>
      </c>
      <c r="H185">
        <v>31</v>
      </c>
      <c r="I185">
        <v>30</v>
      </c>
      <c r="J185">
        <v>2.79</v>
      </c>
      <c r="K185">
        <v>3.5</v>
      </c>
      <c r="L185">
        <f>L184</f>
        <v>0.95</v>
      </c>
      <c r="M185">
        <f t="shared" ref="M185:N185" si="98">M184</f>
        <v>0.54</v>
      </c>
      <c r="N185">
        <f t="shared" si="98"/>
        <v>9.0999999999999998E-2</v>
      </c>
      <c r="O185" s="21">
        <f t="shared" si="74"/>
        <v>2.2105263157894743</v>
      </c>
      <c r="P185" s="21">
        <f t="shared" si="75"/>
        <v>1.1747368421052635</v>
      </c>
      <c r="Q185" s="23" t="str">
        <f t="shared" si="70"/>
        <v/>
      </c>
      <c r="R185" s="23">
        <f t="shared" si="71"/>
        <v>2.2105263157894743</v>
      </c>
      <c r="T185" t="str">
        <f t="shared" si="72"/>
        <v/>
      </c>
    </row>
    <row r="186" spans="1:20" x14ac:dyDescent="0.2">
      <c r="A186">
        <v>185</v>
      </c>
      <c r="B186" s="15" t="s">
        <v>112</v>
      </c>
      <c r="C186" t="s">
        <v>112</v>
      </c>
      <c r="D186" s="15" t="s">
        <v>0</v>
      </c>
      <c r="E186" s="15" t="s">
        <v>9</v>
      </c>
      <c r="F186" s="15"/>
      <c r="G186" s="15" t="s">
        <v>10</v>
      </c>
      <c r="H186" s="15">
        <v>30</v>
      </c>
      <c r="I186" s="15">
        <v>46</v>
      </c>
      <c r="J186" s="15">
        <v>15.87</v>
      </c>
      <c r="K186" s="15">
        <v>12.47</v>
      </c>
      <c r="L186" s="15">
        <v>1</v>
      </c>
      <c r="M186">
        <v>0.81</v>
      </c>
      <c r="N186" s="15"/>
      <c r="O186" s="21">
        <f t="shared" si="74"/>
        <v>11.223000000000003</v>
      </c>
      <c r="P186" s="21">
        <f t="shared" si="75"/>
        <v>9.522000000000002</v>
      </c>
      <c r="Q186" s="23">
        <f t="shared" si="70"/>
        <v>11.223000000000003</v>
      </c>
      <c r="R186" s="23" t="str">
        <f t="shared" si="71"/>
        <v/>
      </c>
      <c r="T186" t="str">
        <f t="shared" si="72"/>
        <v/>
      </c>
    </row>
    <row r="187" spans="1:20" x14ac:dyDescent="0.2">
      <c r="A187">
        <v>186</v>
      </c>
      <c r="B187" t="s">
        <v>112</v>
      </c>
      <c r="C187" t="s">
        <v>112</v>
      </c>
      <c r="D187" t="s">
        <v>0</v>
      </c>
      <c r="E187" t="s">
        <v>9</v>
      </c>
      <c r="G187" t="s">
        <v>11</v>
      </c>
      <c r="H187">
        <v>24</v>
      </c>
      <c r="I187">
        <v>40</v>
      </c>
      <c r="J187">
        <v>10.97</v>
      </c>
      <c r="K187">
        <v>9.8699999999999992</v>
      </c>
      <c r="L187">
        <f t="shared" ref="L187" si="99">L186</f>
        <v>1</v>
      </c>
      <c r="M187">
        <v>0.81</v>
      </c>
      <c r="O187" s="21">
        <f t="shared" si="74"/>
        <v>8.8830000000000009</v>
      </c>
      <c r="P187" s="21">
        <f t="shared" si="75"/>
        <v>6.5820000000000016</v>
      </c>
      <c r="Q187" s="23">
        <f t="shared" si="70"/>
        <v>8.8830000000000009</v>
      </c>
      <c r="R187" s="23" t="str">
        <f t="shared" si="71"/>
        <v/>
      </c>
      <c r="T187" t="str">
        <f t="shared" si="72"/>
        <v/>
      </c>
    </row>
    <row r="188" spans="1:20" x14ac:dyDescent="0.2">
      <c r="A188">
        <v>187</v>
      </c>
      <c r="B188" t="s">
        <v>112</v>
      </c>
      <c r="C188" t="s">
        <v>112</v>
      </c>
      <c r="D188" t="s">
        <v>0</v>
      </c>
      <c r="E188" t="s">
        <v>9</v>
      </c>
      <c r="G188" t="s">
        <v>12</v>
      </c>
      <c r="H188">
        <v>33</v>
      </c>
      <c r="I188">
        <v>35</v>
      </c>
      <c r="J188">
        <v>9.82</v>
      </c>
      <c r="K188">
        <v>8.3000000000000007</v>
      </c>
      <c r="L188">
        <v>0.93</v>
      </c>
      <c r="M188">
        <v>0.753</v>
      </c>
      <c r="N188">
        <v>0.16</v>
      </c>
      <c r="O188" s="21">
        <f t="shared" si="74"/>
        <v>7.4670250896057357</v>
      </c>
      <c r="P188" s="21">
        <f t="shared" si="75"/>
        <v>5.8896535244922346</v>
      </c>
      <c r="Q188" s="23" t="str">
        <f t="shared" si="70"/>
        <v/>
      </c>
      <c r="R188" s="23">
        <f t="shared" si="71"/>
        <v>7.4670250896057357</v>
      </c>
      <c r="T188" t="str">
        <f t="shared" si="72"/>
        <v/>
      </c>
    </row>
    <row r="189" spans="1:20" x14ac:dyDescent="0.2">
      <c r="A189">
        <v>188</v>
      </c>
      <c r="B189" t="s">
        <v>112</v>
      </c>
      <c r="C189" t="s">
        <v>112</v>
      </c>
      <c r="D189" t="s">
        <v>0</v>
      </c>
      <c r="E189" t="s">
        <v>9</v>
      </c>
      <c r="G189" t="s">
        <v>14</v>
      </c>
      <c r="H189">
        <v>39</v>
      </c>
      <c r="I189">
        <v>39</v>
      </c>
      <c r="J189">
        <v>8.3000000000000007</v>
      </c>
      <c r="K189">
        <v>6.7</v>
      </c>
      <c r="L189">
        <f t="shared" ref="L189:N189" si="100">L188</f>
        <v>0.93</v>
      </c>
      <c r="M189">
        <f t="shared" si="100"/>
        <v>0.753</v>
      </c>
      <c r="N189">
        <f t="shared" si="100"/>
        <v>0.16</v>
      </c>
      <c r="O189" s="21">
        <f t="shared" si="74"/>
        <v>6.0275985663082441</v>
      </c>
      <c r="P189" s="21">
        <f t="shared" si="75"/>
        <v>4.9780167264038235</v>
      </c>
      <c r="Q189" s="23" t="str">
        <f t="shared" si="70"/>
        <v/>
      </c>
      <c r="R189" s="23">
        <f t="shared" si="71"/>
        <v>6.0275985663082441</v>
      </c>
      <c r="T189" t="str">
        <f t="shared" si="72"/>
        <v/>
      </c>
    </row>
    <row r="190" spans="1:20" x14ac:dyDescent="0.2">
      <c r="A190">
        <v>189</v>
      </c>
      <c r="B190" t="s">
        <v>113</v>
      </c>
      <c r="C190" t="s">
        <v>339</v>
      </c>
      <c r="D190" t="s">
        <v>0</v>
      </c>
      <c r="E190" t="s">
        <v>9</v>
      </c>
      <c r="G190" t="s">
        <v>10</v>
      </c>
      <c r="H190">
        <v>43</v>
      </c>
      <c r="I190">
        <v>43</v>
      </c>
      <c r="J190">
        <v>11.4</v>
      </c>
      <c r="K190">
        <v>7.82</v>
      </c>
      <c r="L190">
        <v>1.04</v>
      </c>
      <c r="M190">
        <v>0.65900000000000003</v>
      </c>
      <c r="N190">
        <v>8.8999999999999996E-2</v>
      </c>
      <c r="O190" s="21">
        <f t="shared" si="74"/>
        <v>5.5057478632478638</v>
      </c>
      <c r="P190" s="21">
        <f t="shared" si="75"/>
        <v>5.3508547008547014</v>
      </c>
      <c r="Q190" s="23">
        <f t="shared" si="70"/>
        <v>5.5057478632478638</v>
      </c>
      <c r="R190" s="23" t="str">
        <f t="shared" si="71"/>
        <v/>
      </c>
      <c r="S190" s="14"/>
      <c r="T190" t="str">
        <f t="shared" si="72"/>
        <v/>
      </c>
    </row>
    <row r="191" spans="1:20" x14ac:dyDescent="0.2">
      <c r="A191">
        <v>190</v>
      </c>
      <c r="B191" t="s">
        <v>113</v>
      </c>
      <c r="C191" t="s">
        <v>339</v>
      </c>
      <c r="D191" t="s">
        <v>0</v>
      </c>
      <c r="E191" t="s">
        <v>9</v>
      </c>
      <c r="G191" t="s">
        <v>11</v>
      </c>
      <c r="H191">
        <v>43</v>
      </c>
      <c r="I191">
        <v>48</v>
      </c>
      <c r="J191">
        <v>14.97</v>
      </c>
      <c r="K191">
        <v>8.08</v>
      </c>
      <c r="L191">
        <f t="shared" ref="L191:N191" si="101">L190</f>
        <v>1.04</v>
      </c>
      <c r="M191">
        <f t="shared" si="101"/>
        <v>0.65900000000000003</v>
      </c>
      <c r="N191">
        <f t="shared" si="101"/>
        <v>8.8999999999999996E-2</v>
      </c>
      <c r="O191" s="21">
        <f t="shared" si="74"/>
        <v>5.6888034188034187</v>
      </c>
      <c r="P191" s="21">
        <f t="shared" si="75"/>
        <v>7.0265170940170938</v>
      </c>
      <c r="Q191" s="23">
        <f t="shared" si="70"/>
        <v>5.6888034188034187</v>
      </c>
      <c r="R191" s="23" t="str">
        <f t="shared" si="71"/>
        <v/>
      </c>
      <c r="S191" s="14"/>
      <c r="T191" t="str">
        <f t="shared" si="72"/>
        <v/>
      </c>
    </row>
    <row r="192" spans="1:20" x14ac:dyDescent="0.2">
      <c r="A192">
        <v>191</v>
      </c>
      <c r="B192" t="s">
        <v>113</v>
      </c>
      <c r="C192" t="s">
        <v>339</v>
      </c>
      <c r="D192" t="s">
        <v>0</v>
      </c>
      <c r="E192" t="s">
        <v>9</v>
      </c>
      <c r="G192" t="s">
        <v>12</v>
      </c>
      <c r="H192">
        <v>51</v>
      </c>
      <c r="I192">
        <v>41</v>
      </c>
      <c r="J192">
        <v>14.53</v>
      </c>
      <c r="K192">
        <v>6.82</v>
      </c>
      <c r="L192">
        <v>0.55000000000000004</v>
      </c>
      <c r="M192">
        <v>0.44900000000000001</v>
      </c>
      <c r="N192">
        <v>0.10199999999999999</v>
      </c>
      <c r="O192" s="21">
        <f t="shared" si="74"/>
        <v>6.1862222222222218</v>
      </c>
      <c r="P192" s="21">
        <f t="shared" si="75"/>
        <v>8.7864915824915819</v>
      </c>
      <c r="Q192" s="23" t="str">
        <f t="shared" si="70"/>
        <v/>
      </c>
      <c r="R192" s="23">
        <f t="shared" si="71"/>
        <v>6.1862222222222218</v>
      </c>
      <c r="S192" s="14"/>
      <c r="T192" t="str">
        <f t="shared" si="72"/>
        <v/>
      </c>
    </row>
    <row r="193" spans="1:20" x14ac:dyDescent="0.2">
      <c r="A193">
        <v>192</v>
      </c>
      <c r="B193" t="s">
        <v>113</v>
      </c>
      <c r="C193" t="s">
        <v>339</v>
      </c>
      <c r="D193" t="s">
        <v>0</v>
      </c>
      <c r="E193" t="s">
        <v>9</v>
      </c>
      <c r="G193" t="s">
        <v>14</v>
      </c>
      <c r="H193">
        <v>53</v>
      </c>
      <c r="I193">
        <v>51</v>
      </c>
      <c r="J193">
        <v>11.53</v>
      </c>
      <c r="K193">
        <v>5.32</v>
      </c>
      <c r="L193">
        <f t="shared" ref="L193:N193" si="102">L192</f>
        <v>0.55000000000000004</v>
      </c>
      <c r="M193">
        <f t="shared" si="102"/>
        <v>0.44900000000000001</v>
      </c>
      <c r="N193">
        <f t="shared" si="102"/>
        <v>0.10199999999999999</v>
      </c>
      <c r="O193" s="21">
        <f t="shared" si="74"/>
        <v>4.8256161616161615</v>
      </c>
      <c r="P193" s="21">
        <f t="shared" si="75"/>
        <v>6.9723501683501672</v>
      </c>
      <c r="Q193" s="23" t="str">
        <f t="shared" si="70"/>
        <v/>
      </c>
      <c r="R193" s="23">
        <f t="shared" si="71"/>
        <v>4.8256161616161615</v>
      </c>
      <c r="T193" t="str">
        <f t="shared" si="72"/>
        <v/>
      </c>
    </row>
    <row r="194" spans="1:20" x14ac:dyDescent="0.2">
      <c r="A194">
        <v>193</v>
      </c>
      <c r="B194" t="s">
        <v>114</v>
      </c>
      <c r="C194" t="s">
        <v>114</v>
      </c>
      <c r="D194" t="s">
        <v>0</v>
      </c>
      <c r="E194" t="s">
        <v>9</v>
      </c>
      <c r="G194" t="s">
        <v>10</v>
      </c>
      <c r="H194">
        <v>27</v>
      </c>
      <c r="I194">
        <v>35</v>
      </c>
      <c r="J194">
        <v>13.51</v>
      </c>
      <c r="K194">
        <v>8.85</v>
      </c>
      <c r="L194">
        <v>1.25</v>
      </c>
      <c r="M194">
        <v>0.75600000000000001</v>
      </c>
      <c r="N194">
        <v>0.115</v>
      </c>
      <c r="O194" s="21">
        <f t="shared" si="74"/>
        <v>5.9472000000000005</v>
      </c>
      <c r="P194" s="21">
        <f t="shared" si="75"/>
        <v>6.0524800000000001</v>
      </c>
      <c r="Q194" s="23">
        <f t="shared" si="70"/>
        <v>5.9472000000000005</v>
      </c>
      <c r="R194" s="23" t="str">
        <f t="shared" si="71"/>
        <v/>
      </c>
      <c r="T194" t="str">
        <f t="shared" si="72"/>
        <v/>
      </c>
    </row>
    <row r="195" spans="1:20" x14ac:dyDescent="0.2">
      <c r="A195">
        <v>194</v>
      </c>
      <c r="B195" t="s">
        <v>114</v>
      </c>
      <c r="C195" t="s">
        <v>114</v>
      </c>
      <c r="D195" t="s">
        <v>0</v>
      </c>
      <c r="E195" t="s">
        <v>9</v>
      </c>
      <c r="G195" t="s">
        <v>11</v>
      </c>
      <c r="H195">
        <v>33</v>
      </c>
      <c r="I195">
        <v>40</v>
      </c>
      <c r="J195">
        <v>11.95</v>
      </c>
      <c r="K195">
        <v>7.95</v>
      </c>
      <c r="L195">
        <f>L194</f>
        <v>1.25</v>
      </c>
      <c r="M195">
        <f t="shared" ref="M195:N195" si="103">M194</f>
        <v>0.75600000000000001</v>
      </c>
      <c r="N195">
        <f t="shared" si="103"/>
        <v>0.115</v>
      </c>
      <c r="O195" s="21">
        <f t="shared" si="74"/>
        <v>5.3424000000000005</v>
      </c>
      <c r="P195" s="21">
        <f t="shared" si="75"/>
        <v>5.3535999999999992</v>
      </c>
      <c r="Q195" s="23">
        <f t="shared" ref="Q195:Q258" si="104">IF(LEFT(G195,7)="IMPROVE",O195,"")</f>
        <v>5.3424000000000005</v>
      </c>
      <c r="R195" s="23" t="str">
        <f t="shared" ref="R195:R258" si="105">IF(LEFT(G195,7)="FARMER ",O195,"")</f>
        <v/>
      </c>
      <c r="T195" t="str">
        <f t="shared" ref="T195:T258" si="106">IF(O195&gt;14,"VVVVVVVV","")</f>
        <v/>
      </c>
    </row>
    <row r="196" spans="1:20" x14ac:dyDescent="0.2">
      <c r="A196">
        <v>195</v>
      </c>
      <c r="B196" s="15" t="s">
        <v>114</v>
      </c>
      <c r="C196" t="s">
        <v>114</v>
      </c>
      <c r="D196" s="15" t="s">
        <v>0</v>
      </c>
      <c r="E196" s="15" t="s">
        <v>9</v>
      </c>
      <c r="F196" s="15"/>
      <c r="G196" s="15" t="s">
        <v>12</v>
      </c>
      <c r="H196" s="15">
        <v>30</v>
      </c>
      <c r="I196" s="15">
        <v>28</v>
      </c>
      <c r="J196" s="15">
        <v>6.02</v>
      </c>
      <c r="K196" s="15">
        <v>5.59</v>
      </c>
      <c r="L196" s="15">
        <v>1.03</v>
      </c>
      <c r="M196" s="15">
        <v>0.62</v>
      </c>
      <c r="N196" s="15"/>
      <c r="O196" s="21">
        <f>K196*(M196/L196)*(10/9)</f>
        <v>3.7387270765911542</v>
      </c>
      <c r="P196" s="21">
        <f t="shared" si="75"/>
        <v>2.6842143113987778</v>
      </c>
      <c r="Q196" s="23" t="str">
        <f t="shared" si="104"/>
        <v/>
      </c>
      <c r="R196" s="23">
        <f t="shared" si="105"/>
        <v>3.7387270765911542</v>
      </c>
      <c r="T196" t="str">
        <f t="shared" si="106"/>
        <v/>
      </c>
    </row>
    <row r="197" spans="1:20" x14ac:dyDescent="0.2">
      <c r="A197">
        <v>196</v>
      </c>
      <c r="B197" t="s">
        <v>114</v>
      </c>
      <c r="C197" t="s">
        <v>114</v>
      </c>
      <c r="D197" t="s">
        <v>0</v>
      </c>
      <c r="E197" t="s">
        <v>9</v>
      </c>
      <c r="G197" t="s">
        <v>14</v>
      </c>
      <c r="H197">
        <v>24</v>
      </c>
      <c r="I197">
        <v>24</v>
      </c>
      <c r="J197">
        <v>3.17</v>
      </c>
      <c r="K197">
        <v>3.96</v>
      </c>
      <c r="L197">
        <f t="shared" ref="L197" si="107">L196</f>
        <v>1.03</v>
      </c>
      <c r="M197">
        <v>0.62</v>
      </c>
      <c r="O197" s="21">
        <f t="shared" si="74"/>
        <v>2.648543689320388</v>
      </c>
      <c r="P197" s="21">
        <f t="shared" si="75"/>
        <v>1.4134483998561669</v>
      </c>
      <c r="Q197" s="23" t="str">
        <f t="shared" si="104"/>
        <v/>
      </c>
      <c r="R197" s="23">
        <f t="shared" si="105"/>
        <v>2.648543689320388</v>
      </c>
      <c r="T197" t="str">
        <f t="shared" si="106"/>
        <v/>
      </c>
    </row>
    <row r="198" spans="1:20" x14ac:dyDescent="0.2">
      <c r="A198">
        <v>197</v>
      </c>
      <c r="B198" t="s">
        <v>115</v>
      </c>
      <c r="C198" t="s">
        <v>340</v>
      </c>
      <c r="D198" t="s">
        <v>0</v>
      </c>
      <c r="E198" t="s">
        <v>9</v>
      </c>
      <c r="G198" t="s">
        <v>10</v>
      </c>
      <c r="H198">
        <v>42</v>
      </c>
      <c r="I198">
        <v>40</v>
      </c>
      <c r="J198">
        <v>6.76</v>
      </c>
      <c r="K198">
        <v>6.04</v>
      </c>
      <c r="L198">
        <v>0.95</v>
      </c>
      <c r="M198">
        <v>0.56999999999999995</v>
      </c>
      <c r="N198">
        <v>0.13</v>
      </c>
      <c r="O198" s="21">
        <f t="shared" ref="O198:O261" si="108">K198*(M198/L198)*(10/9)</f>
        <v>4.0266666666666664</v>
      </c>
      <c r="P198" s="21">
        <f t="shared" ref="P198:P261" si="109">J198*(M198/(L198*1.5))*(10/9)</f>
        <v>3.0044444444444447</v>
      </c>
      <c r="Q198" s="23">
        <f t="shared" si="104"/>
        <v>4.0266666666666664</v>
      </c>
      <c r="R198" s="23" t="str">
        <f t="shared" si="105"/>
        <v/>
      </c>
      <c r="T198" t="str">
        <f t="shared" si="106"/>
        <v/>
      </c>
    </row>
    <row r="199" spans="1:20" x14ac:dyDescent="0.2">
      <c r="A199">
        <v>198</v>
      </c>
      <c r="B199" t="s">
        <v>115</v>
      </c>
      <c r="C199" t="s">
        <v>340</v>
      </c>
      <c r="D199" t="s">
        <v>0</v>
      </c>
      <c r="E199" t="s">
        <v>9</v>
      </c>
      <c r="G199" t="s">
        <v>11</v>
      </c>
      <c r="H199">
        <v>43</v>
      </c>
      <c r="I199">
        <v>35</v>
      </c>
      <c r="J199">
        <v>4.34</v>
      </c>
      <c r="K199">
        <v>4.34</v>
      </c>
      <c r="L199">
        <f t="shared" ref="L199:N199" si="110">L198</f>
        <v>0.95</v>
      </c>
      <c r="M199">
        <f t="shared" si="110"/>
        <v>0.56999999999999995</v>
      </c>
      <c r="N199">
        <f t="shared" si="110"/>
        <v>0.13</v>
      </c>
      <c r="O199" s="21">
        <f t="shared" si="108"/>
        <v>2.8933333333333331</v>
      </c>
      <c r="P199" s="21">
        <f t="shared" si="109"/>
        <v>1.9288888888888889</v>
      </c>
      <c r="Q199" s="23">
        <f t="shared" si="104"/>
        <v>2.8933333333333331</v>
      </c>
      <c r="R199" s="23" t="str">
        <f t="shared" si="105"/>
        <v/>
      </c>
      <c r="T199" t="str">
        <f t="shared" si="106"/>
        <v/>
      </c>
    </row>
    <row r="200" spans="1:20" x14ac:dyDescent="0.2">
      <c r="A200">
        <v>199</v>
      </c>
      <c r="B200" t="s">
        <v>115</v>
      </c>
      <c r="C200" t="s">
        <v>340</v>
      </c>
      <c r="D200" t="s">
        <v>0</v>
      </c>
      <c r="E200" t="s">
        <v>9</v>
      </c>
      <c r="G200" t="s">
        <v>12</v>
      </c>
      <c r="H200">
        <v>33</v>
      </c>
      <c r="I200">
        <v>33</v>
      </c>
      <c r="J200">
        <v>2.7</v>
      </c>
      <c r="K200">
        <v>3.31</v>
      </c>
      <c r="L200">
        <v>0.72</v>
      </c>
      <c r="M200">
        <v>0.42699999999999999</v>
      </c>
      <c r="N200">
        <v>7.0999999999999994E-2</v>
      </c>
      <c r="O200" s="21">
        <f t="shared" si="108"/>
        <v>2.1811265432098765</v>
      </c>
      <c r="P200" s="21">
        <f t="shared" si="109"/>
        <v>1.1861111111111111</v>
      </c>
      <c r="Q200" s="23" t="str">
        <f t="shared" si="104"/>
        <v/>
      </c>
      <c r="R200" s="23">
        <f t="shared" si="105"/>
        <v>2.1811265432098765</v>
      </c>
      <c r="T200" t="str">
        <f t="shared" si="106"/>
        <v/>
      </c>
    </row>
    <row r="201" spans="1:20" x14ac:dyDescent="0.2">
      <c r="A201">
        <v>200</v>
      </c>
      <c r="B201" t="s">
        <v>115</v>
      </c>
      <c r="C201" t="s">
        <v>340</v>
      </c>
      <c r="D201" t="s">
        <v>0</v>
      </c>
      <c r="E201" t="s">
        <v>9</v>
      </c>
      <c r="G201" t="s">
        <v>14</v>
      </c>
      <c r="H201">
        <v>31</v>
      </c>
      <c r="I201">
        <v>31</v>
      </c>
      <c r="J201">
        <v>3.29</v>
      </c>
      <c r="K201">
        <v>3.42</v>
      </c>
      <c r="L201">
        <f>L200</f>
        <v>0.72</v>
      </c>
      <c r="M201">
        <f t="shared" ref="M201:N201" si="111">M200</f>
        <v>0.42699999999999999</v>
      </c>
      <c r="N201">
        <f t="shared" si="111"/>
        <v>7.0999999999999994E-2</v>
      </c>
      <c r="O201" s="21">
        <f t="shared" si="108"/>
        <v>2.2536111111111112</v>
      </c>
      <c r="P201" s="21">
        <f t="shared" si="109"/>
        <v>1.4452983539094648</v>
      </c>
      <c r="Q201" s="23" t="str">
        <f t="shared" si="104"/>
        <v/>
      </c>
      <c r="R201" s="23">
        <f t="shared" si="105"/>
        <v>2.2536111111111112</v>
      </c>
      <c r="T201" t="str">
        <f t="shared" si="106"/>
        <v/>
      </c>
    </row>
    <row r="202" spans="1:20" x14ac:dyDescent="0.2">
      <c r="A202">
        <v>201</v>
      </c>
      <c r="B202" s="15" t="s">
        <v>116</v>
      </c>
      <c r="C202" t="s">
        <v>116</v>
      </c>
      <c r="D202" s="15" t="s">
        <v>0</v>
      </c>
      <c r="E202" s="15" t="s">
        <v>9</v>
      </c>
      <c r="F202" s="15"/>
      <c r="G202" s="15" t="s">
        <v>10</v>
      </c>
      <c r="H202" s="15">
        <v>44</v>
      </c>
      <c r="I202" s="15">
        <v>46</v>
      </c>
      <c r="J202" s="15">
        <v>13.5</v>
      </c>
      <c r="K202" s="15">
        <v>11.1</v>
      </c>
      <c r="L202" s="15">
        <v>1.26</v>
      </c>
      <c r="M202" s="15"/>
      <c r="N202" s="15"/>
      <c r="O202" s="21">
        <f t="shared" ref="O202:O205" si="112">K202*(0.55/0.964)*(10/9)</f>
        <v>7.0366528354080229</v>
      </c>
      <c r="P202" s="21">
        <f t="shared" ref="P202:P205" si="113">J202*(0.55/(0.964*1.5))*(10/9)</f>
        <v>5.7053941908713703</v>
      </c>
      <c r="Q202" s="23">
        <f t="shared" si="104"/>
        <v>7.0366528354080229</v>
      </c>
      <c r="R202" s="23" t="str">
        <f t="shared" si="105"/>
        <v/>
      </c>
      <c r="T202" t="str">
        <f t="shared" si="106"/>
        <v/>
      </c>
    </row>
    <row r="203" spans="1:20" x14ac:dyDescent="0.2">
      <c r="A203">
        <v>202</v>
      </c>
      <c r="B203" s="15" t="s">
        <v>116</v>
      </c>
      <c r="C203" t="s">
        <v>116</v>
      </c>
      <c r="D203" s="15" t="s">
        <v>0</v>
      </c>
      <c r="E203" s="15" t="s">
        <v>9</v>
      </c>
      <c r="F203" s="15"/>
      <c r="G203" s="15" t="s">
        <v>11</v>
      </c>
      <c r="H203" s="15">
        <v>45</v>
      </c>
      <c r="I203" s="15">
        <v>50</v>
      </c>
      <c r="J203" s="1">
        <v>16.010000000000002</v>
      </c>
      <c r="K203" s="15">
        <v>10.7</v>
      </c>
      <c r="L203" s="15">
        <f>L202</f>
        <v>1.26</v>
      </c>
      <c r="M203" s="15"/>
      <c r="N203" s="15"/>
      <c r="O203" s="21">
        <f t="shared" si="112"/>
        <v>6.7830797602581843</v>
      </c>
      <c r="P203" s="21">
        <f t="shared" si="113"/>
        <v>6.7661748885815296</v>
      </c>
      <c r="Q203" s="23">
        <f t="shared" si="104"/>
        <v>6.7830797602581843</v>
      </c>
      <c r="R203" s="23" t="str">
        <f t="shared" si="105"/>
        <v/>
      </c>
      <c r="T203" t="str">
        <f t="shared" si="106"/>
        <v/>
      </c>
    </row>
    <row r="204" spans="1:20" x14ac:dyDescent="0.2">
      <c r="A204">
        <v>203</v>
      </c>
      <c r="B204" s="15" t="s">
        <v>116</v>
      </c>
      <c r="C204" t="s">
        <v>116</v>
      </c>
      <c r="D204" s="15" t="s">
        <v>0</v>
      </c>
      <c r="E204" s="15" t="s">
        <v>9</v>
      </c>
      <c r="F204" s="15"/>
      <c r="G204" s="15" t="s">
        <v>12</v>
      </c>
      <c r="H204" s="15">
        <v>31</v>
      </c>
      <c r="I204" s="15">
        <v>33</v>
      </c>
      <c r="J204" s="15">
        <v>7.95</v>
      </c>
      <c r="K204" s="15">
        <v>4.7</v>
      </c>
      <c r="L204" s="15">
        <v>0.65</v>
      </c>
      <c r="M204" s="15"/>
      <c r="N204" s="15"/>
      <c r="O204" s="21">
        <f t="shared" si="112"/>
        <v>2.9794836330106049</v>
      </c>
      <c r="P204" s="21">
        <f t="shared" si="113"/>
        <v>3.3598432457353624</v>
      </c>
      <c r="Q204" s="23" t="str">
        <f t="shared" si="104"/>
        <v/>
      </c>
      <c r="R204" s="23">
        <f t="shared" si="105"/>
        <v>2.9794836330106049</v>
      </c>
      <c r="T204" t="str">
        <f t="shared" si="106"/>
        <v/>
      </c>
    </row>
    <row r="205" spans="1:20" x14ac:dyDescent="0.2">
      <c r="A205">
        <v>204</v>
      </c>
      <c r="B205" s="15" t="s">
        <v>116</v>
      </c>
      <c r="C205" t="s">
        <v>116</v>
      </c>
      <c r="D205" s="15" t="s">
        <v>0</v>
      </c>
      <c r="E205" s="15" t="s">
        <v>9</v>
      </c>
      <c r="F205" s="15"/>
      <c r="G205" s="15" t="s">
        <v>14</v>
      </c>
      <c r="H205" s="15">
        <v>30</v>
      </c>
      <c r="I205" s="15">
        <v>31</v>
      </c>
      <c r="J205" s="15">
        <v>9.5</v>
      </c>
      <c r="K205" s="15">
        <v>7.9</v>
      </c>
      <c r="L205" s="15">
        <f t="shared" ref="L205" si="114">L204</f>
        <v>0.65</v>
      </c>
      <c r="M205" s="15"/>
      <c r="N205" s="15"/>
      <c r="O205" s="21">
        <f t="shared" si="112"/>
        <v>5.0080682342093139</v>
      </c>
      <c r="P205" s="21">
        <f t="shared" si="113"/>
        <v>4.0149070232057795</v>
      </c>
      <c r="Q205" s="23" t="str">
        <f t="shared" si="104"/>
        <v/>
      </c>
      <c r="R205" s="23">
        <f t="shared" si="105"/>
        <v>5.0080682342093139</v>
      </c>
      <c r="T205" t="str">
        <f t="shared" si="106"/>
        <v/>
      </c>
    </row>
    <row r="206" spans="1:20" x14ac:dyDescent="0.2">
      <c r="A206">
        <v>205</v>
      </c>
      <c r="B206" t="s">
        <v>117</v>
      </c>
      <c r="C206" t="s">
        <v>117</v>
      </c>
      <c r="D206" t="s">
        <v>4</v>
      </c>
      <c r="E206" t="s">
        <v>9</v>
      </c>
      <c r="G206" t="s">
        <v>10</v>
      </c>
      <c r="H206">
        <v>14</v>
      </c>
      <c r="I206">
        <v>12</v>
      </c>
      <c r="J206">
        <v>1.61</v>
      </c>
      <c r="K206">
        <v>1.52</v>
      </c>
      <c r="L206">
        <v>0.85</v>
      </c>
      <c r="M206">
        <v>0.49099999999999999</v>
      </c>
      <c r="N206">
        <v>9.9000000000000005E-2</v>
      </c>
      <c r="O206" s="21">
        <f t="shared" si="108"/>
        <v>0.97558169934640526</v>
      </c>
      <c r="P206" s="21">
        <f t="shared" si="109"/>
        <v>0.68889760348583895</v>
      </c>
      <c r="Q206" s="23">
        <f t="shared" si="104"/>
        <v>0.97558169934640526</v>
      </c>
      <c r="R206" s="23" t="str">
        <f t="shared" si="105"/>
        <v/>
      </c>
      <c r="S206">
        <v>7</v>
      </c>
      <c r="T206" t="str">
        <f t="shared" si="106"/>
        <v/>
      </c>
    </row>
    <row r="207" spans="1:20" x14ac:dyDescent="0.2">
      <c r="A207">
        <v>206</v>
      </c>
      <c r="B207" t="s">
        <v>117</v>
      </c>
      <c r="C207" t="s">
        <v>117</v>
      </c>
      <c r="D207" t="s">
        <v>4</v>
      </c>
      <c r="E207" t="s">
        <v>9</v>
      </c>
      <c r="G207" t="s">
        <v>11</v>
      </c>
      <c r="H207">
        <v>13</v>
      </c>
      <c r="I207">
        <v>12</v>
      </c>
      <c r="J207">
        <v>1.59</v>
      </c>
      <c r="K207">
        <v>1.49</v>
      </c>
      <c r="L207">
        <f t="shared" ref="L207:N207" si="115">L206</f>
        <v>0.85</v>
      </c>
      <c r="M207">
        <f t="shared" si="115"/>
        <v>0.49099999999999999</v>
      </c>
      <c r="N207">
        <f t="shared" si="115"/>
        <v>9.9000000000000005E-2</v>
      </c>
      <c r="O207" s="21">
        <f t="shared" si="108"/>
        <v>0.95632679738562099</v>
      </c>
      <c r="P207" s="21">
        <f t="shared" si="109"/>
        <v>0.68033986928104584</v>
      </c>
      <c r="Q207" s="23">
        <f t="shared" si="104"/>
        <v>0.95632679738562099</v>
      </c>
      <c r="R207" s="23" t="str">
        <f t="shared" si="105"/>
        <v/>
      </c>
      <c r="T207" t="str">
        <f t="shared" si="106"/>
        <v/>
      </c>
    </row>
    <row r="208" spans="1:20" x14ac:dyDescent="0.2">
      <c r="A208">
        <v>207</v>
      </c>
      <c r="B208" t="s">
        <v>117</v>
      </c>
      <c r="C208" t="s">
        <v>117</v>
      </c>
      <c r="D208" t="s">
        <v>4</v>
      </c>
      <c r="E208" t="s">
        <v>9</v>
      </c>
      <c r="G208" t="s">
        <v>12</v>
      </c>
      <c r="H208">
        <v>13</v>
      </c>
      <c r="I208">
        <v>14</v>
      </c>
      <c r="J208">
        <v>1.03</v>
      </c>
      <c r="K208">
        <v>1.46</v>
      </c>
      <c r="L208">
        <v>0.6</v>
      </c>
      <c r="M208">
        <v>0.55700000000000005</v>
      </c>
      <c r="N208">
        <v>7.5999999999999998E-2</v>
      </c>
      <c r="O208" s="21">
        <f t="shared" si="108"/>
        <v>1.5059629629629632</v>
      </c>
      <c r="P208" s="21">
        <f t="shared" si="109"/>
        <v>0.70828395061728422</v>
      </c>
      <c r="Q208" s="23" t="str">
        <f t="shared" si="104"/>
        <v/>
      </c>
      <c r="R208" s="23">
        <f t="shared" si="105"/>
        <v>1.5059629629629632</v>
      </c>
      <c r="T208" t="str">
        <f t="shared" si="106"/>
        <v/>
      </c>
    </row>
    <row r="209" spans="1:20" x14ac:dyDescent="0.2">
      <c r="A209">
        <v>208</v>
      </c>
      <c r="B209" t="s">
        <v>117</v>
      </c>
      <c r="C209" t="s">
        <v>117</v>
      </c>
      <c r="D209" t="s">
        <v>4</v>
      </c>
      <c r="E209" t="s">
        <v>9</v>
      </c>
      <c r="G209" t="s">
        <v>14</v>
      </c>
      <c r="H209">
        <v>14</v>
      </c>
      <c r="I209">
        <v>14</v>
      </c>
      <c r="J209">
        <v>1.5</v>
      </c>
      <c r="K209">
        <v>1.5</v>
      </c>
      <c r="L209">
        <f t="shared" ref="L209:N209" si="116">L208</f>
        <v>0.6</v>
      </c>
      <c r="M209">
        <f t="shared" si="116"/>
        <v>0.55700000000000005</v>
      </c>
      <c r="N209">
        <f t="shared" si="116"/>
        <v>7.5999999999999998E-2</v>
      </c>
      <c r="O209" s="21">
        <f t="shared" si="108"/>
        <v>1.5472222222222223</v>
      </c>
      <c r="P209" s="21">
        <f t="shared" si="109"/>
        <v>1.0314814814814819</v>
      </c>
      <c r="Q209" s="23" t="str">
        <f t="shared" si="104"/>
        <v/>
      </c>
      <c r="R209" s="23">
        <f t="shared" si="105"/>
        <v>1.5472222222222223</v>
      </c>
      <c r="T209" t="str">
        <f t="shared" si="106"/>
        <v/>
      </c>
    </row>
    <row r="210" spans="1:20" x14ac:dyDescent="0.2">
      <c r="A210">
        <v>209</v>
      </c>
      <c r="B210" t="s">
        <v>118</v>
      </c>
      <c r="C210" t="s">
        <v>418</v>
      </c>
      <c r="D210" t="s">
        <v>4</v>
      </c>
      <c r="E210" t="s">
        <v>9</v>
      </c>
      <c r="G210" t="s">
        <v>10</v>
      </c>
      <c r="H210">
        <v>14</v>
      </c>
      <c r="I210">
        <v>14</v>
      </c>
      <c r="J210">
        <v>3.68</v>
      </c>
      <c r="K210">
        <v>2.69</v>
      </c>
      <c r="L210">
        <v>0.92</v>
      </c>
      <c r="M210">
        <v>0.41699999999999998</v>
      </c>
      <c r="N210">
        <v>9.9000000000000005E-2</v>
      </c>
      <c r="O210" s="21">
        <f t="shared" si="108"/>
        <v>1.3547463768115942</v>
      </c>
      <c r="P210" s="21">
        <f t="shared" si="109"/>
        <v>1.2355555555555555</v>
      </c>
      <c r="Q210" s="23">
        <f t="shared" si="104"/>
        <v>1.3547463768115942</v>
      </c>
      <c r="R210" s="23" t="str">
        <f t="shared" si="105"/>
        <v/>
      </c>
      <c r="T210" t="str">
        <f t="shared" si="106"/>
        <v/>
      </c>
    </row>
    <row r="211" spans="1:20" x14ac:dyDescent="0.2">
      <c r="A211">
        <v>210</v>
      </c>
      <c r="B211" t="s">
        <v>118</v>
      </c>
      <c r="C211" t="s">
        <v>418</v>
      </c>
      <c r="D211" t="s">
        <v>4</v>
      </c>
      <c r="E211" t="s">
        <v>9</v>
      </c>
      <c r="G211" t="s">
        <v>11</v>
      </c>
      <c r="H211">
        <v>14</v>
      </c>
      <c r="I211">
        <v>14</v>
      </c>
      <c r="J211">
        <v>2.35</v>
      </c>
      <c r="K211">
        <v>2.6</v>
      </c>
      <c r="L211">
        <f t="shared" ref="L211:N211" si="117">L210</f>
        <v>0.92</v>
      </c>
      <c r="M211">
        <f t="shared" si="117"/>
        <v>0.41699999999999998</v>
      </c>
      <c r="N211">
        <f t="shared" si="117"/>
        <v>9.9000000000000005E-2</v>
      </c>
      <c r="O211" s="21">
        <f t="shared" si="108"/>
        <v>1.3094202898550724</v>
      </c>
      <c r="P211" s="21">
        <f t="shared" si="109"/>
        <v>0.78900966183574883</v>
      </c>
      <c r="Q211" s="23">
        <f t="shared" si="104"/>
        <v>1.3094202898550724</v>
      </c>
      <c r="R211" s="23" t="str">
        <f t="shared" si="105"/>
        <v/>
      </c>
      <c r="T211" t="str">
        <f t="shared" si="106"/>
        <v/>
      </c>
    </row>
    <row r="212" spans="1:20" x14ac:dyDescent="0.2">
      <c r="A212">
        <v>211</v>
      </c>
      <c r="B212" t="s">
        <v>118</v>
      </c>
      <c r="C212" t="s">
        <v>418</v>
      </c>
      <c r="D212" t="s">
        <v>4</v>
      </c>
      <c r="E212" t="s">
        <v>9</v>
      </c>
      <c r="G212" t="s">
        <v>12</v>
      </c>
      <c r="H212">
        <v>11</v>
      </c>
      <c r="I212">
        <v>10</v>
      </c>
      <c r="J212">
        <v>2.66</v>
      </c>
      <c r="K212">
        <v>1.78</v>
      </c>
      <c r="L212">
        <v>0.91</v>
      </c>
      <c r="M212">
        <v>0.253</v>
      </c>
      <c r="N212">
        <v>8.4000000000000005E-2</v>
      </c>
      <c r="O212" s="21">
        <f t="shared" si="108"/>
        <v>0.54986568986568995</v>
      </c>
      <c r="P212" s="21">
        <f t="shared" si="109"/>
        <v>0.54780626780626784</v>
      </c>
      <c r="Q212" s="23" t="str">
        <f t="shared" si="104"/>
        <v/>
      </c>
      <c r="R212" s="23">
        <f t="shared" si="105"/>
        <v>0.54986568986568995</v>
      </c>
      <c r="T212" t="str">
        <f t="shared" si="106"/>
        <v/>
      </c>
    </row>
    <row r="213" spans="1:20" x14ac:dyDescent="0.2">
      <c r="A213">
        <v>212</v>
      </c>
      <c r="B213" t="s">
        <v>118</v>
      </c>
      <c r="C213" t="s">
        <v>418</v>
      </c>
      <c r="D213" t="s">
        <v>4</v>
      </c>
      <c r="E213" t="s">
        <v>9</v>
      </c>
      <c r="G213" t="s">
        <v>14</v>
      </c>
      <c r="H213">
        <v>17</v>
      </c>
      <c r="I213">
        <v>17</v>
      </c>
      <c r="J213">
        <v>2.95</v>
      </c>
      <c r="K213">
        <v>2.44</v>
      </c>
      <c r="L213">
        <f t="shared" ref="L213:N213" si="118">L212</f>
        <v>0.91</v>
      </c>
      <c r="M213">
        <f t="shared" si="118"/>
        <v>0.253</v>
      </c>
      <c r="N213">
        <f t="shared" si="118"/>
        <v>8.4000000000000005E-2</v>
      </c>
      <c r="O213" s="21">
        <f t="shared" si="108"/>
        <v>0.75374847374847387</v>
      </c>
      <c r="P213" s="21">
        <f t="shared" si="109"/>
        <v>0.60752950752950752</v>
      </c>
      <c r="Q213" s="23" t="str">
        <f t="shared" si="104"/>
        <v/>
      </c>
      <c r="R213" s="23">
        <f t="shared" si="105"/>
        <v>0.75374847374847387</v>
      </c>
      <c r="T213" t="str">
        <f t="shared" si="106"/>
        <v/>
      </c>
    </row>
    <row r="214" spans="1:20" x14ac:dyDescent="0.2">
      <c r="A214">
        <v>213</v>
      </c>
      <c r="B214" t="s">
        <v>119</v>
      </c>
      <c r="C214" t="s">
        <v>119</v>
      </c>
      <c r="D214" t="s">
        <v>4</v>
      </c>
      <c r="E214" t="s">
        <v>9</v>
      </c>
      <c r="G214" t="s">
        <v>10</v>
      </c>
      <c r="H214">
        <v>28</v>
      </c>
      <c r="I214">
        <v>29</v>
      </c>
      <c r="J214">
        <v>3.96</v>
      </c>
      <c r="K214">
        <v>4.5599999999999996</v>
      </c>
      <c r="L214">
        <v>0.76</v>
      </c>
      <c r="M214">
        <v>0.46</v>
      </c>
      <c r="N214">
        <v>9.7000000000000003E-2</v>
      </c>
      <c r="O214" s="21">
        <f t="shared" si="108"/>
        <v>3.0666666666666664</v>
      </c>
      <c r="P214" s="21">
        <f t="shared" si="109"/>
        <v>1.775438596491228</v>
      </c>
      <c r="Q214" s="23">
        <f t="shared" si="104"/>
        <v>3.0666666666666664</v>
      </c>
      <c r="R214" s="23" t="str">
        <f t="shared" si="105"/>
        <v/>
      </c>
      <c r="T214" t="str">
        <f t="shared" si="106"/>
        <v/>
      </c>
    </row>
    <row r="215" spans="1:20" x14ac:dyDescent="0.2">
      <c r="A215">
        <v>214</v>
      </c>
      <c r="B215" t="s">
        <v>119</v>
      </c>
      <c r="C215" t="s">
        <v>119</v>
      </c>
      <c r="D215" t="s">
        <v>4</v>
      </c>
      <c r="E215" t="s">
        <v>9</v>
      </c>
      <c r="G215" t="s">
        <v>11</v>
      </c>
      <c r="H215">
        <v>33</v>
      </c>
      <c r="I215">
        <v>28</v>
      </c>
      <c r="J215">
        <v>7.65</v>
      </c>
      <c r="K215">
        <v>6.95</v>
      </c>
      <c r="L215">
        <f t="shared" ref="L215:N215" si="119">L214</f>
        <v>0.76</v>
      </c>
      <c r="M215">
        <f t="shared" si="119"/>
        <v>0.46</v>
      </c>
      <c r="N215">
        <f t="shared" si="119"/>
        <v>9.7000000000000003E-2</v>
      </c>
      <c r="O215" s="21">
        <f t="shared" si="108"/>
        <v>4.673976608187135</v>
      </c>
      <c r="P215" s="21">
        <f t="shared" si="109"/>
        <v>3.429824561403509</v>
      </c>
      <c r="Q215" s="23">
        <f t="shared" si="104"/>
        <v>4.673976608187135</v>
      </c>
      <c r="R215" s="23" t="str">
        <f t="shared" si="105"/>
        <v/>
      </c>
      <c r="T215" t="str">
        <f t="shared" si="106"/>
        <v/>
      </c>
    </row>
    <row r="216" spans="1:20" x14ac:dyDescent="0.2">
      <c r="A216">
        <v>215</v>
      </c>
      <c r="B216" t="s">
        <v>119</v>
      </c>
      <c r="C216" t="s">
        <v>119</v>
      </c>
      <c r="D216" t="s">
        <v>4</v>
      </c>
      <c r="E216" t="s">
        <v>9</v>
      </c>
      <c r="G216" t="s">
        <v>12</v>
      </c>
      <c r="H216">
        <v>18</v>
      </c>
      <c r="I216">
        <v>25</v>
      </c>
      <c r="J216">
        <v>1.76</v>
      </c>
      <c r="K216">
        <v>2.9</v>
      </c>
      <c r="L216">
        <v>0.65</v>
      </c>
      <c r="M216">
        <v>0.41399999999999998</v>
      </c>
      <c r="N216">
        <v>8.4000000000000005E-2</v>
      </c>
      <c r="O216" s="21">
        <f t="shared" si="108"/>
        <v>2.0523076923076919</v>
      </c>
      <c r="P216" s="21">
        <f t="shared" si="109"/>
        <v>0.83035897435897432</v>
      </c>
      <c r="Q216" s="23" t="str">
        <f t="shared" si="104"/>
        <v/>
      </c>
      <c r="R216" s="23">
        <f t="shared" si="105"/>
        <v>2.0523076923076919</v>
      </c>
      <c r="T216" t="str">
        <f t="shared" si="106"/>
        <v/>
      </c>
    </row>
    <row r="217" spans="1:20" x14ac:dyDescent="0.2">
      <c r="A217">
        <v>216</v>
      </c>
      <c r="B217" t="s">
        <v>119</v>
      </c>
      <c r="C217" t="s">
        <v>119</v>
      </c>
      <c r="D217" t="s">
        <v>4</v>
      </c>
      <c r="E217" t="s">
        <v>9</v>
      </c>
      <c r="G217" t="s">
        <v>14</v>
      </c>
      <c r="H217">
        <v>14</v>
      </c>
      <c r="I217">
        <v>16</v>
      </c>
      <c r="J217">
        <v>1.73</v>
      </c>
      <c r="K217">
        <v>2.12</v>
      </c>
      <c r="L217">
        <f t="shared" ref="L217:N217" si="120">L216</f>
        <v>0.65</v>
      </c>
      <c r="M217">
        <f t="shared" si="120"/>
        <v>0.41399999999999998</v>
      </c>
      <c r="N217">
        <f t="shared" si="120"/>
        <v>8.4000000000000005E-2</v>
      </c>
      <c r="O217" s="21">
        <f t="shared" si="108"/>
        <v>1.5003076923076921</v>
      </c>
      <c r="P217" s="21">
        <f t="shared" si="109"/>
        <v>0.81620512820512814</v>
      </c>
      <c r="Q217" s="23" t="str">
        <f t="shared" si="104"/>
        <v/>
      </c>
      <c r="R217" s="23">
        <f t="shared" si="105"/>
        <v>1.5003076923076921</v>
      </c>
      <c r="T217" t="str">
        <f t="shared" si="106"/>
        <v/>
      </c>
    </row>
    <row r="218" spans="1:20" x14ac:dyDescent="0.2">
      <c r="A218">
        <v>217</v>
      </c>
      <c r="B218" t="s">
        <v>120</v>
      </c>
      <c r="C218" t="s">
        <v>341</v>
      </c>
      <c r="D218" t="s">
        <v>4</v>
      </c>
      <c r="E218" t="s">
        <v>9</v>
      </c>
      <c r="G218" t="s">
        <v>10</v>
      </c>
      <c r="H218">
        <v>16</v>
      </c>
      <c r="I218">
        <v>12</v>
      </c>
      <c r="J218">
        <v>3.22</v>
      </c>
      <c r="K218">
        <v>3.14</v>
      </c>
      <c r="L218">
        <v>1.54</v>
      </c>
      <c r="M218" s="4">
        <v>0.65300000000000002</v>
      </c>
      <c r="N218" s="4">
        <v>0.122</v>
      </c>
      <c r="O218" s="21">
        <f t="shared" si="108"/>
        <v>1.4793795093795095</v>
      </c>
      <c r="P218" s="21">
        <f t="shared" si="109"/>
        <v>1.0113804713804717</v>
      </c>
      <c r="Q218" s="23">
        <f t="shared" si="104"/>
        <v>1.4793795093795095</v>
      </c>
      <c r="R218" s="23" t="str">
        <f t="shared" si="105"/>
        <v/>
      </c>
      <c r="T218" t="str">
        <f t="shared" si="106"/>
        <v/>
      </c>
    </row>
    <row r="219" spans="1:20" x14ac:dyDescent="0.2">
      <c r="A219">
        <v>218</v>
      </c>
      <c r="B219" t="s">
        <v>120</v>
      </c>
      <c r="C219" t="s">
        <v>341</v>
      </c>
      <c r="D219" t="s">
        <v>4</v>
      </c>
      <c r="E219" t="s">
        <v>9</v>
      </c>
      <c r="G219" t="s">
        <v>11</v>
      </c>
      <c r="H219">
        <v>13</v>
      </c>
      <c r="I219">
        <v>17</v>
      </c>
      <c r="J219">
        <v>5.66</v>
      </c>
      <c r="K219">
        <v>3.94</v>
      </c>
      <c r="L219">
        <f t="shared" ref="L219:N219" si="121">L218</f>
        <v>1.54</v>
      </c>
      <c r="M219">
        <f t="shared" si="121"/>
        <v>0.65300000000000002</v>
      </c>
      <c r="N219">
        <f t="shared" si="121"/>
        <v>0.122</v>
      </c>
      <c r="O219" s="21">
        <f t="shared" si="108"/>
        <v>1.8562914862914865</v>
      </c>
      <c r="P219" s="21">
        <f t="shared" si="109"/>
        <v>1.7777681577681579</v>
      </c>
      <c r="Q219" s="23">
        <f t="shared" si="104"/>
        <v>1.8562914862914865</v>
      </c>
      <c r="R219" s="23" t="str">
        <f t="shared" si="105"/>
        <v/>
      </c>
      <c r="T219" t="str">
        <f t="shared" si="106"/>
        <v/>
      </c>
    </row>
    <row r="220" spans="1:20" x14ac:dyDescent="0.2">
      <c r="A220">
        <v>219</v>
      </c>
      <c r="B220" t="s">
        <v>120</v>
      </c>
      <c r="C220" t="s">
        <v>341</v>
      </c>
      <c r="D220" t="s">
        <v>4</v>
      </c>
      <c r="E220" t="s">
        <v>9</v>
      </c>
      <c r="G220" t="s">
        <v>12</v>
      </c>
      <c r="H220">
        <v>20</v>
      </c>
      <c r="I220">
        <v>16</v>
      </c>
      <c r="J220">
        <v>0.8</v>
      </c>
      <c r="K220">
        <v>0.84</v>
      </c>
      <c r="L220">
        <v>0.25</v>
      </c>
      <c r="M220">
        <v>0.157</v>
      </c>
      <c r="N220">
        <v>4.2000000000000003E-2</v>
      </c>
      <c r="O220" s="21">
        <f t="shared" si="108"/>
        <v>0.5861333333333334</v>
      </c>
      <c r="P220" s="21">
        <f t="shared" si="109"/>
        <v>0.37214814814814817</v>
      </c>
      <c r="Q220" s="23" t="str">
        <f t="shared" si="104"/>
        <v/>
      </c>
      <c r="R220" s="23">
        <f t="shared" si="105"/>
        <v>0.5861333333333334</v>
      </c>
      <c r="T220" t="str">
        <f t="shared" si="106"/>
        <v/>
      </c>
    </row>
    <row r="221" spans="1:20" x14ac:dyDescent="0.2">
      <c r="A221">
        <v>220</v>
      </c>
      <c r="B221" t="s">
        <v>120</v>
      </c>
      <c r="C221" t="s">
        <v>341</v>
      </c>
      <c r="D221" t="s">
        <v>4</v>
      </c>
      <c r="E221" t="s">
        <v>9</v>
      </c>
      <c r="G221" t="s">
        <v>14</v>
      </c>
      <c r="H221">
        <v>26</v>
      </c>
      <c r="I221">
        <v>23</v>
      </c>
      <c r="J221">
        <v>1.34</v>
      </c>
      <c r="K221">
        <v>0.94</v>
      </c>
      <c r="L221">
        <f t="shared" ref="L221:N221" si="122">L220</f>
        <v>0.25</v>
      </c>
      <c r="M221">
        <f t="shared" si="122"/>
        <v>0.157</v>
      </c>
      <c r="N221">
        <f t="shared" si="122"/>
        <v>4.2000000000000003E-2</v>
      </c>
      <c r="O221" s="21">
        <f t="shared" si="108"/>
        <v>0.65591111111111111</v>
      </c>
      <c r="P221" s="21">
        <f t="shared" si="109"/>
        <v>0.62334814814814821</v>
      </c>
      <c r="Q221" s="23" t="str">
        <f t="shared" si="104"/>
        <v/>
      </c>
      <c r="R221" s="23">
        <f t="shared" si="105"/>
        <v>0.65591111111111111</v>
      </c>
      <c r="T221" t="str">
        <f t="shared" si="106"/>
        <v/>
      </c>
    </row>
    <row r="222" spans="1:20" x14ac:dyDescent="0.2">
      <c r="A222">
        <v>221</v>
      </c>
      <c r="B222" t="s">
        <v>121</v>
      </c>
      <c r="C222" t="s">
        <v>121</v>
      </c>
      <c r="D222" t="s">
        <v>4</v>
      </c>
      <c r="E222" t="s">
        <v>9</v>
      </c>
      <c r="G222" t="s">
        <v>10</v>
      </c>
      <c r="H222">
        <v>25</v>
      </c>
      <c r="I222">
        <v>22</v>
      </c>
      <c r="J222">
        <v>3.18</v>
      </c>
      <c r="K222">
        <v>3.01</v>
      </c>
      <c r="L222">
        <v>0.99</v>
      </c>
      <c r="M222">
        <v>0.57899999999999996</v>
      </c>
      <c r="N222">
        <v>0.11899999999999999</v>
      </c>
      <c r="O222" s="21">
        <f t="shared" si="108"/>
        <v>1.955993265993266</v>
      </c>
      <c r="P222" s="21">
        <f t="shared" si="109"/>
        <v>1.3776430976430978</v>
      </c>
      <c r="Q222" s="23">
        <f t="shared" si="104"/>
        <v>1.955993265993266</v>
      </c>
      <c r="R222" s="23" t="str">
        <f t="shared" si="105"/>
        <v/>
      </c>
      <c r="T222" t="str">
        <f t="shared" si="106"/>
        <v/>
      </c>
    </row>
    <row r="223" spans="1:20" x14ac:dyDescent="0.2">
      <c r="A223">
        <v>222</v>
      </c>
      <c r="B223" t="s">
        <v>121</v>
      </c>
      <c r="C223" t="s">
        <v>121</v>
      </c>
      <c r="D223" t="s">
        <v>4</v>
      </c>
      <c r="E223" t="s">
        <v>9</v>
      </c>
      <c r="G223" t="s">
        <v>11</v>
      </c>
      <c r="H223">
        <v>30</v>
      </c>
      <c r="I223">
        <v>28</v>
      </c>
      <c r="J223">
        <v>4.1100000000000003</v>
      </c>
      <c r="K223">
        <v>4.2300000000000004</v>
      </c>
      <c r="L223">
        <f t="shared" ref="L223:N223" si="123">L222</f>
        <v>0.99</v>
      </c>
      <c r="M223">
        <f t="shared" si="123"/>
        <v>0.57899999999999996</v>
      </c>
      <c r="N223">
        <f t="shared" si="123"/>
        <v>0.11899999999999999</v>
      </c>
      <c r="O223" s="21">
        <f t="shared" si="108"/>
        <v>2.7487878787878794</v>
      </c>
      <c r="P223" s="21">
        <f t="shared" si="109"/>
        <v>1.7805387205387209</v>
      </c>
      <c r="Q223" s="23">
        <f t="shared" si="104"/>
        <v>2.7487878787878794</v>
      </c>
      <c r="R223" s="23" t="str">
        <f t="shared" si="105"/>
        <v/>
      </c>
      <c r="T223" t="str">
        <f t="shared" si="106"/>
        <v/>
      </c>
    </row>
    <row r="224" spans="1:20" x14ac:dyDescent="0.2">
      <c r="A224">
        <v>223</v>
      </c>
      <c r="B224" t="s">
        <v>121</v>
      </c>
      <c r="C224" t="s">
        <v>121</v>
      </c>
      <c r="D224" t="s">
        <v>4</v>
      </c>
      <c r="E224" t="s">
        <v>9</v>
      </c>
      <c r="G224" t="s">
        <v>12</v>
      </c>
      <c r="H224">
        <v>29</v>
      </c>
      <c r="I224">
        <v>30</v>
      </c>
      <c r="J224">
        <v>1.59</v>
      </c>
      <c r="K224">
        <v>2.5</v>
      </c>
      <c r="L224" s="2">
        <v>0.26</v>
      </c>
      <c r="M224" s="2">
        <v>0.32100000000000001</v>
      </c>
      <c r="N224" s="2">
        <v>7.0999999999999994E-2</v>
      </c>
      <c r="O224" s="21">
        <f t="shared" si="108"/>
        <v>3.4294871794871797</v>
      </c>
      <c r="P224" s="21">
        <f t="shared" si="109"/>
        <v>1.454102564102564</v>
      </c>
      <c r="Q224" s="23" t="str">
        <f t="shared" si="104"/>
        <v/>
      </c>
      <c r="R224" s="23">
        <f t="shared" si="105"/>
        <v>3.4294871794871797</v>
      </c>
      <c r="T224" t="str">
        <f t="shared" si="106"/>
        <v/>
      </c>
    </row>
    <row r="225" spans="1:20" x14ac:dyDescent="0.2">
      <c r="A225">
        <v>224</v>
      </c>
      <c r="B225" t="s">
        <v>121</v>
      </c>
      <c r="C225" t="s">
        <v>121</v>
      </c>
      <c r="D225" t="s">
        <v>4</v>
      </c>
      <c r="E225" t="s">
        <v>9</v>
      </c>
      <c r="G225" t="s">
        <v>14</v>
      </c>
      <c r="H225">
        <v>22</v>
      </c>
      <c r="I225">
        <v>12</v>
      </c>
      <c r="J225">
        <v>0.81</v>
      </c>
      <c r="K225">
        <v>0.61</v>
      </c>
      <c r="L225">
        <f t="shared" ref="L225:N225" si="124">L224</f>
        <v>0.26</v>
      </c>
      <c r="M225">
        <f t="shared" si="124"/>
        <v>0.32100000000000001</v>
      </c>
      <c r="N225">
        <f t="shared" si="124"/>
        <v>7.0999999999999994E-2</v>
      </c>
      <c r="O225" s="21">
        <f t="shared" si="108"/>
        <v>0.83679487179487189</v>
      </c>
      <c r="P225" s="21">
        <f t="shared" si="109"/>
        <v>0.74076923076923085</v>
      </c>
      <c r="Q225" s="23" t="str">
        <f t="shared" si="104"/>
        <v/>
      </c>
      <c r="R225" s="23">
        <f t="shared" si="105"/>
        <v>0.83679487179487189</v>
      </c>
      <c r="T225" t="str">
        <f t="shared" si="106"/>
        <v/>
      </c>
    </row>
    <row r="226" spans="1:20" x14ac:dyDescent="0.2">
      <c r="A226">
        <v>225</v>
      </c>
      <c r="B226" t="s">
        <v>122</v>
      </c>
      <c r="C226" t="s">
        <v>342</v>
      </c>
      <c r="D226" t="s">
        <v>4</v>
      </c>
      <c r="E226" t="s">
        <v>9</v>
      </c>
      <c r="G226" t="s">
        <v>10</v>
      </c>
      <c r="H226">
        <v>24</v>
      </c>
      <c r="I226">
        <v>35</v>
      </c>
      <c r="J226">
        <v>11.61</v>
      </c>
      <c r="K226">
        <v>7.11</v>
      </c>
      <c r="L226">
        <v>0.98</v>
      </c>
      <c r="M226" s="2">
        <v>0.13300000000000001</v>
      </c>
      <c r="N226" s="2">
        <v>5.8000000000000003E-2</v>
      </c>
      <c r="O226" s="21">
        <f t="shared" si="108"/>
        <v>1.0721428571428573</v>
      </c>
      <c r="P226" s="21">
        <f t="shared" si="109"/>
        <v>1.1671428571428573</v>
      </c>
      <c r="Q226" s="23">
        <f t="shared" si="104"/>
        <v>1.0721428571428573</v>
      </c>
      <c r="R226" s="23" t="str">
        <f t="shared" si="105"/>
        <v/>
      </c>
      <c r="T226" t="str">
        <f t="shared" si="106"/>
        <v/>
      </c>
    </row>
    <row r="227" spans="1:20" x14ac:dyDescent="0.2">
      <c r="A227">
        <v>226</v>
      </c>
      <c r="B227" t="s">
        <v>122</v>
      </c>
      <c r="C227" t="s">
        <v>342</v>
      </c>
      <c r="D227" t="s">
        <v>4</v>
      </c>
      <c r="E227" t="s">
        <v>9</v>
      </c>
      <c r="G227" t="s">
        <v>11</v>
      </c>
      <c r="H227">
        <v>25</v>
      </c>
      <c r="I227">
        <v>28</v>
      </c>
      <c r="J227">
        <v>10.17</v>
      </c>
      <c r="K227">
        <v>7.1</v>
      </c>
      <c r="L227">
        <f t="shared" ref="L227:N227" si="125">L226</f>
        <v>0.98</v>
      </c>
      <c r="M227">
        <f t="shared" si="125"/>
        <v>0.13300000000000001</v>
      </c>
      <c r="N227">
        <f t="shared" si="125"/>
        <v>5.8000000000000003E-2</v>
      </c>
      <c r="O227" s="21">
        <f t="shared" si="108"/>
        <v>1.0706349206349208</v>
      </c>
      <c r="P227" s="21">
        <f t="shared" si="109"/>
        <v>1.0223809523809526</v>
      </c>
      <c r="Q227" s="23">
        <f t="shared" si="104"/>
        <v>1.0706349206349208</v>
      </c>
      <c r="R227" s="23" t="str">
        <f t="shared" si="105"/>
        <v/>
      </c>
      <c r="T227" t="str">
        <f t="shared" si="106"/>
        <v/>
      </c>
    </row>
    <row r="228" spans="1:20" x14ac:dyDescent="0.2">
      <c r="A228">
        <v>227</v>
      </c>
      <c r="B228" t="s">
        <v>122</v>
      </c>
      <c r="C228" t="s">
        <v>342</v>
      </c>
      <c r="D228" t="s">
        <v>4</v>
      </c>
      <c r="E228" t="s">
        <v>9</v>
      </c>
      <c r="G228" t="s">
        <v>12</v>
      </c>
      <c r="H228">
        <v>32</v>
      </c>
      <c r="I228">
        <v>30</v>
      </c>
      <c r="J228">
        <v>3.55</v>
      </c>
      <c r="K228">
        <v>3.55</v>
      </c>
      <c r="L228">
        <v>0.86</v>
      </c>
      <c r="M228">
        <v>0.55200000000000005</v>
      </c>
      <c r="N228">
        <v>0.111</v>
      </c>
      <c r="O228" s="21">
        <f t="shared" si="108"/>
        <v>2.5317829457364343</v>
      </c>
      <c r="P228" s="21">
        <f t="shared" si="109"/>
        <v>1.6878552971576228</v>
      </c>
      <c r="Q228" s="23" t="str">
        <f t="shared" si="104"/>
        <v/>
      </c>
      <c r="R228" s="23">
        <f t="shared" si="105"/>
        <v>2.5317829457364343</v>
      </c>
      <c r="T228" t="str">
        <f t="shared" si="106"/>
        <v/>
      </c>
    </row>
    <row r="229" spans="1:20" x14ac:dyDescent="0.2">
      <c r="A229">
        <v>228</v>
      </c>
      <c r="B229" t="s">
        <v>122</v>
      </c>
      <c r="C229" t="s">
        <v>342</v>
      </c>
      <c r="D229" t="s">
        <v>4</v>
      </c>
      <c r="E229" t="s">
        <v>9</v>
      </c>
      <c r="G229" t="s">
        <v>14</v>
      </c>
      <c r="H229">
        <v>54</v>
      </c>
      <c r="I229">
        <v>46</v>
      </c>
      <c r="J229">
        <v>3.88</v>
      </c>
      <c r="K229">
        <v>5.29</v>
      </c>
      <c r="L229">
        <f t="shared" ref="L229:N229" si="126">L228</f>
        <v>0.86</v>
      </c>
      <c r="M229">
        <f t="shared" si="126"/>
        <v>0.55200000000000005</v>
      </c>
      <c r="N229">
        <f t="shared" si="126"/>
        <v>0.111</v>
      </c>
      <c r="O229" s="21">
        <f t="shared" si="108"/>
        <v>3.7727131782945746</v>
      </c>
      <c r="P229" s="21">
        <f t="shared" si="109"/>
        <v>1.8447545219638246</v>
      </c>
      <c r="Q229" s="23" t="str">
        <f t="shared" si="104"/>
        <v/>
      </c>
      <c r="R229" s="23">
        <f t="shared" si="105"/>
        <v>3.7727131782945746</v>
      </c>
      <c r="T229" t="str">
        <f t="shared" si="106"/>
        <v/>
      </c>
    </row>
    <row r="230" spans="1:20" x14ac:dyDescent="0.2">
      <c r="A230">
        <v>229</v>
      </c>
      <c r="B230" t="s">
        <v>123</v>
      </c>
      <c r="C230" t="s">
        <v>123</v>
      </c>
      <c r="D230" t="s">
        <v>4</v>
      </c>
      <c r="E230" t="s">
        <v>9</v>
      </c>
      <c r="G230" t="s">
        <v>10</v>
      </c>
      <c r="H230">
        <v>13</v>
      </c>
      <c r="I230">
        <v>12</v>
      </c>
      <c r="J230">
        <v>3.2</v>
      </c>
      <c r="K230">
        <v>1.94</v>
      </c>
      <c r="L230">
        <v>1.1000000000000001</v>
      </c>
      <c r="M230">
        <v>0.38900000000000001</v>
      </c>
      <c r="N230">
        <v>6.7000000000000004E-2</v>
      </c>
      <c r="O230" s="21">
        <f t="shared" si="108"/>
        <v>0.76228282828282834</v>
      </c>
      <c r="P230" s="21">
        <f t="shared" si="109"/>
        <v>0.83824915824915835</v>
      </c>
      <c r="Q230" s="23">
        <f t="shared" si="104"/>
        <v>0.76228282828282834</v>
      </c>
      <c r="R230" s="23" t="str">
        <f t="shared" si="105"/>
        <v/>
      </c>
      <c r="T230" t="str">
        <f t="shared" si="106"/>
        <v/>
      </c>
    </row>
    <row r="231" spans="1:20" x14ac:dyDescent="0.2">
      <c r="A231">
        <v>230</v>
      </c>
      <c r="B231" t="s">
        <v>123</v>
      </c>
      <c r="C231" t="s">
        <v>123</v>
      </c>
      <c r="D231" t="s">
        <v>4</v>
      </c>
      <c r="E231" t="s">
        <v>9</v>
      </c>
      <c r="G231" t="s">
        <v>11</v>
      </c>
      <c r="H231">
        <v>26</v>
      </c>
      <c r="I231">
        <v>24</v>
      </c>
      <c r="J231">
        <v>4.5</v>
      </c>
      <c r="K231">
        <v>3.54</v>
      </c>
      <c r="L231">
        <f t="shared" ref="L231:N231" si="127">L230</f>
        <v>1.1000000000000001</v>
      </c>
      <c r="M231">
        <f t="shared" si="127"/>
        <v>0.38900000000000001</v>
      </c>
      <c r="N231">
        <f t="shared" si="127"/>
        <v>6.7000000000000004E-2</v>
      </c>
      <c r="O231" s="21">
        <f t="shared" si="108"/>
        <v>1.390969696969697</v>
      </c>
      <c r="P231" s="21">
        <f t="shared" si="109"/>
        <v>1.1787878787878787</v>
      </c>
      <c r="Q231" s="23">
        <f t="shared" si="104"/>
        <v>1.390969696969697</v>
      </c>
      <c r="R231" s="23" t="str">
        <f t="shared" si="105"/>
        <v/>
      </c>
      <c r="T231" t="str">
        <f t="shared" si="106"/>
        <v/>
      </c>
    </row>
    <row r="232" spans="1:20" x14ac:dyDescent="0.2">
      <c r="A232">
        <v>231</v>
      </c>
      <c r="B232" t="s">
        <v>123</v>
      </c>
      <c r="C232" t="s">
        <v>123</v>
      </c>
      <c r="D232" t="s">
        <v>4</v>
      </c>
      <c r="E232" t="s">
        <v>9</v>
      </c>
      <c r="G232" t="s">
        <v>12</v>
      </c>
      <c r="H232">
        <v>20</v>
      </c>
      <c r="I232">
        <v>14</v>
      </c>
      <c r="J232">
        <v>2.81</v>
      </c>
      <c r="K232">
        <v>1.58</v>
      </c>
      <c r="L232">
        <v>0.38</v>
      </c>
      <c r="M232">
        <v>0.13300000000000001</v>
      </c>
      <c r="N232">
        <v>5.8000000000000003E-2</v>
      </c>
      <c r="O232" s="21">
        <f t="shared" si="108"/>
        <v>0.61444444444444457</v>
      </c>
      <c r="P232" s="21">
        <f t="shared" si="109"/>
        <v>0.72851851851851845</v>
      </c>
      <c r="Q232" s="23" t="str">
        <f t="shared" si="104"/>
        <v/>
      </c>
      <c r="R232" s="23">
        <f t="shared" si="105"/>
        <v>0.61444444444444457</v>
      </c>
      <c r="T232" t="str">
        <f t="shared" si="106"/>
        <v/>
      </c>
    </row>
    <row r="233" spans="1:20" x14ac:dyDescent="0.2">
      <c r="A233">
        <v>232</v>
      </c>
      <c r="B233" t="s">
        <v>123</v>
      </c>
      <c r="C233" t="s">
        <v>123</v>
      </c>
      <c r="D233" t="s">
        <v>4</v>
      </c>
      <c r="E233" t="s">
        <v>9</v>
      </c>
      <c r="G233" t="s">
        <v>14</v>
      </c>
      <c r="H233">
        <v>22</v>
      </c>
      <c r="I233">
        <v>20</v>
      </c>
      <c r="J233">
        <v>3</v>
      </c>
      <c r="K233">
        <v>2.2000000000000002</v>
      </c>
      <c r="L233">
        <f t="shared" ref="L233:N233" si="128">L232</f>
        <v>0.38</v>
      </c>
      <c r="M233">
        <f t="shared" si="128"/>
        <v>0.13300000000000001</v>
      </c>
      <c r="N233">
        <f t="shared" si="128"/>
        <v>5.8000000000000003E-2</v>
      </c>
      <c r="O233" s="21">
        <f t="shared" si="108"/>
        <v>0.85555555555555574</v>
      </c>
      <c r="P233" s="21">
        <f t="shared" si="109"/>
        <v>0.77777777777777779</v>
      </c>
      <c r="Q233" s="23" t="str">
        <f t="shared" si="104"/>
        <v/>
      </c>
      <c r="R233" s="23">
        <f t="shared" si="105"/>
        <v>0.85555555555555574</v>
      </c>
      <c r="T233" t="str">
        <f t="shared" si="106"/>
        <v/>
      </c>
    </row>
    <row r="234" spans="1:20" x14ac:dyDescent="0.2">
      <c r="A234">
        <v>233</v>
      </c>
      <c r="B234" t="s">
        <v>124</v>
      </c>
      <c r="C234" s="28" t="s">
        <v>422</v>
      </c>
      <c r="D234" t="s">
        <v>4</v>
      </c>
      <c r="E234" t="s">
        <v>9</v>
      </c>
      <c r="G234" t="s">
        <v>10</v>
      </c>
      <c r="H234">
        <v>38</v>
      </c>
      <c r="I234">
        <v>38</v>
      </c>
      <c r="J234">
        <v>13.82</v>
      </c>
      <c r="K234">
        <v>7.82</v>
      </c>
      <c r="L234">
        <v>1.24</v>
      </c>
      <c r="M234">
        <v>0.75600000000000001</v>
      </c>
      <c r="N234">
        <v>0.16800000000000001</v>
      </c>
      <c r="O234" s="21">
        <f t="shared" si="108"/>
        <v>5.297419354838711</v>
      </c>
      <c r="P234" s="21">
        <f t="shared" si="109"/>
        <v>6.241290322580646</v>
      </c>
      <c r="Q234" s="23">
        <f t="shared" si="104"/>
        <v>5.297419354838711</v>
      </c>
      <c r="R234" s="23" t="str">
        <f t="shared" si="105"/>
        <v/>
      </c>
      <c r="T234" t="str">
        <f t="shared" si="106"/>
        <v/>
      </c>
    </row>
    <row r="235" spans="1:20" x14ac:dyDescent="0.2">
      <c r="A235">
        <v>234</v>
      </c>
      <c r="B235" t="s">
        <v>124</v>
      </c>
      <c r="C235" s="28" t="s">
        <v>422</v>
      </c>
      <c r="D235" t="s">
        <v>4</v>
      </c>
      <c r="E235" t="s">
        <v>9</v>
      </c>
      <c r="G235" t="s">
        <v>11</v>
      </c>
      <c r="H235">
        <v>33</v>
      </c>
      <c r="I235">
        <v>40</v>
      </c>
      <c r="J235">
        <v>13.77</v>
      </c>
      <c r="K235">
        <v>9.98</v>
      </c>
      <c r="L235">
        <f t="shared" ref="L235:N235" si="129">L234</f>
        <v>1.24</v>
      </c>
      <c r="M235">
        <f t="shared" si="129"/>
        <v>0.75600000000000001</v>
      </c>
      <c r="N235">
        <f t="shared" si="129"/>
        <v>0.16800000000000001</v>
      </c>
      <c r="O235" s="21">
        <f t="shared" si="108"/>
        <v>6.7606451612903244</v>
      </c>
      <c r="P235" s="21">
        <f t="shared" si="109"/>
        <v>6.2187096774193558</v>
      </c>
      <c r="Q235" s="23">
        <f t="shared" si="104"/>
        <v>6.7606451612903244</v>
      </c>
      <c r="R235" s="23" t="str">
        <f t="shared" si="105"/>
        <v/>
      </c>
      <c r="T235" t="str">
        <f t="shared" si="106"/>
        <v/>
      </c>
    </row>
    <row r="236" spans="1:20" x14ac:dyDescent="0.2">
      <c r="A236">
        <v>235</v>
      </c>
      <c r="B236" t="s">
        <v>124</v>
      </c>
      <c r="C236" s="28" t="s">
        <v>422</v>
      </c>
      <c r="D236" t="s">
        <v>4</v>
      </c>
      <c r="E236" t="s">
        <v>9</v>
      </c>
      <c r="G236" t="s">
        <v>12</v>
      </c>
      <c r="H236">
        <v>24</v>
      </c>
      <c r="I236">
        <v>19</v>
      </c>
      <c r="J236">
        <v>4.47</v>
      </c>
      <c r="K236">
        <v>3.8</v>
      </c>
      <c r="L236">
        <v>0.89</v>
      </c>
      <c r="M236">
        <v>0.52</v>
      </c>
      <c r="N236">
        <v>0.1</v>
      </c>
      <c r="O236" s="21">
        <f t="shared" si="108"/>
        <v>2.4669163545568038</v>
      </c>
      <c r="P236" s="21">
        <f t="shared" si="109"/>
        <v>1.93458177278402</v>
      </c>
      <c r="Q236" s="23" t="str">
        <f t="shared" si="104"/>
        <v/>
      </c>
      <c r="R236" s="23">
        <f t="shared" si="105"/>
        <v>2.4669163545568038</v>
      </c>
      <c r="T236" t="str">
        <f t="shared" si="106"/>
        <v/>
      </c>
    </row>
    <row r="237" spans="1:20" x14ac:dyDescent="0.2">
      <c r="A237">
        <v>236</v>
      </c>
      <c r="B237" t="s">
        <v>124</v>
      </c>
      <c r="C237" s="28" t="s">
        <v>422</v>
      </c>
      <c r="D237" t="s">
        <v>4</v>
      </c>
      <c r="E237" t="s">
        <v>9</v>
      </c>
      <c r="G237" t="s">
        <v>14</v>
      </c>
      <c r="H237">
        <v>17</v>
      </c>
      <c r="I237">
        <v>19</v>
      </c>
      <c r="J237">
        <v>5.7</v>
      </c>
      <c r="K237">
        <v>4.34</v>
      </c>
      <c r="L237">
        <f t="shared" ref="L237:N237" si="130">L236</f>
        <v>0.89</v>
      </c>
      <c r="M237">
        <f t="shared" si="130"/>
        <v>0.52</v>
      </c>
      <c r="N237">
        <f t="shared" si="130"/>
        <v>0.1</v>
      </c>
      <c r="O237" s="21">
        <f t="shared" si="108"/>
        <v>2.8174781523096133</v>
      </c>
      <c r="P237" s="21">
        <f t="shared" si="109"/>
        <v>2.4669163545568038</v>
      </c>
      <c r="Q237" s="23" t="str">
        <f t="shared" si="104"/>
        <v/>
      </c>
      <c r="R237" s="23">
        <f t="shared" si="105"/>
        <v>2.8174781523096133</v>
      </c>
      <c r="T237" t="str">
        <f t="shared" si="106"/>
        <v/>
      </c>
    </row>
    <row r="238" spans="1:20" x14ac:dyDescent="0.2">
      <c r="A238">
        <v>237</v>
      </c>
      <c r="B238" t="s">
        <v>125</v>
      </c>
      <c r="C238" s="28" t="s">
        <v>125</v>
      </c>
      <c r="D238" t="s">
        <v>4</v>
      </c>
      <c r="E238" t="s">
        <v>9</v>
      </c>
      <c r="G238" t="s">
        <v>12</v>
      </c>
      <c r="H238">
        <v>13</v>
      </c>
      <c r="I238">
        <v>9</v>
      </c>
      <c r="J238">
        <v>1.2</v>
      </c>
      <c r="K238">
        <v>1.45</v>
      </c>
      <c r="L238">
        <v>0.6</v>
      </c>
      <c r="M238">
        <v>0.36299999999999999</v>
      </c>
      <c r="N238">
        <v>7.5999999999999998E-2</v>
      </c>
      <c r="O238" s="21">
        <f t="shared" si="108"/>
        <v>0.97472222222222227</v>
      </c>
      <c r="P238" s="21">
        <f t="shared" si="109"/>
        <v>0.5377777777777778</v>
      </c>
      <c r="Q238" s="23" t="str">
        <f t="shared" si="104"/>
        <v/>
      </c>
      <c r="R238" s="23">
        <f t="shared" si="105"/>
        <v>0.97472222222222227</v>
      </c>
      <c r="T238" t="str">
        <f t="shared" si="106"/>
        <v/>
      </c>
    </row>
    <row r="239" spans="1:20" x14ac:dyDescent="0.2">
      <c r="A239">
        <v>238</v>
      </c>
      <c r="B239" t="s">
        <v>125</v>
      </c>
      <c r="C239" s="28" t="s">
        <v>125</v>
      </c>
      <c r="D239" t="s">
        <v>4</v>
      </c>
      <c r="E239" t="s">
        <v>9</v>
      </c>
      <c r="G239" t="s">
        <v>14</v>
      </c>
      <c r="H239">
        <v>16</v>
      </c>
      <c r="I239">
        <v>16</v>
      </c>
      <c r="J239">
        <v>0.95</v>
      </c>
      <c r="K239">
        <v>0.95</v>
      </c>
      <c r="L239">
        <f t="shared" ref="L239:N239" si="131">L238</f>
        <v>0.6</v>
      </c>
      <c r="M239">
        <f t="shared" si="131"/>
        <v>0.36299999999999999</v>
      </c>
      <c r="N239">
        <f t="shared" si="131"/>
        <v>7.5999999999999998E-2</v>
      </c>
      <c r="O239" s="21">
        <f t="shared" si="108"/>
        <v>0.63861111111111113</v>
      </c>
      <c r="P239" s="21">
        <f t="shared" si="109"/>
        <v>0.42574074074074081</v>
      </c>
      <c r="Q239" s="23" t="str">
        <f t="shared" si="104"/>
        <v/>
      </c>
      <c r="R239" s="23">
        <f t="shared" si="105"/>
        <v>0.63861111111111113</v>
      </c>
      <c r="T239" t="str">
        <f t="shared" si="106"/>
        <v/>
      </c>
    </row>
    <row r="240" spans="1:20" x14ac:dyDescent="0.2">
      <c r="A240">
        <v>239</v>
      </c>
      <c r="B240" t="s">
        <v>125</v>
      </c>
      <c r="C240" s="28" t="s">
        <v>125</v>
      </c>
      <c r="D240" t="s">
        <v>4</v>
      </c>
      <c r="E240" t="s">
        <v>9</v>
      </c>
      <c r="G240" t="s">
        <v>10</v>
      </c>
      <c r="H240">
        <v>14</v>
      </c>
      <c r="I240">
        <v>18</v>
      </c>
      <c r="J240">
        <v>4.6399999999999997</v>
      </c>
      <c r="K240">
        <v>4.5</v>
      </c>
      <c r="L240">
        <v>0.99</v>
      </c>
      <c r="M240">
        <v>0.52300000000000002</v>
      </c>
      <c r="N240">
        <v>0.105</v>
      </c>
      <c r="O240" s="21">
        <f t="shared" si="108"/>
        <v>2.6414141414141419</v>
      </c>
      <c r="P240" s="21">
        <f t="shared" si="109"/>
        <v>1.815727646838758</v>
      </c>
      <c r="Q240" s="23">
        <f t="shared" si="104"/>
        <v>2.6414141414141419</v>
      </c>
      <c r="R240" s="23" t="str">
        <f t="shared" si="105"/>
        <v/>
      </c>
      <c r="T240" t="str">
        <f t="shared" si="106"/>
        <v/>
      </c>
    </row>
    <row r="241" spans="1:20" x14ac:dyDescent="0.2">
      <c r="A241">
        <v>240</v>
      </c>
      <c r="B241" t="s">
        <v>125</v>
      </c>
      <c r="C241" s="28" t="s">
        <v>125</v>
      </c>
      <c r="D241" t="s">
        <v>4</v>
      </c>
      <c r="E241" t="s">
        <v>9</v>
      </c>
      <c r="G241" t="s">
        <v>11</v>
      </c>
      <c r="H241">
        <v>20</v>
      </c>
      <c r="I241">
        <v>22</v>
      </c>
      <c r="J241">
        <v>3.19</v>
      </c>
      <c r="K241">
        <v>4.41</v>
      </c>
      <c r="L241">
        <f t="shared" ref="L241:N241" si="132">L240</f>
        <v>0.99</v>
      </c>
      <c r="M241">
        <f t="shared" si="132"/>
        <v>0.52300000000000002</v>
      </c>
      <c r="N241">
        <f t="shared" si="132"/>
        <v>0.105</v>
      </c>
      <c r="O241" s="21">
        <f t="shared" si="108"/>
        <v>2.5885858585858594</v>
      </c>
      <c r="P241" s="21">
        <f t="shared" si="109"/>
        <v>1.2483127572016461</v>
      </c>
      <c r="Q241" s="23">
        <f t="shared" si="104"/>
        <v>2.5885858585858594</v>
      </c>
      <c r="R241" s="23" t="str">
        <f t="shared" si="105"/>
        <v/>
      </c>
      <c r="T241" t="str">
        <f t="shared" si="106"/>
        <v/>
      </c>
    </row>
    <row r="242" spans="1:20" x14ac:dyDescent="0.2">
      <c r="A242">
        <v>241</v>
      </c>
      <c r="B242" t="s">
        <v>126</v>
      </c>
      <c r="C242" t="s">
        <v>126</v>
      </c>
      <c r="D242" t="s">
        <v>4</v>
      </c>
      <c r="E242" t="s">
        <v>9</v>
      </c>
      <c r="G242" t="s">
        <v>10</v>
      </c>
      <c r="H242">
        <v>12</v>
      </c>
      <c r="I242">
        <v>15</v>
      </c>
      <c r="J242">
        <v>5.42</v>
      </c>
      <c r="K242">
        <v>4.58</v>
      </c>
      <c r="L242">
        <v>1.1200000000000001</v>
      </c>
      <c r="M242">
        <v>0.68500000000000005</v>
      </c>
      <c r="N242">
        <v>6.9000000000000006E-2</v>
      </c>
      <c r="O242" s="21">
        <f t="shared" si="108"/>
        <v>3.1124007936507936</v>
      </c>
      <c r="P242" s="21">
        <f t="shared" si="109"/>
        <v>2.4554894179894178</v>
      </c>
      <c r="Q242" s="23">
        <f t="shared" si="104"/>
        <v>3.1124007936507936</v>
      </c>
      <c r="R242" s="23" t="str">
        <f t="shared" si="105"/>
        <v/>
      </c>
      <c r="T242" t="str">
        <f t="shared" si="106"/>
        <v/>
      </c>
    </row>
    <row r="243" spans="1:20" x14ac:dyDescent="0.2">
      <c r="A243">
        <v>242</v>
      </c>
      <c r="B243" t="s">
        <v>126</v>
      </c>
      <c r="C243" t="s">
        <v>126</v>
      </c>
      <c r="D243" t="s">
        <v>4</v>
      </c>
      <c r="E243" t="s">
        <v>9</v>
      </c>
      <c r="G243" t="s">
        <v>11</v>
      </c>
      <c r="H243">
        <v>24</v>
      </c>
      <c r="I243">
        <v>26</v>
      </c>
      <c r="J243">
        <v>5.48</v>
      </c>
      <c r="K243">
        <v>5.16</v>
      </c>
      <c r="L243">
        <f t="shared" ref="L243:N243" si="133">L242</f>
        <v>1.1200000000000001</v>
      </c>
      <c r="M243">
        <f t="shared" si="133"/>
        <v>0.68500000000000005</v>
      </c>
      <c r="N243">
        <f t="shared" si="133"/>
        <v>6.9000000000000006E-2</v>
      </c>
      <c r="O243" s="21">
        <f t="shared" si="108"/>
        <v>3.5065476190476188</v>
      </c>
      <c r="P243" s="21">
        <f t="shared" si="109"/>
        <v>2.482671957671958</v>
      </c>
      <c r="Q243" s="23">
        <f t="shared" si="104"/>
        <v>3.5065476190476188</v>
      </c>
      <c r="R243" s="23" t="str">
        <f t="shared" si="105"/>
        <v/>
      </c>
      <c r="T243" t="str">
        <f t="shared" si="106"/>
        <v/>
      </c>
    </row>
    <row r="244" spans="1:20" x14ac:dyDescent="0.2">
      <c r="A244">
        <v>243</v>
      </c>
      <c r="B244" t="s">
        <v>126</v>
      </c>
      <c r="C244" t="s">
        <v>126</v>
      </c>
      <c r="D244" t="s">
        <v>4</v>
      </c>
      <c r="E244" t="s">
        <v>9</v>
      </c>
      <c r="G244" t="s">
        <v>12</v>
      </c>
      <c r="H244">
        <v>17</v>
      </c>
      <c r="I244">
        <v>18</v>
      </c>
      <c r="J244">
        <v>3.39</v>
      </c>
      <c r="K244">
        <v>4.2300000000000004</v>
      </c>
      <c r="L244">
        <v>0.81</v>
      </c>
      <c r="M244">
        <v>0.29899999999999999</v>
      </c>
      <c r="N244">
        <v>9.9000000000000005E-2</v>
      </c>
      <c r="O244" s="21">
        <f t="shared" si="108"/>
        <v>1.7349382716049384</v>
      </c>
      <c r="P244" s="21">
        <f t="shared" si="109"/>
        <v>0.92694101508916316</v>
      </c>
      <c r="Q244" s="23" t="str">
        <f t="shared" si="104"/>
        <v/>
      </c>
      <c r="R244" s="23">
        <f t="shared" si="105"/>
        <v>1.7349382716049384</v>
      </c>
      <c r="T244" t="str">
        <f t="shared" si="106"/>
        <v/>
      </c>
    </row>
    <row r="245" spans="1:20" x14ac:dyDescent="0.2">
      <c r="A245">
        <v>244</v>
      </c>
      <c r="B245" t="s">
        <v>126</v>
      </c>
      <c r="C245" t="s">
        <v>126</v>
      </c>
      <c r="D245" t="s">
        <v>4</v>
      </c>
      <c r="E245" t="s">
        <v>9</v>
      </c>
      <c r="G245" t="s">
        <v>14</v>
      </c>
      <c r="H245">
        <v>13</v>
      </c>
      <c r="I245">
        <v>15</v>
      </c>
      <c r="J245">
        <v>0.83</v>
      </c>
      <c r="K245">
        <v>1.95</v>
      </c>
      <c r="L245">
        <f t="shared" ref="L245:N245" si="134">L244</f>
        <v>0.81</v>
      </c>
      <c r="M245">
        <f t="shared" si="134"/>
        <v>0.29899999999999999</v>
      </c>
      <c r="N245">
        <f t="shared" si="134"/>
        <v>9.9000000000000005E-2</v>
      </c>
      <c r="O245" s="21">
        <f t="shared" si="108"/>
        <v>0.79979423868312749</v>
      </c>
      <c r="P245" s="21">
        <f t="shared" si="109"/>
        <v>0.22695016003657975</v>
      </c>
      <c r="Q245" s="23" t="str">
        <f t="shared" si="104"/>
        <v/>
      </c>
      <c r="R245" s="23">
        <f t="shared" si="105"/>
        <v>0.79979423868312749</v>
      </c>
      <c r="T245" t="str">
        <f t="shared" si="106"/>
        <v/>
      </c>
    </row>
    <row r="246" spans="1:20" x14ac:dyDescent="0.2">
      <c r="A246">
        <v>245</v>
      </c>
      <c r="B246" t="s">
        <v>127</v>
      </c>
      <c r="C246" t="s">
        <v>127</v>
      </c>
      <c r="D246" t="s">
        <v>4</v>
      </c>
      <c r="E246" t="s">
        <v>9</v>
      </c>
      <c r="G246" t="s">
        <v>10</v>
      </c>
      <c r="H246">
        <v>14</v>
      </c>
      <c r="I246">
        <v>12</v>
      </c>
      <c r="J246">
        <v>1.61</v>
      </c>
      <c r="K246">
        <v>1.52</v>
      </c>
      <c r="L246">
        <v>0.76</v>
      </c>
      <c r="M246">
        <v>0.51500000000000001</v>
      </c>
      <c r="N246">
        <v>0.11899999999999999</v>
      </c>
      <c r="O246" s="21">
        <f t="shared" si="108"/>
        <v>1.1444444444444446</v>
      </c>
      <c r="P246" s="21">
        <f t="shared" si="109"/>
        <v>0.80813840155945427</v>
      </c>
      <c r="Q246" s="23">
        <f t="shared" si="104"/>
        <v>1.1444444444444446</v>
      </c>
      <c r="R246" s="23" t="str">
        <f t="shared" si="105"/>
        <v/>
      </c>
      <c r="T246" t="str">
        <f t="shared" si="106"/>
        <v/>
      </c>
    </row>
    <row r="247" spans="1:20" x14ac:dyDescent="0.2">
      <c r="A247">
        <v>246</v>
      </c>
      <c r="B247" t="s">
        <v>127</v>
      </c>
      <c r="C247" t="s">
        <v>127</v>
      </c>
      <c r="D247" t="s">
        <v>4</v>
      </c>
      <c r="E247" t="s">
        <v>9</v>
      </c>
      <c r="G247" t="s">
        <v>11</v>
      </c>
      <c r="H247">
        <v>15</v>
      </c>
      <c r="I247">
        <v>12</v>
      </c>
      <c r="J247">
        <v>2.2999999999999998</v>
      </c>
      <c r="K247">
        <v>1.98</v>
      </c>
      <c r="L247">
        <f t="shared" ref="L247:N247" si="135">L246</f>
        <v>0.76</v>
      </c>
      <c r="M247">
        <f t="shared" si="135"/>
        <v>0.51500000000000001</v>
      </c>
      <c r="N247">
        <f t="shared" si="135"/>
        <v>0.11899999999999999</v>
      </c>
      <c r="O247" s="21">
        <f t="shared" si="108"/>
        <v>1.4907894736842107</v>
      </c>
      <c r="P247" s="21">
        <f t="shared" si="109"/>
        <v>1.15448343079922</v>
      </c>
      <c r="Q247" s="23">
        <f t="shared" si="104"/>
        <v>1.4907894736842107</v>
      </c>
      <c r="R247" s="23" t="str">
        <f t="shared" si="105"/>
        <v/>
      </c>
      <c r="T247" t="str">
        <f t="shared" si="106"/>
        <v/>
      </c>
    </row>
    <row r="248" spans="1:20" x14ac:dyDescent="0.2">
      <c r="A248">
        <v>247</v>
      </c>
      <c r="B248" t="s">
        <v>127</v>
      </c>
      <c r="C248" t="s">
        <v>127</v>
      </c>
      <c r="D248" t="s">
        <v>4</v>
      </c>
      <c r="E248" t="s">
        <v>9</v>
      </c>
      <c r="G248" t="s">
        <v>12</v>
      </c>
      <c r="H248">
        <v>13</v>
      </c>
      <c r="I248">
        <v>14</v>
      </c>
      <c r="J248">
        <v>1.03</v>
      </c>
      <c r="K248">
        <v>1.46</v>
      </c>
      <c r="L248">
        <v>0.6</v>
      </c>
      <c r="M248">
        <v>0.36499999999999999</v>
      </c>
      <c r="N248">
        <v>0.115</v>
      </c>
      <c r="O248" s="21">
        <f t="shared" si="108"/>
        <v>0.98685185185185198</v>
      </c>
      <c r="P248" s="21">
        <f t="shared" si="109"/>
        <v>0.46413580246913583</v>
      </c>
      <c r="Q248" s="23" t="str">
        <f t="shared" si="104"/>
        <v/>
      </c>
      <c r="R248" s="23">
        <f t="shared" si="105"/>
        <v>0.98685185185185198</v>
      </c>
      <c r="T248" t="str">
        <f t="shared" si="106"/>
        <v/>
      </c>
    </row>
    <row r="249" spans="1:20" x14ac:dyDescent="0.2">
      <c r="A249">
        <v>248</v>
      </c>
      <c r="B249" t="s">
        <v>127</v>
      </c>
      <c r="C249" t="s">
        <v>127</v>
      </c>
      <c r="D249" t="s">
        <v>4</v>
      </c>
      <c r="E249" t="s">
        <v>9</v>
      </c>
      <c r="G249" t="s">
        <v>14</v>
      </c>
      <c r="L249">
        <f t="shared" ref="L249:N249" si="136">L248</f>
        <v>0.6</v>
      </c>
      <c r="M249">
        <f t="shared" si="136"/>
        <v>0.36499999999999999</v>
      </c>
      <c r="N249">
        <f t="shared" si="136"/>
        <v>0.115</v>
      </c>
      <c r="O249" s="21">
        <f t="shared" si="108"/>
        <v>0</v>
      </c>
      <c r="P249" s="21">
        <f t="shared" si="109"/>
        <v>0</v>
      </c>
      <c r="Q249" s="23" t="str">
        <f t="shared" si="104"/>
        <v/>
      </c>
      <c r="R249" s="23">
        <f t="shared" si="105"/>
        <v>0</v>
      </c>
      <c r="T249" t="str">
        <f t="shared" si="106"/>
        <v/>
      </c>
    </row>
    <row r="250" spans="1:20" x14ac:dyDescent="0.2">
      <c r="A250">
        <v>249</v>
      </c>
      <c r="B250" t="s">
        <v>128</v>
      </c>
      <c r="C250" t="s">
        <v>343</v>
      </c>
      <c r="D250" t="s">
        <v>4</v>
      </c>
      <c r="E250" t="s">
        <v>9</v>
      </c>
      <c r="G250" t="s">
        <v>10</v>
      </c>
      <c r="H250">
        <v>19</v>
      </c>
      <c r="I250">
        <v>17</v>
      </c>
      <c r="J250">
        <v>1.79</v>
      </c>
      <c r="K250">
        <v>1.95</v>
      </c>
      <c r="L250">
        <v>0.7</v>
      </c>
      <c r="M250">
        <v>0.29599999999999999</v>
      </c>
      <c r="N250">
        <v>0.10199999999999999</v>
      </c>
      <c r="O250" s="21">
        <f t="shared" si="108"/>
        <v>0.91619047619047633</v>
      </c>
      <c r="P250" s="21">
        <f t="shared" si="109"/>
        <v>0.56067724867724877</v>
      </c>
      <c r="Q250" s="23">
        <f t="shared" si="104"/>
        <v>0.91619047619047633</v>
      </c>
      <c r="R250" s="23" t="str">
        <f t="shared" si="105"/>
        <v/>
      </c>
      <c r="T250" t="str">
        <f t="shared" si="106"/>
        <v/>
      </c>
    </row>
    <row r="251" spans="1:20" x14ac:dyDescent="0.2">
      <c r="A251">
        <v>250</v>
      </c>
      <c r="B251" t="s">
        <v>128</v>
      </c>
      <c r="C251" t="s">
        <v>343</v>
      </c>
      <c r="D251" t="s">
        <v>4</v>
      </c>
      <c r="E251" t="s">
        <v>9</v>
      </c>
      <c r="G251" t="s">
        <v>11</v>
      </c>
      <c r="H251">
        <v>11</v>
      </c>
      <c r="I251">
        <v>12</v>
      </c>
      <c r="J251">
        <v>2.1800000000000002</v>
      </c>
      <c r="K251">
        <v>0.09</v>
      </c>
      <c r="L251">
        <f t="shared" ref="L251:N251" si="137">L250</f>
        <v>0.7</v>
      </c>
      <c r="M251">
        <f t="shared" si="137"/>
        <v>0.29599999999999999</v>
      </c>
      <c r="N251">
        <f t="shared" si="137"/>
        <v>0.10199999999999999</v>
      </c>
      <c r="O251" s="21">
        <f t="shared" si="108"/>
        <v>4.2285714285714288E-2</v>
      </c>
      <c r="P251" s="21">
        <f t="shared" si="109"/>
        <v>0.68283597883597902</v>
      </c>
      <c r="Q251" s="23">
        <f t="shared" si="104"/>
        <v>4.2285714285714288E-2</v>
      </c>
      <c r="R251" s="23" t="str">
        <f t="shared" si="105"/>
        <v/>
      </c>
      <c r="T251" t="str">
        <f t="shared" si="106"/>
        <v/>
      </c>
    </row>
    <row r="252" spans="1:20" x14ac:dyDescent="0.2">
      <c r="A252">
        <v>251</v>
      </c>
      <c r="B252" t="s">
        <v>128</v>
      </c>
      <c r="C252" t="s">
        <v>343</v>
      </c>
      <c r="D252" t="s">
        <v>4</v>
      </c>
      <c r="E252" t="s">
        <v>9</v>
      </c>
      <c r="G252" t="s">
        <v>12</v>
      </c>
      <c r="H252">
        <v>28</v>
      </c>
      <c r="I252">
        <v>20</v>
      </c>
      <c r="J252">
        <v>1.47</v>
      </c>
      <c r="K252">
        <v>4.12</v>
      </c>
      <c r="L252">
        <v>0.56000000000000005</v>
      </c>
      <c r="M252">
        <v>0.29599999999999999</v>
      </c>
      <c r="N252">
        <v>0.10199999999999999</v>
      </c>
      <c r="O252" s="21">
        <f t="shared" si="108"/>
        <v>2.4196825396825394</v>
      </c>
      <c r="P252" s="21">
        <f t="shared" si="109"/>
        <v>0.57555555555555549</v>
      </c>
      <c r="Q252" s="23" t="str">
        <f t="shared" si="104"/>
        <v/>
      </c>
      <c r="R252" s="23">
        <f t="shared" si="105"/>
        <v>2.4196825396825394</v>
      </c>
      <c r="T252" t="str">
        <f t="shared" si="106"/>
        <v/>
      </c>
    </row>
    <row r="253" spans="1:20" x14ac:dyDescent="0.2">
      <c r="A253">
        <v>252</v>
      </c>
      <c r="B253" t="s">
        <v>128</v>
      </c>
      <c r="C253" t="s">
        <v>343</v>
      </c>
      <c r="D253" t="s">
        <v>4</v>
      </c>
      <c r="E253" t="s">
        <v>9</v>
      </c>
      <c r="G253" t="s">
        <v>14</v>
      </c>
      <c r="L253">
        <f t="shared" ref="L253:N253" si="138">L252</f>
        <v>0.56000000000000005</v>
      </c>
      <c r="M253">
        <f t="shared" si="138"/>
        <v>0.29599999999999999</v>
      </c>
      <c r="N253">
        <f t="shared" si="138"/>
        <v>0.10199999999999999</v>
      </c>
      <c r="O253" s="21">
        <f t="shared" si="108"/>
        <v>0</v>
      </c>
      <c r="P253" s="21">
        <f t="shared" si="109"/>
        <v>0</v>
      </c>
      <c r="Q253" s="23" t="str">
        <f t="shared" si="104"/>
        <v/>
      </c>
      <c r="R253" s="23">
        <f t="shared" si="105"/>
        <v>0</v>
      </c>
      <c r="T253" t="str">
        <f t="shared" si="106"/>
        <v/>
      </c>
    </row>
    <row r="254" spans="1:20" x14ac:dyDescent="0.2">
      <c r="A254">
        <v>253</v>
      </c>
      <c r="B254" t="s">
        <v>129</v>
      </c>
      <c r="C254" t="s">
        <v>344</v>
      </c>
      <c r="D254" t="s">
        <v>4</v>
      </c>
      <c r="E254" t="s">
        <v>9</v>
      </c>
      <c r="G254" t="s">
        <v>10</v>
      </c>
      <c r="H254">
        <v>12</v>
      </c>
      <c r="I254">
        <v>20</v>
      </c>
      <c r="J254">
        <v>6.14</v>
      </c>
      <c r="K254">
        <v>5.37</v>
      </c>
      <c r="L254">
        <v>1.49</v>
      </c>
      <c r="M254">
        <v>0.94199999999999995</v>
      </c>
      <c r="N254">
        <v>0.16600000000000001</v>
      </c>
      <c r="O254" s="21">
        <f t="shared" si="108"/>
        <v>3.7722147651006712</v>
      </c>
      <c r="P254" s="21">
        <f t="shared" si="109"/>
        <v>2.8754064131245345</v>
      </c>
      <c r="Q254" s="23">
        <f t="shared" si="104"/>
        <v>3.7722147651006712</v>
      </c>
      <c r="R254" s="23" t="str">
        <f t="shared" si="105"/>
        <v/>
      </c>
      <c r="S254" s="14"/>
      <c r="T254" t="str">
        <f t="shared" si="106"/>
        <v/>
      </c>
    </row>
    <row r="255" spans="1:20" x14ac:dyDescent="0.2">
      <c r="A255">
        <v>254</v>
      </c>
      <c r="B255" t="s">
        <v>129</v>
      </c>
      <c r="C255" t="s">
        <v>344</v>
      </c>
      <c r="D255" t="s">
        <v>4</v>
      </c>
      <c r="E255" t="s">
        <v>9</v>
      </c>
      <c r="G255" t="s">
        <v>11</v>
      </c>
      <c r="H255">
        <v>8</v>
      </c>
      <c r="I255">
        <v>12</v>
      </c>
      <c r="J255">
        <v>5.75</v>
      </c>
      <c r="K255">
        <v>3.59</v>
      </c>
      <c r="L255">
        <f t="shared" ref="L255:N255" si="139">L254</f>
        <v>1.49</v>
      </c>
      <c r="M255">
        <f t="shared" si="139"/>
        <v>0.94199999999999995</v>
      </c>
      <c r="N255">
        <f t="shared" si="139"/>
        <v>0.16600000000000001</v>
      </c>
      <c r="O255" s="21">
        <f t="shared" si="108"/>
        <v>2.5218344519015661</v>
      </c>
      <c r="P255" s="21">
        <f t="shared" si="109"/>
        <v>2.6927665920954515</v>
      </c>
      <c r="Q255" s="23">
        <f t="shared" si="104"/>
        <v>2.5218344519015661</v>
      </c>
      <c r="R255" s="23" t="str">
        <f t="shared" si="105"/>
        <v/>
      </c>
      <c r="T255" t="str">
        <f t="shared" si="106"/>
        <v/>
      </c>
    </row>
    <row r="256" spans="1:20" x14ac:dyDescent="0.2">
      <c r="A256">
        <v>255</v>
      </c>
      <c r="B256" t="s">
        <v>129</v>
      </c>
      <c r="C256" t="s">
        <v>344</v>
      </c>
      <c r="D256" t="s">
        <v>4</v>
      </c>
      <c r="E256" t="s">
        <v>9</v>
      </c>
      <c r="G256" t="s">
        <v>12</v>
      </c>
      <c r="H256">
        <v>17</v>
      </c>
      <c r="I256">
        <v>19</v>
      </c>
      <c r="J256">
        <v>4.6900000000000004</v>
      </c>
      <c r="K256">
        <v>4.3600000000000003</v>
      </c>
      <c r="L256">
        <v>0.71</v>
      </c>
      <c r="M256">
        <v>0.50600000000000001</v>
      </c>
      <c r="N256">
        <v>8.2000000000000003E-2</v>
      </c>
      <c r="O256" s="21">
        <f t="shared" si="108"/>
        <v>3.452519561815337</v>
      </c>
      <c r="P256" s="21">
        <f t="shared" si="109"/>
        <v>2.4758894105372984</v>
      </c>
      <c r="Q256" s="23" t="str">
        <f t="shared" si="104"/>
        <v/>
      </c>
      <c r="R256" s="23">
        <f t="shared" si="105"/>
        <v>3.452519561815337</v>
      </c>
      <c r="T256" t="str">
        <f t="shared" si="106"/>
        <v/>
      </c>
    </row>
    <row r="257" spans="1:20" x14ac:dyDescent="0.2">
      <c r="A257">
        <v>256</v>
      </c>
      <c r="B257" t="s">
        <v>129</v>
      </c>
      <c r="C257" t="s">
        <v>344</v>
      </c>
      <c r="D257" t="s">
        <v>4</v>
      </c>
      <c r="E257" t="s">
        <v>9</v>
      </c>
      <c r="G257" t="s">
        <v>14</v>
      </c>
      <c r="H257">
        <v>26</v>
      </c>
      <c r="I257">
        <v>22</v>
      </c>
      <c r="J257">
        <v>5.69</v>
      </c>
      <c r="K257">
        <v>4.1100000000000003</v>
      </c>
      <c r="L257">
        <f t="shared" ref="L257:N257" si="140">L256</f>
        <v>0.71</v>
      </c>
      <c r="M257">
        <f t="shared" si="140"/>
        <v>0.50600000000000001</v>
      </c>
      <c r="N257">
        <f t="shared" si="140"/>
        <v>8.2000000000000003E-2</v>
      </c>
      <c r="O257" s="21">
        <f t="shared" si="108"/>
        <v>3.2545539906103294</v>
      </c>
      <c r="P257" s="21">
        <f t="shared" si="109"/>
        <v>3.0037976004173195</v>
      </c>
      <c r="Q257" s="23" t="str">
        <f t="shared" si="104"/>
        <v/>
      </c>
      <c r="R257" s="23">
        <f t="shared" si="105"/>
        <v>3.2545539906103294</v>
      </c>
      <c r="T257" t="str">
        <f t="shared" si="106"/>
        <v/>
      </c>
    </row>
    <row r="258" spans="1:20" x14ac:dyDescent="0.2">
      <c r="A258">
        <v>257</v>
      </c>
      <c r="B258" t="s">
        <v>130</v>
      </c>
      <c r="D258" t="s">
        <v>4</v>
      </c>
      <c r="E258" t="s">
        <v>9</v>
      </c>
      <c r="G258" t="s">
        <v>10</v>
      </c>
      <c r="H258">
        <v>14</v>
      </c>
      <c r="I258">
        <v>14</v>
      </c>
      <c r="J258">
        <v>1.59</v>
      </c>
      <c r="K258">
        <v>2.68</v>
      </c>
      <c r="L258">
        <v>1.08</v>
      </c>
      <c r="M258">
        <v>0.46</v>
      </c>
      <c r="N258">
        <v>7.2999999999999995E-2</v>
      </c>
      <c r="O258" s="21">
        <f t="shared" si="108"/>
        <v>1.2683127572016462</v>
      </c>
      <c r="P258" s="21">
        <f t="shared" si="109"/>
        <v>0.50164609053497944</v>
      </c>
      <c r="Q258" s="23">
        <f t="shared" si="104"/>
        <v>1.2683127572016462</v>
      </c>
      <c r="R258" s="23" t="str">
        <f t="shared" si="105"/>
        <v/>
      </c>
      <c r="T258" t="str">
        <f t="shared" si="106"/>
        <v/>
      </c>
    </row>
    <row r="259" spans="1:20" x14ac:dyDescent="0.2">
      <c r="A259">
        <v>258</v>
      </c>
      <c r="B259" t="s">
        <v>130</v>
      </c>
      <c r="D259" t="s">
        <v>4</v>
      </c>
      <c r="E259" t="s">
        <v>9</v>
      </c>
      <c r="G259" t="s">
        <v>11</v>
      </c>
      <c r="H259">
        <v>13</v>
      </c>
      <c r="I259">
        <v>14</v>
      </c>
      <c r="J259">
        <v>0.72</v>
      </c>
      <c r="K259">
        <v>1.81</v>
      </c>
      <c r="L259">
        <f t="shared" ref="L259:N259" si="141">L258</f>
        <v>1.08</v>
      </c>
      <c r="M259">
        <f t="shared" si="141"/>
        <v>0.46</v>
      </c>
      <c r="N259">
        <f t="shared" si="141"/>
        <v>7.2999999999999995E-2</v>
      </c>
      <c r="O259" s="21">
        <f t="shared" si="108"/>
        <v>0.85658436213991773</v>
      </c>
      <c r="P259" s="21">
        <f t="shared" si="109"/>
        <v>0.2271604938271605</v>
      </c>
      <c r="Q259" s="23">
        <f t="shared" ref="Q259:Q322" si="142">IF(LEFT(G259,7)="IMPROVE",O259,"")</f>
        <v>0.85658436213991773</v>
      </c>
      <c r="R259" s="23" t="str">
        <f t="shared" ref="R259:R322" si="143">IF(LEFT(G259,7)="FARMER ",O259,"")</f>
        <v/>
      </c>
      <c r="T259" t="str">
        <f t="shared" ref="T259:T322" si="144">IF(O259&gt;14,"VVVVVVVV","")</f>
        <v/>
      </c>
    </row>
    <row r="260" spans="1:20" x14ac:dyDescent="0.2">
      <c r="A260">
        <v>259</v>
      </c>
      <c r="B260" t="s">
        <v>130</v>
      </c>
      <c r="D260" t="s">
        <v>4</v>
      </c>
      <c r="E260" t="s">
        <v>9</v>
      </c>
      <c r="G260" t="s">
        <v>12</v>
      </c>
      <c r="H260">
        <v>14</v>
      </c>
      <c r="I260">
        <v>19</v>
      </c>
      <c r="J260">
        <v>2.93</v>
      </c>
      <c r="K260">
        <v>3.7</v>
      </c>
      <c r="L260">
        <v>0.67</v>
      </c>
      <c r="M260">
        <v>0.437</v>
      </c>
      <c r="N260">
        <v>9.0999999999999998E-2</v>
      </c>
      <c r="O260" s="21">
        <f t="shared" si="108"/>
        <v>2.6814262023217244</v>
      </c>
      <c r="P260" s="21">
        <f t="shared" si="109"/>
        <v>1.415599778883361</v>
      </c>
      <c r="Q260" s="23" t="str">
        <f t="shared" si="142"/>
        <v/>
      </c>
      <c r="R260" s="23">
        <f t="shared" si="143"/>
        <v>2.6814262023217244</v>
      </c>
      <c r="T260" t="str">
        <f t="shared" si="144"/>
        <v/>
      </c>
    </row>
    <row r="261" spans="1:20" x14ac:dyDescent="0.2">
      <c r="A261">
        <v>260</v>
      </c>
      <c r="B261" t="s">
        <v>130</v>
      </c>
      <c r="D261" t="s">
        <v>4</v>
      </c>
      <c r="E261" t="s">
        <v>9</v>
      </c>
      <c r="G261" t="s">
        <v>14</v>
      </c>
      <c r="H261">
        <v>14</v>
      </c>
      <c r="I261">
        <v>13</v>
      </c>
      <c r="J261">
        <v>1.25</v>
      </c>
      <c r="K261">
        <v>2.46</v>
      </c>
      <c r="L261">
        <f t="shared" ref="L261:N261" si="145">L260</f>
        <v>0.67</v>
      </c>
      <c r="M261">
        <f t="shared" si="145"/>
        <v>0.437</v>
      </c>
      <c r="N261">
        <f t="shared" si="145"/>
        <v>9.0999999999999998E-2</v>
      </c>
      <c r="O261" s="21">
        <f t="shared" si="108"/>
        <v>1.7827860696517412</v>
      </c>
      <c r="P261" s="21">
        <f t="shared" si="109"/>
        <v>0.60392482034273076</v>
      </c>
      <c r="Q261" s="23" t="str">
        <f t="shared" si="142"/>
        <v/>
      </c>
      <c r="R261" s="23">
        <f t="shared" si="143"/>
        <v>1.7827860696517412</v>
      </c>
      <c r="T261" t="str">
        <f t="shared" si="144"/>
        <v/>
      </c>
    </row>
    <row r="262" spans="1:20" x14ac:dyDescent="0.2">
      <c r="A262">
        <v>261</v>
      </c>
      <c r="B262" t="s">
        <v>131</v>
      </c>
      <c r="C262" s="16" t="s">
        <v>131</v>
      </c>
      <c r="D262" t="s">
        <v>4</v>
      </c>
      <c r="E262" t="s">
        <v>9</v>
      </c>
      <c r="G262" t="s">
        <v>10</v>
      </c>
      <c r="H262">
        <v>12</v>
      </c>
      <c r="I262">
        <v>12</v>
      </c>
      <c r="J262">
        <v>3.63</v>
      </c>
      <c r="K262">
        <v>2.4</v>
      </c>
      <c r="L262">
        <v>0.77</v>
      </c>
      <c r="M262">
        <v>0.41099999999999998</v>
      </c>
      <c r="N262">
        <v>7.6999999999999999E-2</v>
      </c>
      <c r="O262" s="21">
        <f t="shared" ref="O262:O325" si="146">K262*(M262/L262)*(10/9)</f>
        <v>1.4233766233766234</v>
      </c>
      <c r="P262" s="21">
        <f t="shared" ref="P262:P325" si="147">J262*(M262/(L262*1.5))*(10/9)</f>
        <v>1.4352380952380952</v>
      </c>
      <c r="Q262" s="23">
        <f t="shared" si="142"/>
        <v>1.4233766233766234</v>
      </c>
      <c r="R262" s="23" t="str">
        <f t="shared" si="143"/>
        <v/>
      </c>
      <c r="T262" t="str">
        <f t="shared" si="144"/>
        <v/>
      </c>
    </row>
    <row r="263" spans="1:20" x14ac:dyDescent="0.2">
      <c r="A263">
        <v>262</v>
      </c>
      <c r="B263" t="s">
        <v>131</v>
      </c>
      <c r="C263" s="16" t="s">
        <v>131</v>
      </c>
      <c r="D263" t="s">
        <v>4</v>
      </c>
      <c r="E263" t="s">
        <v>9</v>
      </c>
      <c r="G263" t="s">
        <v>11</v>
      </c>
      <c r="H263">
        <v>12</v>
      </c>
      <c r="I263">
        <v>12</v>
      </c>
      <c r="J263">
        <v>2.14</v>
      </c>
      <c r="K263">
        <v>2.08</v>
      </c>
      <c r="L263">
        <f t="shared" ref="L263:N263" si="148">L262</f>
        <v>0.77</v>
      </c>
      <c r="M263">
        <f t="shared" si="148"/>
        <v>0.41099999999999998</v>
      </c>
      <c r="N263">
        <f t="shared" si="148"/>
        <v>7.6999999999999999E-2</v>
      </c>
      <c r="O263" s="21">
        <f t="shared" si="146"/>
        <v>1.2335930735930736</v>
      </c>
      <c r="P263" s="21">
        <f t="shared" si="147"/>
        <v>0.84611832611832616</v>
      </c>
      <c r="Q263" s="23">
        <f t="shared" si="142"/>
        <v>1.2335930735930736</v>
      </c>
      <c r="R263" s="23" t="str">
        <f t="shared" si="143"/>
        <v/>
      </c>
      <c r="T263" t="str">
        <f t="shared" si="144"/>
        <v/>
      </c>
    </row>
    <row r="264" spans="1:20" x14ac:dyDescent="0.2">
      <c r="A264">
        <v>263</v>
      </c>
      <c r="B264" t="s">
        <v>131</v>
      </c>
      <c r="C264" s="16" t="s">
        <v>131</v>
      </c>
      <c r="D264" t="s">
        <v>4</v>
      </c>
      <c r="E264" t="s">
        <v>9</v>
      </c>
      <c r="G264" t="s">
        <v>12</v>
      </c>
      <c r="H264">
        <v>22</v>
      </c>
      <c r="I264">
        <v>22</v>
      </c>
      <c r="J264">
        <v>4.2699999999999996</v>
      </c>
      <c r="K264">
        <v>3.08</v>
      </c>
      <c r="L264">
        <v>0.82</v>
      </c>
      <c r="M264">
        <v>0.45700000000000002</v>
      </c>
      <c r="N264">
        <v>5.8999999999999997E-2</v>
      </c>
      <c r="O264" s="21">
        <f t="shared" si="146"/>
        <v>1.9072628726287266</v>
      </c>
      <c r="P264" s="21">
        <f t="shared" si="147"/>
        <v>1.7627732610659439</v>
      </c>
      <c r="Q264" s="23" t="str">
        <f t="shared" si="142"/>
        <v/>
      </c>
      <c r="R264" s="23">
        <f t="shared" si="143"/>
        <v>1.9072628726287266</v>
      </c>
      <c r="T264" t="str">
        <f t="shared" si="144"/>
        <v/>
      </c>
    </row>
    <row r="265" spans="1:20" x14ac:dyDescent="0.2">
      <c r="A265">
        <v>264</v>
      </c>
      <c r="B265" t="s">
        <v>131</v>
      </c>
      <c r="C265" s="16" t="s">
        <v>131</v>
      </c>
      <c r="D265" t="s">
        <v>4</v>
      </c>
      <c r="E265" t="s">
        <v>9</v>
      </c>
      <c r="G265" t="s">
        <v>14</v>
      </c>
      <c r="H265">
        <v>20</v>
      </c>
      <c r="I265">
        <v>20</v>
      </c>
      <c r="J265">
        <v>3.72</v>
      </c>
      <c r="K265">
        <v>3.81</v>
      </c>
      <c r="L265">
        <f t="shared" ref="L265:N265" si="149">L264</f>
        <v>0.82</v>
      </c>
      <c r="M265">
        <f t="shared" si="149"/>
        <v>0.45700000000000002</v>
      </c>
      <c r="N265">
        <f t="shared" si="149"/>
        <v>5.8999999999999997E-2</v>
      </c>
      <c r="O265" s="21">
        <f t="shared" si="146"/>
        <v>2.359308943089431</v>
      </c>
      <c r="P265" s="21">
        <f t="shared" si="147"/>
        <v>1.5357181571815721</v>
      </c>
      <c r="Q265" s="23" t="str">
        <f t="shared" si="142"/>
        <v/>
      </c>
      <c r="R265" s="23">
        <f t="shared" si="143"/>
        <v>2.359308943089431</v>
      </c>
      <c r="T265" t="str">
        <f t="shared" si="144"/>
        <v/>
      </c>
    </row>
    <row r="266" spans="1:20" x14ac:dyDescent="0.2">
      <c r="A266">
        <v>265</v>
      </c>
      <c r="B266" t="s">
        <v>132</v>
      </c>
      <c r="C266" t="s">
        <v>345</v>
      </c>
      <c r="D266" t="s">
        <v>4</v>
      </c>
      <c r="E266" t="s">
        <v>9</v>
      </c>
      <c r="G266" t="s">
        <v>10</v>
      </c>
      <c r="H266">
        <v>13</v>
      </c>
      <c r="I266">
        <v>16</v>
      </c>
      <c r="J266">
        <v>3.48</v>
      </c>
      <c r="K266">
        <v>4.8</v>
      </c>
      <c r="L266">
        <v>1.1499999999999999</v>
      </c>
      <c r="M266">
        <v>0.79</v>
      </c>
      <c r="N266">
        <v>0.188</v>
      </c>
      <c r="O266" s="21">
        <f t="shared" si="146"/>
        <v>3.6637681159420294</v>
      </c>
      <c r="P266" s="21">
        <f t="shared" si="147"/>
        <v>1.7708212560386476</v>
      </c>
      <c r="Q266" s="23">
        <f t="shared" si="142"/>
        <v>3.6637681159420294</v>
      </c>
      <c r="R266" s="23" t="str">
        <f t="shared" si="143"/>
        <v/>
      </c>
      <c r="S266" s="14"/>
      <c r="T266" t="str">
        <f t="shared" si="144"/>
        <v/>
      </c>
    </row>
    <row r="267" spans="1:20" x14ac:dyDescent="0.2">
      <c r="A267">
        <v>266</v>
      </c>
      <c r="B267" t="s">
        <v>132</v>
      </c>
      <c r="C267" t="s">
        <v>345</v>
      </c>
      <c r="D267" t="s">
        <v>4</v>
      </c>
      <c r="E267" t="s">
        <v>9</v>
      </c>
      <c r="G267" t="s">
        <v>11</v>
      </c>
      <c r="H267">
        <v>17</v>
      </c>
      <c r="I267">
        <v>27</v>
      </c>
      <c r="J267">
        <v>7.54</v>
      </c>
      <c r="K267">
        <v>6.64</v>
      </c>
      <c r="L267">
        <f t="shared" ref="L267:N267" si="150">L266</f>
        <v>1.1499999999999999</v>
      </c>
      <c r="M267">
        <f t="shared" si="150"/>
        <v>0.79</v>
      </c>
      <c r="N267">
        <f t="shared" si="150"/>
        <v>0.188</v>
      </c>
      <c r="O267" s="21">
        <f t="shared" si="146"/>
        <v>5.0682125603864741</v>
      </c>
      <c r="P267" s="21">
        <f t="shared" si="147"/>
        <v>3.8367793880837366</v>
      </c>
      <c r="Q267" s="23">
        <f t="shared" si="142"/>
        <v>5.0682125603864741</v>
      </c>
      <c r="R267" s="23" t="str">
        <f t="shared" si="143"/>
        <v/>
      </c>
      <c r="T267" t="str">
        <f t="shared" si="144"/>
        <v/>
      </c>
    </row>
    <row r="268" spans="1:20" x14ac:dyDescent="0.2">
      <c r="A268">
        <v>267</v>
      </c>
      <c r="B268" t="s">
        <v>132</v>
      </c>
      <c r="C268" t="s">
        <v>345</v>
      </c>
      <c r="D268" t="s">
        <v>4</v>
      </c>
      <c r="E268" t="s">
        <v>9</v>
      </c>
      <c r="G268" t="s">
        <v>12</v>
      </c>
      <c r="H268">
        <v>13</v>
      </c>
      <c r="I268">
        <v>12</v>
      </c>
      <c r="J268">
        <v>3.05</v>
      </c>
      <c r="K268">
        <v>2.74</v>
      </c>
      <c r="L268">
        <v>0.92</v>
      </c>
      <c r="M268">
        <v>0.64300000000000002</v>
      </c>
      <c r="N268">
        <v>0.115</v>
      </c>
      <c r="O268" s="21">
        <f t="shared" si="146"/>
        <v>2.12780193236715</v>
      </c>
      <c r="P268" s="21">
        <f t="shared" si="147"/>
        <v>1.5790257648953301</v>
      </c>
      <c r="Q268" s="23" t="str">
        <f t="shared" si="142"/>
        <v/>
      </c>
      <c r="R268" s="23">
        <f t="shared" si="143"/>
        <v>2.12780193236715</v>
      </c>
      <c r="T268" t="str">
        <f t="shared" si="144"/>
        <v/>
      </c>
    </row>
    <row r="269" spans="1:20" x14ac:dyDescent="0.2">
      <c r="A269">
        <v>268</v>
      </c>
      <c r="B269" t="s">
        <v>132</v>
      </c>
      <c r="C269" t="s">
        <v>345</v>
      </c>
      <c r="D269" t="s">
        <v>4</v>
      </c>
      <c r="E269" t="s">
        <v>9</v>
      </c>
      <c r="G269" t="s">
        <v>14</v>
      </c>
      <c r="H269">
        <v>14</v>
      </c>
      <c r="I269">
        <v>17</v>
      </c>
      <c r="J269">
        <v>3.11</v>
      </c>
      <c r="K269">
        <v>3.85</v>
      </c>
      <c r="L269">
        <f t="shared" ref="L269:N269" si="151">L268</f>
        <v>0.92</v>
      </c>
      <c r="M269">
        <f t="shared" si="151"/>
        <v>0.64300000000000002</v>
      </c>
      <c r="N269">
        <f t="shared" si="151"/>
        <v>0.115</v>
      </c>
      <c r="O269" s="21">
        <f t="shared" si="146"/>
        <v>2.9897946859903386</v>
      </c>
      <c r="P269" s="21">
        <f t="shared" si="147"/>
        <v>1.6100885668276974</v>
      </c>
      <c r="Q269" s="23" t="str">
        <f t="shared" si="142"/>
        <v/>
      </c>
      <c r="R269" s="23">
        <f t="shared" si="143"/>
        <v>2.9897946859903386</v>
      </c>
      <c r="T269" t="str">
        <f t="shared" si="144"/>
        <v/>
      </c>
    </row>
    <row r="270" spans="1:20" x14ac:dyDescent="0.2">
      <c r="A270">
        <v>269</v>
      </c>
      <c r="B270" t="s">
        <v>133</v>
      </c>
      <c r="C270" t="s">
        <v>133</v>
      </c>
      <c r="D270" t="s">
        <v>4</v>
      </c>
      <c r="E270" t="s">
        <v>9</v>
      </c>
      <c r="G270" t="s">
        <v>10</v>
      </c>
      <c r="H270">
        <v>14</v>
      </c>
      <c r="I270">
        <v>14</v>
      </c>
      <c r="J270">
        <v>4.22</v>
      </c>
      <c r="K270">
        <v>2.87</v>
      </c>
      <c r="L270">
        <v>0.88</v>
      </c>
      <c r="M270">
        <v>0.39200000000000002</v>
      </c>
      <c r="N270">
        <v>7.0999999999999994E-2</v>
      </c>
      <c r="O270" s="21">
        <f t="shared" si="146"/>
        <v>1.4205050505050507</v>
      </c>
      <c r="P270" s="21">
        <f t="shared" si="147"/>
        <v>1.3924579124579126</v>
      </c>
      <c r="Q270" s="23">
        <f t="shared" si="142"/>
        <v>1.4205050505050507</v>
      </c>
      <c r="R270" s="23" t="str">
        <f t="shared" si="143"/>
        <v/>
      </c>
      <c r="T270" t="str">
        <f t="shared" si="144"/>
        <v/>
      </c>
    </row>
    <row r="271" spans="1:20" x14ac:dyDescent="0.2">
      <c r="A271">
        <v>270</v>
      </c>
      <c r="B271" t="s">
        <v>133</v>
      </c>
      <c r="C271" t="s">
        <v>133</v>
      </c>
      <c r="D271" t="s">
        <v>4</v>
      </c>
      <c r="E271" t="s">
        <v>9</v>
      </c>
      <c r="G271" t="s">
        <v>11</v>
      </c>
      <c r="H271">
        <v>13</v>
      </c>
      <c r="I271">
        <v>13</v>
      </c>
      <c r="J271">
        <v>3.45</v>
      </c>
      <c r="K271">
        <v>3.24</v>
      </c>
      <c r="L271">
        <f t="shared" ref="L271:N271" si="152">L270</f>
        <v>0.88</v>
      </c>
      <c r="M271">
        <f t="shared" si="152"/>
        <v>0.39200000000000002</v>
      </c>
      <c r="N271">
        <f t="shared" si="152"/>
        <v>7.0999999999999994E-2</v>
      </c>
      <c r="O271" s="21">
        <f t="shared" si="146"/>
        <v>1.603636363636364</v>
      </c>
      <c r="P271" s="21">
        <f t="shared" si="147"/>
        <v>1.1383838383838385</v>
      </c>
      <c r="Q271" s="23">
        <f t="shared" si="142"/>
        <v>1.603636363636364</v>
      </c>
      <c r="R271" s="23" t="str">
        <f t="shared" si="143"/>
        <v/>
      </c>
      <c r="T271" t="str">
        <f t="shared" si="144"/>
        <v/>
      </c>
    </row>
    <row r="272" spans="1:20" x14ac:dyDescent="0.2">
      <c r="A272">
        <v>271</v>
      </c>
      <c r="B272" t="s">
        <v>133</v>
      </c>
      <c r="C272" t="s">
        <v>133</v>
      </c>
      <c r="D272" t="s">
        <v>4</v>
      </c>
      <c r="E272" t="s">
        <v>9</v>
      </c>
      <c r="G272" t="s">
        <v>12</v>
      </c>
      <c r="H272">
        <v>18</v>
      </c>
      <c r="I272">
        <v>19</v>
      </c>
      <c r="J272">
        <v>4.22</v>
      </c>
      <c r="K272">
        <v>3.03</v>
      </c>
      <c r="L272">
        <v>0.64</v>
      </c>
      <c r="M272">
        <v>0.34699999999999998</v>
      </c>
      <c r="N272">
        <v>4.5999999999999999E-2</v>
      </c>
      <c r="O272" s="21">
        <f t="shared" si="146"/>
        <v>1.825364583333333</v>
      </c>
      <c r="P272" s="21">
        <f t="shared" si="147"/>
        <v>1.6948379629629629</v>
      </c>
      <c r="Q272" s="23" t="str">
        <f t="shared" si="142"/>
        <v/>
      </c>
      <c r="R272" s="23">
        <f t="shared" si="143"/>
        <v>1.825364583333333</v>
      </c>
      <c r="T272" t="str">
        <f t="shared" si="144"/>
        <v/>
      </c>
    </row>
    <row r="273" spans="1:20" x14ac:dyDescent="0.2">
      <c r="A273">
        <v>272</v>
      </c>
      <c r="B273" t="s">
        <v>133</v>
      </c>
      <c r="C273" t="s">
        <v>133</v>
      </c>
      <c r="D273" t="s">
        <v>4</v>
      </c>
      <c r="E273" t="s">
        <v>9</v>
      </c>
      <c r="G273" t="s">
        <v>14</v>
      </c>
      <c r="H273">
        <v>18</v>
      </c>
      <c r="I273">
        <v>19</v>
      </c>
      <c r="J273">
        <v>3.02</v>
      </c>
      <c r="K273">
        <v>2.9</v>
      </c>
      <c r="L273">
        <f t="shared" ref="L273:N273" si="153">L272</f>
        <v>0.64</v>
      </c>
      <c r="M273">
        <f t="shared" si="153"/>
        <v>0.34699999999999998</v>
      </c>
      <c r="N273">
        <f t="shared" si="153"/>
        <v>4.5999999999999999E-2</v>
      </c>
      <c r="O273" s="21">
        <f t="shared" si="146"/>
        <v>1.7470486111111108</v>
      </c>
      <c r="P273" s="21">
        <f t="shared" si="147"/>
        <v>1.2128935185185186</v>
      </c>
      <c r="Q273" s="23" t="str">
        <f t="shared" si="142"/>
        <v/>
      </c>
      <c r="R273" s="23">
        <f t="shared" si="143"/>
        <v>1.7470486111111108</v>
      </c>
      <c r="T273" t="str">
        <f t="shared" si="144"/>
        <v/>
      </c>
    </row>
    <row r="274" spans="1:20" x14ac:dyDescent="0.2">
      <c r="A274">
        <v>273</v>
      </c>
      <c r="B274" t="s">
        <v>134</v>
      </c>
      <c r="C274" t="s">
        <v>134</v>
      </c>
      <c r="D274" t="s">
        <v>26</v>
      </c>
      <c r="E274" t="s">
        <v>9</v>
      </c>
      <c r="G274" t="s">
        <v>10</v>
      </c>
      <c r="H274">
        <v>59</v>
      </c>
      <c r="I274">
        <v>58</v>
      </c>
      <c r="J274">
        <v>12.2</v>
      </c>
      <c r="K274">
        <v>12.1</v>
      </c>
      <c r="L274">
        <v>0.9</v>
      </c>
      <c r="M274">
        <v>0.50800000000000001</v>
      </c>
      <c r="N274">
        <v>0.121</v>
      </c>
      <c r="O274" s="21">
        <f t="shared" si="146"/>
        <v>7.5886419753086418</v>
      </c>
      <c r="P274" s="21">
        <f t="shared" si="147"/>
        <v>5.1009053497942389</v>
      </c>
      <c r="Q274" s="23">
        <f t="shared" si="142"/>
        <v>7.5886419753086418</v>
      </c>
      <c r="R274" s="23" t="str">
        <f t="shared" si="143"/>
        <v/>
      </c>
      <c r="T274" t="str">
        <f t="shared" si="144"/>
        <v/>
      </c>
    </row>
    <row r="275" spans="1:20" x14ac:dyDescent="0.2">
      <c r="A275">
        <v>274</v>
      </c>
      <c r="B275" t="s">
        <v>134</v>
      </c>
      <c r="C275" t="s">
        <v>134</v>
      </c>
      <c r="D275" t="s">
        <v>26</v>
      </c>
      <c r="E275" t="s">
        <v>9</v>
      </c>
      <c r="G275" t="s">
        <v>11</v>
      </c>
      <c r="H275">
        <v>32</v>
      </c>
      <c r="I275">
        <v>32</v>
      </c>
      <c r="J275">
        <v>8.6999999999999993</v>
      </c>
      <c r="K275">
        <v>8.8000000000000007</v>
      </c>
      <c r="L275">
        <f t="shared" ref="L275:N275" si="154">L274</f>
        <v>0.9</v>
      </c>
      <c r="M275">
        <f t="shared" si="154"/>
        <v>0.50800000000000001</v>
      </c>
      <c r="N275">
        <f t="shared" si="154"/>
        <v>0.121</v>
      </c>
      <c r="O275" s="21">
        <f t="shared" si="146"/>
        <v>5.5190123456790126</v>
      </c>
      <c r="P275" s="21">
        <f t="shared" si="147"/>
        <v>3.6375308641975308</v>
      </c>
      <c r="Q275" s="23">
        <f t="shared" si="142"/>
        <v>5.5190123456790126</v>
      </c>
      <c r="R275" s="23" t="str">
        <f t="shared" si="143"/>
        <v/>
      </c>
      <c r="T275" t="str">
        <f t="shared" si="144"/>
        <v/>
      </c>
    </row>
    <row r="276" spans="1:20" x14ac:dyDescent="0.2">
      <c r="A276">
        <v>275</v>
      </c>
      <c r="B276" t="s">
        <v>134</v>
      </c>
      <c r="C276" t="s">
        <v>134</v>
      </c>
      <c r="D276" t="s">
        <v>26</v>
      </c>
      <c r="E276" t="s">
        <v>9</v>
      </c>
      <c r="G276" t="s">
        <v>12</v>
      </c>
      <c r="H276">
        <v>31</v>
      </c>
      <c r="I276">
        <v>30</v>
      </c>
      <c r="J276">
        <v>5.4</v>
      </c>
      <c r="K276">
        <v>3.55</v>
      </c>
      <c r="L276">
        <v>0.8</v>
      </c>
      <c r="M276">
        <v>0.441</v>
      </c>
      <c r="N276">
        <v>0.113</v>
      </c>
      <c r="O276" s="21">
        <f t="shared" si="146"/>
        <v>2.1743749999999999</v>
      </c>
      <c r="P276" s="21">
        <f t="shared" si="147"/>
        <v>2.2049999999999996</v>
      </c>
      <c r="Q276" s="23" t="str">
        <f t="shared" si="142"/>
        <v/>
      </c>
      <c r="R276" s="23">
        <f t="shared" si="143"/>
        <v>2.1743749999999999</v>
      </c>
      <c r="T276" t="str">
        <f t="shared" si="144"/>
        <v/>
      </c>
    </row>
    <row r="277" spans="1:20" x14ac:dyDescent="0.2">
      <c r="A277">
        <v>276</v>
      </c>
      <c r="B277" t="s">
        <v>134</v>
      </c>
      <c r="C277" t="s">
        <v>134</v>
      </c>
      <c r="D277" t="s">
        <v>26</v>
      </c>
      <c r="E277" t="s">
        <v>9</v>
      </c>
      <c r="G277" t="s">
        <v>14</v>
      </c>
      <c r="H277">
        <v>43</v>
      </c>
      <c r="I277">
        <v>34</v>
      </c>
      <c r="J277">
        <v>6.6</v>
      </c>
      <c r="K277">
        <v>4.3499999999999996</v>
      </c>
      <c r="L277">
        <f t="shared" ref="L277:N277" si="155">L276</f>
        <v>0.8</v>
      </c>
      <c r="M277">
        <f t="shared" si="155"/>
        <v>0.441</v>
      </c>
      <c r="N277">
        <f t="shared" si="155"/>
        <v>0.113</v>
      </c>
      <c r="O277" s="21">
        <f t="shared" si="146"/>
        <v>2.6643749999999997</v>
      </c>
      <c r="P277" s="21">
        <f t="shared" si="147"/>
        <v>2.6949999999999994</v>
      </c>
      <c r="Q277" s="23" t="str">
        <f t="shared" si="142"/>
        <v/>
      </c>
      <c r="R277" s="23">
        <f t="shared" si="143"/>
        <v>2.6643749999999997</v>
      </c>
      <c r="T277" t="str">
        <f t="shared" si="144"/>
        <v/>
      </c>
    </row>
    <row r="278" spans="1:20" x14ac:dyDescent="0.2">
      <c r="A278">
        <v>277</v>
      </c>
      <c r="B278" t="s">
        <v>135</v>
      </c>
      <c r="C278" s="16" t="s">
        <v>346</v>
      </c>
      <c r="D278" t="s">
        <v>26</v>
      </c>
      <c r="E278" t="s">
        <v>9</v>
      </c>
      <c r="G278" t="s">
        <v>10</v>
      </c>
      <c r="H278">
        <v>37</v>
      </c>
      <c r="I278">
        <v>38</v>
      </c>
      <c r="J278">
        <v>12.5</v>
      </c>
      <c r="K278">
        <v>10.15</v>
      </c>
      <c r="L278">
        <v>1.45</v>
      </c>
      <c r="M278">
        <v>0.83</v>
      </c>
      <c r="N278">
        <v>0.159</v>
      </c>
      <c r="O278" s="21">
        <f t="shared" si="146"/>
        <v>6.4555555555555566</v>
      </c>
      <c r="P278" s="21">
        <f t="shared" si="147"/>
        <v>5.3001277139208174</v>
      </c>
      <c r="Q278" s="23">
        <f t="shared" si="142"/>
        <v>6.4555555555555566</v>
      </c>
      <c r="R278" s="23" t="str">
        <f t="shared" si="143"/>
        <v/>
      </c>
      <c r="T278" t="str">
        <f t="shared" si="144"/>
        <v/>
      </c>
    </row>
    <row r="279" spans="1:20" x14ac:dyDescent="0.2">
      <c r="A279">
        <v>278</v>
      </c>
      <c r="B279" t="s">
        <v>135</v>
      </c>
      <c r="C279" s="16" t="s">
        <v>346</v>
      </c>
      <c r="D279" t="s">
        <v>26</v>
      </c>
      <c r="E279" t="s">
        <v>9</v>
      </c>
      <c r="G279" t="s">
        <v>11</v>
      </c>
      <c r="H279">
        <v>45</v>
      </c>
      <c r="I279">
        <v>46</v>
      </c>
      <c r="J279">
        <v>13</v>
      </c>
      <c r="K279">
        <v>10.6</v>
      </c>
      <c r="L279">
        <f t="shared" ref="L279:N279" si="156">L278</f>
        <v>1.45</v>
      </c>
      <c r="M279">
        <f t="shared" si="156"/>
        <v>0.83</v>
      </c>
      <c r="N279">
        <f t="shared" si="156"/>
        <v>0.159</v>
      </c>
      <c r="O279" s="21">
        <f t="shared" si="146"/>
        <v>6.7417624521072801</v>
      </c>
      <c r="P279" s="21">
        <f t="shared" si="147"/>
        <v>5.5121328224776507</v>
      </c>
      <c r="Q279" s="23">
        <f t="shared" si="142"/>
        <v>6.7417624521072801</v>
      </c>
      <c r="R279" s="23" t="str">
        <f t="shared" si="143"/>
        <v/>
      </c>
      <c r="T279" t="str">
        <f t="shared" si="144"/>
        <v/>
      </c>
    </row>
    <row r="280" spans="1:20" x14ac:dyDescent="0.2">
      <c r="A280">
        <v>279</v>
      </c>
      <c r="B280" t="s">
        <v>135</v>
      </c>
      <c r="C280" s="16" t="s">
        <v>346</v>
      </c>
      <c r="D280" t="s">
        <v>26</v>
      </c>
      <c r="E280" t="s">
        <v>9</v>
      </c>
      <c r="G280" t="s">
        <v>12</v>
      </c>
      <c r="H280">
        <v>31</v>
      </c>
      <c r="I280">
        <v>31</v>
      </c>
      <c r="J280">
        <v>8.0500000000000007</v>
      </c>
      <c r="K280">
        <v>7.2</v>
      </c>
      <c r="L280">
        <v>1</v>
      </c>
      <c r="M280">
        <v>0.56999999999999995</v>
      </c>
      <c r="N280">
        <v>8.5999999999999993E-2</v>
      </c>
      <c r="O280" s="21">
        <f t="shared" si="146"/>
        <v>4.5600000000000005</v>
      </c>
      <c r="P280" s="21">
        <f t="shared" si="147"/>
        <v>3.3988888888888886</v>
      </c>
      <c r="Q280" s="23" t="str">
        <f t="shared" si="142"/>
        <v/>
      </c>
      <c r="R280" s="23">
        <f t="shared" si="143"/>
        <v>4.5600000000000005</v>
      </c>
      <c r="T280" t="str">
        <f t="shared" si="144"/>
        <v/>
      </c>
    </row>
    <row r="281" spans="1:20" x14ac:dyDescent="0.2">
      <c r="A281">
        <v>280</v>
      </c>
      <c r="B281" t="s">
        <v>135</v>
      </c>
      <c r="C281" s="16" t="s">
        <v>346</v>
      </c>
      <c r="D281" t="s">
        <v>26</v>
      </c>
      <c r="E281" t="s">
        <v>9</v>
      </c>
      <c r="G281" t="s">
        <v>14</v>
      </c>
      <c r="H281">
        <v>38</v>
      </c>
      <c r="I281">
        <v>37</v>
      </c>
      <c r="J281">
        <v>10.15</v>
      </c>
      <c r="K281">
        <v>9.15</v>
      </c>
      <c r="L281">
        <f t="shared" ref="L281:N281" si="157">L280</f>
        <v>1</v>
      </c>
      <c r="M281">
        <f t="shared" si="157"/>
        <v>0.56999999999999995</v>
      </c>
      <c r="N281">
        <f t="shared" si="157"/>
        <v>8.5999999999999993E-2</v>
      </c>
      <c r="O281" s="21">
        <f t="shared" si="146"/>
        <v>5.7949999999999999</v>
      </c>
      <c r="P281" s="21">
        <f t="shared" si="147"/>
        <v>4.2855555555555558</v>
      </c>
      <c r="Q281" s="23" t="str">
        <f t="shared" si="142"/>
        <v/>
      </c>
      <c r="R281" s="23">
        <f t="shared" si="143"/>
        <v>5.7949999999999999</v>
      </c>
      <c r="T281" t="str">
        <f t="shared" si="144"/>
        <v/>
      </c>
    </row>
    <row r="282" spans="1:20" x14ac:dyDescent="0.2">
      <c r="A282">
        <v>281</v>
      </c>
      <c r="B282" t="s">
        <v>136</v>
      </c>
      <c r="C282" s="16" t="s">
        <v>136</v>
      </c>
      <c r="D282" t="s">
        <v>26</v>
      </c>
      <c r="E282" t="s">
        <v>9</v>
      </c>
      <c r="G282" t="s">
        <v>10</v>
      </c>
      <c r="H282">
        <v>36</v>
      </c>
      <c r="I282">
        <v>39</v>
      </c>
      <c r="J282">
        <v>9.3000000000000007</v>
      </c>
      <c r="K282">
        <v>9.4</v>
      </c>
      <c r="L282">
        <v>1.1499999999999999</v>
      </c>
      <c r="M282">
        <v>0.78100000000000003</v>
      </c>
      <c r="N282">
        <v>0.11600000000000001</v>
      </c>
      <c r="O282" s="21">
        <f t="shared" si="146"/>
        <v>7.0931400966183586</v>
      </c>
      <c r="P282" s="21">
        <f t="shared" si="147"/>
        <v>4.6784541062801939</v>
      </c>
      <c r="Q282" s="23">
        <f t="shared" si="142"/>
        <v>7.0931400966183586</v>
      </c>
      <c r="R282" s="23" t="str">
        <f t="shared" si="143"/>
        <v/>
      </c>
      <c r="T282" t="str">
        <f t="shared" si="144"/>
        <v/>
      </c>
    </row>
    <row r="283" spans="1:20" x14ac:dyDescent="0.2">
      <c r="A283">
        <v>282</v>
      </c>
      <c r="B283" t="s">
        <v>136</v>
      </c>
      <c r="C283" s="16" t="s">
        <v>136</v>
      </c>
      <c r="D283" t="s">
        <v>26</v>
      </c>
      <c r="E283" t="s">
        <v>9</v>
      </c>
      <c r="G283" t="s">
        <v>11</v>
      </c>
      <c r="H283">
        <v>34</v>
      </c>
      <c r="I283">
        <v>36</v>
      </c>
      <c r="J283">
        <v>6.3</v>
      </c>
      <c r="K283">
        <v>7.6</v>
      </c>
      <c r="L283">
        <f t="shared" ref="L283:N283" si="158">L282</f>
        <v>1.1499999999999999</v>
      </c>
      <c r="M283">
        <f t="shared" si="158"/>
        <v>0.78100000000000003</v>
      </c>
      <c r="N283">
        <f t="shared" si="158"/>
        <v>0.11600000000000001</v>
      </c>
      <c r="O283" s="21">
        <f t="shared" si="146"/>
        <v>5.734879227053141</v>
      </c>
      <c r="P283" s="21">
        <f t="shared" si="147"/>
        <v>3.169275362318841</v>
      </c>
      <c r="Q283" s="23">
        <f t="shared" si="142"/>
        <v>5.734879227053141</v>
      </c>
      <c r="R283" s="23" t="str">
        <f t="shared" si="143"/>
        <v/>
      </c>
      <c r="T283" t="str">
        <f t="shared" si="144"/>
        <v/>
      </c>
    </row>
    <row r="284" spans="1:20" x14ac:dyDescent="0.2">
      <c r="A284">
        <v>283</v>
      </c>
      <c r="B284" t="s">
        <v>136</v>
      </c>
      <c r="C284" s="16" t="s">
        <v>136</v>
      </c>
      <c r="D284" t="s">
        <v>26</v>
      </c>
      <c r="E284" t="s">
        <v>9</v>
      </c>
      <c r="G284" t="s">
        <v>12</v>
      </c>
      <c r="H284">
        <v>34</v>
      </c>
      <c r="I284">
        <v>35</v>
      </c>
      <c r="J284">
        <v>4.5999999999999996</v>
      </c>
      <c r="K284">
        <v>5.75</v>
      </c>
      <c r="L284">
        <v>0.65</v>
      </c>
      <c r="M284">
        <v>0.51800000000000002</v>
      </c>
      <c r="N284">
        <v>7.4999999999999997E-2</v>
      </c>
      <c r="O284" s="21">
        <f t="shared" si="146"/>
        <v>5.0914529914529911</v>
      </c>
      <c r="P284" s="21">
        <f t="shared" si="147"/>
        <v>2.7154415954415954</v>
      </c>
      <c r="Q284" s="23" t="str">
        <f t="shared" si="142"/>
        <v/>
      </c>
      <c r="R284" s="23">
        <f t="shared" si="143"/>
        <v>5.0914529914529911</v>
      </c>
      <c r="T284" t="str">
        <f t="shared" si="144"/>
        <v/>
      </c>
    </row>
    <row r="285" spans="1:20" x14ac:dyDescent="0.2">
      <c r="A285">
        <v>284</v>
      </c>
      <c r="B285" t="s">
        <v>136</v>
      </c>
      <c r="C285" s="16" t="s">
        <v>136</v>
      </c>
      <c r="D285" t="s">
        <v>26</v>
      </c>
      <c r="E285" t="s">
        <v>9</v>
      </c>
      <c r="G285" t="s">
        <v>14</v>
      </c>
      <c r="H285">
        <v>29</v>
      </c>
      <c r="I285">
        <v>31</v>
      </c>
      <c r="J285">
        <v>4</v>
      </c>
      <c r="K285">
        <v>5.9</v>
      </c>
      <c r="L285">
        <f t="shared" ref="L285:N285" si="159">L284</f>
        <v>0.65</v>
      </c>
      <c r="M285">
        <f t="shared" si="159"/>
        <v>0.51800000000000002</v>
      </c>
      <c r="N285">
        <f t="shared" si="159"/>
        <v>7.4999999999999997E-2</v>
      </c>
      <c r="O285" s="21">
        <f t="shared" si="146"/>
        <v>5.2242735042735049</v>
      </c>
      <c r="P285" s="21">
        <f t="shared" si="147"/>
        <v>2.3612535612535615</v>
      </c>
      <c r="Q285" s="23" t="str">
        <f t="shared" si="142"/>
        <v/>
      </c>
      <c r="R285" s="23">
        <f t="shared" si="143"/>
        <v>5.2242735042735049</v>
      </c>
      <c r="T285" t="str">
        <f t="shared" si="144"/>
        <v/>
      </c>
    </row>
    <row r="286" spans="1:20" x14ac:dyDescent="0.2">
      <c r="A286">
        <v>285</v>
      </c>
      <c r="B286" t="s">
        <v>137</v>
      </c>
      <c r="C286" s="28" t="s">
        <v>423</v>
      </c>
      <c r="D286" t="s">
        <v>26</v>
      </c>
      <c r="E286" t="s">
        <v>9</v>
      </c>
      <c r="G286" t="s">
        <v>10</v>
      </c>
      <c r="H286">
        <v>34</v>
      </c>
      <c r="I286">
        <v>35</v>
      </c>
      <c r="J286">
        <v>11.2</v>
      </c>
      <c r="K286">
        <v>9.8000000000000007</v>
      </c>
      <c r="L286">
        <v>1.1000000000000001</v>
      </c>
      <c r="M286">
        <v>0.75800000000000001</v>
      </c>
      <c r="N286" s="15"/>
      <c r="O286" s="21">
        <f t="shared" si="146"/>
        <v>7.5034343434343445</v>
      </c>
      <c r="P286" s="21">
        <f t="shared" si="147"/>
        <v>5.7169023569023558</v>
      </c>
      <c r="Q286" s="23">
        <f t="shared" si="142"/>
        <v>7.5034343434343445</v>
      </c>
      <c r="R286" s="23" t="str">
        <f t="shared" si="143"/>
        <v/>
      </c>
      <c r="T286" t="str">
        <f t="shared" si="144"/>
        <v/>
      </c>
    </row>
    <row r="287" spans="1:20" x14ac:dyDescent="0.2">
      <c r="A287">
        <v>286</v>
      </c>
      <c r="B287" t="s">
        <v>137</v>
      </c>
      <c r="C287" s="28" t="s">
        <v>423</v>
      </c>
      <c r="D287" t="s">
        <v>26</v>
      </c>
      <c r="E287" t="s">
        <v>9</v>
      </c>
      <c r="G287" t="s">
        <v>11</v>
      </c>
      <c r="H287">
        <v>33</v>
      </c>
      <c r="I287">
        <v>34</v>
      </c>
      <c r="J287">
        <v>10.9</v>
      </c>
      <c r="K287">
        <v>9.5</v>
      </c>
      <c r="L287">
        <f t="shared" ref="L287:M287" si="160">L286</f>
        <v>1.1000000000000001</v>
      </c>
      <c r="M287">
        <f t="shared" si="160"/>
        <v>0.75800000000000001</v>
      </c>
      <c r="O287" s="21">
        <f t="shared" si="146"/>
        <v>7.2737373737373732</v>
      </c>
      <c r="P287" s="21">
        <f t="shared" si="147"/>
        <v>5.5637710437710437</v>
      </c>
      <c r="Q287" s="23">
        <f t="shared" si="142"/>
        <v>7.2737373737373732</v>
      </c>
      <c r="R287" s="23" t="str">
        <f t="shared" si="143"/>
        <v/>
      </c>
      <c r="T287" t="str">
        <f t="shared" si="144"/>
        <v/>
      </c>
    </row>
    <row r="288" spans="1:20" x14ac:dyDescent="0.2">
      <c r="A288">
        <v>287</v>
      </c>
      <c r="B288" t="s">
        <v>137</v>
      </c>
      <c r="C288" s="28" t="s">
        <v>423</v>
      </c>
      <c r="D288" t="s">
        <v>26</v>
      </c>
      <c r="E288" t="s">
        <v>9</v>
      </c>
      <c r="G288" t="s">
        <v>12</v>
      </c>
      <c r="H288">
        <v>32</v>
      </c>
      <c r="I288">
        <v>33</v>
      </c>
      <c r="J288">
        <v>7.3</v>
      </c>
      <c r="K288">
        <v>5.75</v>
      </c>
      <c r="L288">
        <v>0.85</v>
      </c>
      <c r="M288">
        <v>0.59099999999999997</v>
      </c>
      <c r="N288">
        <v>7.0000000000000007E-2</v>
      </c>
      <c r="O288" s="21">
        <f t="shared" si="146"/>
        <v>4.4421568627450982</v>
      </c>
      <c r="P288" s="21">
        <f t="shared" si="147"/>
        <v>3.7597385620915036</v>
      </c>
      <c r="Q288" s="23" t="str">
        <f t="shared" si="142"/>
        <v/>
      </c>
      <c r="R288" s="23">
        <f t="shared" si="143"/>
        <v>4.4421568627450982</v>
      </c>
      <c r="T288" t="str">
        <f t="shared" si="144"/>
        <v/>
      </c>
    </row>
    <row r="289" spans="1:20" x14ac:dyDescent="0.2">
      <c r="A289">
        <v>288</v>
      </c>
      <c r="B289" t="s">
        <v>137</v>
      </c>
      <c r="C289" s="28" t="s">
        <v>423</v>
      </c>
      <c r="D289" t="s">
        <v>26</v>
      </c>
      <c r="E289" t="s">
        <v>9</v>
      </c>
      <c r="G289" t="s">
        <v>14</v>
      </c>
      <c r="H289">
        <v>33</v>
      </c>
      <c r="I289">
        <v>35</v>
      </c>
      <c r="J289">
        <v>7.5</v>
      </c>
      <c r="K289">
        <v>6.05</v>
      </c>
      <c r="L289">
        <f t="shared" ref="L289:N289" si="161">L288</f>
        <v>0.85</v>
      </c>
      <c r="M289">
        <f t="shared" si="161"/>
        <v>0.59099999999999997</v>
      </c>
      <c r="N289">
        <f t="shared" si="161"/>
        <v>7.0000000000000007E-2</v>
      </c>
      <c r="O289" s="21">
        <f t="shared" si="146"/>
        <v>4.6739215686274509</v>
      </c>
      <c r="P289" s="21">
        <f t="shared" si="147"/>
        <v>3.8627450980392157</v>
      </c>
      <c r="Q289" s="23" t="str">
        <f t="shared" si="142"/>
        <v/>
      </c>
      <c r="R289" s="23">
        <f t="shared" si="143"/>
        <v>4.6739215686274509</v>
      </c>
      <c r="T289" t="str">
        <f t="shared" si="144"/>
        <v/>
      </c>
    </row>
    <row r="290" spans="1:20" x14ac:dyDescent="0.2">
      <c r="A290">
        <v>289</v>
      </c>
      <c r="B290" t="s">
        <v>138</v>
      </c>
      <c r="C290" s="16" t="s">
        <v>138</v>
      </c>
      <c r="D290" t="s">
        <v>26</v>
      </c>
      <c r="E290" t="s">
        <v>9</v>
      </c>
      <c r="G290" t="s">
        <v>10</v>
      </c>
      <c r="H290">
        <v>44</v>
      </c>
      <c r="I290">
        <v>45</v>
      </c>
      <c r="J290">
        <v>14.5</v>
      </c>
      <c r="K290">
        <v>10.45</v>
      </c>
      <c r="L290">
        <v>1.2</v>
      </c>
      <c r="M290">
        <v>0.70799999999999996</v>
      </c>
      <c r="N290">
        <v>0.124</v>
      </c>
      <c r="O290" s="21">
        <f t="shared" si="146"/>
        <v>6.8505555555555544</v>
      </c>
      <c r="P290" s="21">
        <f t="shared" si="147"/>
        <v>6.3370370370370379</v>
      </c>
      <c r="Q290" s="23">
        <f t="shared" si="142"/>
        <v>6.8505555555555544</v>
      </c>
      <c r="R290" s="23" t="str">
        <f t="shared" si="143"/>
        <v/>
      </c>
      <c r="T290" t="str">
        <f t="shared" si="144"/>
        <v/>
      </c>
    </row>
    <row r="291" spans="1:20" x14ac:dyDescent="0.2">
      <c r="A291">
        <v>290</v>
      </c>
      <c r="B291" t="s">
        <v>138</v>
      </c>
      <c r="C291" s="16" t="s">
        <v>138</v>
      </c>
      <c r="D291" t="s">
        <v>26</v>
      </c>
      <c r="E291" t="s">
        <v>9</v>
      </c>
      <c r="G291" t="s">
        <v>11</v>
      </c>
      <c r="H291">
        <v>42</v>
      </c>
      <c r="I291">
        <v>43</v>
      </c>
      <c r="J291">
        <v>13.7</v>
      </c>
      <c r="K291">
        <v>10.050000000000001</v>
      </c>
      <c r="L291">
        <f t="shared" ref="L291:N291" si="162">L290</f>
        <v>1.2</v>
      </c>
      <c r="M291">
        <f t="shared" si="162"/>
        <v>0.70799999999999996</v>
      </c>
      <c r="N291">
        <f t="shared" si="162"/>
        <v>0.124</v>
      </c>
      <c r="O291" s="21">
        <f t="shared" si="146"/>
        <v>6.5883333333333338</v>
      </c>
      <c r="P291" s="21">
        <f t="shared" si="147"/>
        <v>5.9874074074074075</v>
      </c>
      <c r="Q291" s="23">
        <f t="shared" si="142"/>
        <v>6.5883333333333338</v>
      </c>
      <c r="R291" s="23" t="str">
        <f t="shared" si="143"/>
        <v/>
      </c>
      <c r="T291" t="str">
        <f t="shared" si="144"/>
        <v/>
      </c>
    </row>
    <row r="292" spans="1:20" x14ac:dyDescent="0.2">
      <c r="A292">
        <v>291</v>
      </c>
      <c r="B292" t="s">
        <v>138</v>
      </c>
      <c r="C292" s="16" t="s">
        <v>138</v>
      </c>
      <c r="D292" t="s">
        <v>26</v>
      </c>
      <c r="E292" t="s">
        <v>9</v>
      </c>
      <c r="G292" t="s">
        <v>12</v>
      </c>
      <c r="H292">
        <v>32</v>
      </c>
      <c r="I292">
        <v>35</v>
      </c>
      <c r="J292">
        <v>7.8</v>
      </c>
      <c r="K292">
        <v>8.8000000000000007</v>
      </c>
      <c r="L292">
        <v>0.9</v>
      </c>
      <c r="M292">
        <v>0.57399999999999995</v>
      </c>
      <c r="N292">
        <v>0.127</v>
      </c>
      <c r="O292" s="21">
        <f t="shared" si="146"/>
        <v>6.2360493827160495</v>
      </c>
      <c r="P292" s="21">
        <f t="shared" si="147"/>
        <v>3.6849382716049375</v>
      </c>
      <c r="Q292" s="23" t="str">
        <f t="shared" si="142"/>
        <v/>
      </c>
      <c r="R292" s="23">
        <f t="shared" si="143"/>
        <v>6.2360493827160495</v>
      </c>
      <c r="T292" t="str">
        <f t="shared" si="144"/>
        <v/>
      </c>
    </row>
    <row r="293" spans="1:20" x14ac:dyDescent="0.2">
      <c r="A293">
        <v>292</v>
      </c>
      <c r="B293" t="s">
        <v>138</v>
      </c>
      <c r="C293" s="16" t="s">
        <v>138</v>
      </c>
      <c r="D293" t="s">
        <v>26</v>
      </c>
      <c r="E293" t="s">
        <v>9</v>
      </c>
      <c r="G293" t="s">
        <v>14</v>
      </c>
      <c r="H293">
        <v>32</v>
      </c>
      <c r="I293">
        <v>32</v>
      </c>
      <c r="J293">
        <v>7.6</v>
      </c>
      <c r="K293">
        <v>8.4499999999999993</v>
      </c>
      <c r="L293">
        <f t="shared" ref="L293:N293" si="163">L292</f>
        <v>0.9</v>
      </c>
      <c r="M293">
        <f t="shared" si="163"/>
        <v>0.57399999999999995</v>
      </c>
      <c r="N293">
        <f t="shared" si="163"/>
        <v>0.127</v>
      </c>
      <c r="O293" s="21">
        <f t="shared" si="146"/>
        <v>5.9880246913580235</v>
      </c>
      <c r="P293" s="21">
        <f t="shared" si="147"/>
        <v>3.5904526748971191</v>
      </c>
      <c r="Q293" s="23" t="str">
        <f t="shared" si="142"/>
        <v/>
      </c>
      <c r="R293" s="23">
        <f t="shared" si="143"/>
        <v>5.9880246913580235</v>
      </c>
      <c r="T293" t="str">
        <f t="shared" si="144"/>
        <v/>
      </c>
    </row>
    <row r="294" spans="1:20" x14ac:dyDescent="0.2">
      <c r="A294">
        <v>293</v>
      </c>
      <c r="B294" t="s">
        <v>139</v>
      </c>
      <c r="C294" s="16" t="s">
        <v>139</v>
      </c>
      <c r="D294" t="s">
        <v>26</v>
      </c>
      <c r="E294" t="s">
        <v>9</v>
      </c>
      <c r="G294" t="s">
        <v>10</v>
      </c>
      <c r="H294">
        <v>31</v>
      </c>
      <c r="I294">
        <v>37</v>
      </c>
      <c r="J294">
        <v>12.5</v>
      </c>
      <c r="K294">
        <v>9.35</v>
      </c>
      <c r="L294">
        <v>1.5</v>
      </c>
      <c r="M294" s="4">
        <v>0.91500000000000004</v>
      </c>
      <c r="N294" s="4">
        <v>0.105</v>
      </c>
      <c r="O294" s="21">
        <f t="shared" si="146"/>
        <v>6.3372222222222225</v>
      </c>
      <c r="P294" s="21">
        <f t="shared" si="147"/>
        <v>5.6481481481481479</v>
      </c>
      <c r="Q294" s="23">
        <f t="shared" si="142"/>
        <v>6.3372222222222225</v>
      </c>
      <c r="R294" s="23" t="str">
        <f t="shared" si="143"/>
        <v/>
      </c>
      <c r="T294" t="str">
        <f t="shared" si="144"/>
        <v/>
      </c>
    </row>
    <row r="295" spans="1:20" x14ac:dyDescent="0.2">
      <c r="A295">
        <v>294</v>
      </c>
      <c r="B295" t="s">
        <v>139</v>
      </c>
      <c r="C295" s="16" t="s">
        <v>139</v>
      </c>
      <c r="D295" t="s">
        <v>26</v>
      </c>
      <c r="E295" t="s">
        <v>9</v>
      </c>
      <c r="G295" t="s">
        <v>11</v>
      </c>
      <c r="H295">
        <v>29</v>
      </c>
      <c r="I295">
        <v>32</v>
      </c>
      <c r="J295">
        <v>16.75</v>
      </c>
      <c r="K295">
        <v>9.0500000000000007</v>
      </c>
      <c r="L295">
        <f t="shared" ref="L295:N295" si="164">L294</f>
        <v>1.5</v>
      </c>
      <c r="M295">
        <v>0.91500000000000004</v>
      </c>
      <c r="N295">
        <f t="shared" si="164"/>
        <v>0.105</v>
      </c>
      <c r="O295" s="21">
        <f t="shared" si="146"/>
        <v>6.1338888888888894</v>
      </c>
      <c r="P295" s="21">
        <f t="shared" si="147"/>
        <v>7.5685185185185189</v>
      </c>
      <c r="Q295" s="23">
        <f t="shared" si="142"/>
        <v>6.1338888888888894</v>
      </c>
      <c r="R295" s="23" t="str">
        <f t="shared" si="143"/>
        <v/>
      </c>
      <c r="T295" t="str">
        <f t="shared" si="144"/>
        <v/>
      </c>
    </row>
    <row r="296" spans="1:20" x14ac:dyDescent="0.2">
      <c r="A296">
        <v>295</v>
      </c>
      <c r="B296" t="s">
        <v>139</v>
      </c>
      <c r="C296" s="16" t="s">
        <v>139</v>
      </c>
      <c r="D296" t="s">
        <v>26</v>
      </c>
      <c r="E296" t="s">
        <v>9</v>
      </c>
      <c r="G296" t="s">
        <v>12</v>
      </c>
      <c r="H296">
        <v>31</v>
      </c>
      <c r="I296">
        <v>30</v>
      </c>
      <c r="J296">
        <v>9.1</v>
      </c>
      <c r="K296">
        <v>7.5</v>
      </c>
      <c r="L296">
        <v>0.95</v>
      </c>
      <c r="M296">
        <v>0.57899999999999996</v>
      </c>
      <c r="N296">
        <v>7.9000000000000001E-2</v>
      </c>
      <c r="O296" s="21">
        <f t="shared" si="146"/>
        <v>5.0789473684210531</v>
      </c>
      <c r="P296" s="21">
        <f t="shared" si="147"/>
        <v>4.1083040935672521</v>
      </c>
      <c r="Q296" s="23" t="str">
        <f t="shared" si="142"/>
        <v/>
      </c>
      <c r="R296" s="23">
        <f t="shared" si="143"/>
        <v>5.0789473684210531</v>
      </c>
      <c r="T296" t="str">
        <f t="shared" si="144"/>
        <v/>
      </c>
    </row>
    <row r="297" spans="1:20" x14ac:dyDescent="0.2">
      <c r="A297">
        <v>296</v>
      </c>
      <c r="B297" t="s">
        <v>139</v>
      </c>
      <c r="C297" s="16" t="s">
        <v>139</v>
      </c>
      <c r="D297" t="s">
        <v>26</v>
      </c>
      <c r="E297" t="s">
        <v>9</v>
      </c>
      <c r="G297" t="s">
        <v>14</v>
      </c>
      <c r="H297">
        <v>35</v>
      </c>
      <c r="I297">
        <v>33</v>
      </c>
      <c r="J297">
        <v>7.3</v>
      </c>
      <c r="K297">
        <v>7.2</v>
      </c>
      <c r="L297">
        <f t="shared" ref="L297:N297" si="165">L296</f>
        <v>0.95</v>
      </c>
      <c r="M297">
        <f t="shared" si="165"/>
        <v>0.57899999999999996</v>
      </c>
      <c r="N297">
        <f t="shared" si="165"/>
        <v>7.9000000000000001E-2</v>
      </c>
      <c r="O297" s="21">
        <f t="shared" si="146"/>
        <v>4.8757894736842102</v>
      </c>
      <c r="P297" s="21">
        <f t="shared" si="147"/>
        <v>3.2956725146198833</v>
      </c>
      <c r="Q297" s="23" t="str">
        <f t="shared" si="142"/>
        <v/>
      </c>
      <c r="R297" s="23">
        <f t="shared" si="143"/>
        <v>4.8757894736842102</v>
      </c>
      <c r="T297" t="str">
        <f t="shared" si="144"/>
        <v/>
      </c>
    </row>
    <row r="298" spans="1:20" x14ac:dyDescent="0.2">
      <c r="A298">
        <v>297</v>
      </c>
      <c r="B298" t="s">
        <v>140</v>
      </c>
      <c r="C298" t="s">
        <v>140</v>
      </c>
      <c r="D298" t="s">
        <v>26</v>
      </c>
      <c r="E298" t="s">
        <v>9</v>
      </c>
      <c r="G298" t="s">
        <v>10</v>
      </c>
      <c r="H298">
        <v>45</v>
      </c>
      <c r="I298">
        <v>43</v>
      </c>
      <c r="J298">
        <v>13.7</v>
      </c>
      <c r="K298">
        <v>9.6999999999999993</v>
      </c>
      <c r="L298">
        <v>1.05</v>
      </c>
      <c r="M298">
        <v>0.7</v>
      </c>
      <c r="N298">
        <v>9.7000000000000003E-2</v>
      </c>
      <c r="O298" s="21">
        <f t="shared" si="146"/>
        <v>7.1851851851851842</v>
      </c>
      <c r="P298" s="21">
        <f t="shared" si="147"/>
        <v>6.7654320987654311</v>
      </c>
      <c r="Q298" s="23">
        <f t="shared" si="142"/>
        <v>7.1851851851851842</v>
      </c>
      <c r="R298" s="23" t="str">
        <f t="shared" si="143"/>
        <v/>
      </c>
      <c r="T298" t="str">
        <f t="shared" si="144"/>
        <v/>
      </c>
    </row>
    <row r="299" spans="1:20" x14ac:dyDescent="0.2">
      <c r="A299">
        <v>298</v>
      </c>
      <c r="B299" t="s">
        <v>140</v>
      </c>
      <c r="C299" t="s">
        <v>140</v>
      </c>
      <c r="D299" t="s">
        <v>26</v>
      </c>
      <c r="E299" t="s">
        <v>9</v>
      </c>
      <c r="G299" t="s">
        <v>11</v>
      </c>
      <c r="H299">
        <v>32</v>
      </c>
      <c r="I299">
        <v>34</v>
      </c>
      <c r="J299">
        <v>11.6</v>
      </c>
      <c r="K299">
        <v>7.55</v>
      </c>
      <c r="L299">
        <f t="shared" ref="L299:N299" si="166">L298</f>
        <v>1.05</v>
      </c>
      <c r="M299">
        <f t="shared" si="166"/>
        <v>0.7</v>
      </c>
      <c r="N299">
        <f t="shared" si="166"/>
        <v>9.7000000000000003E-2</v>
      </c>
      <c r="O299" s="21">
        <f t="shared" si="146"/>
        <v>5.5925925925925926</v>
      </c>
      <c r="P299" s="21">
        <f t="shared" si="147"/>
        <v>5.7283950617283939</v>
      </c>
      <c r="Q299" s="23">
        <f t="shared" si="142"/>
        <v>5.5925925925925926</v>
      </c>
      <c r="R299" s="23" t="str">
        <f t="shared" si="143"/>
        <v/>
      </c>
      <c r="T299" t="str">
        <f t="shared" si="144"/>
        <v/>
      </c>
    </row>
    <row r="300" spans="1:20" x14ac:dyDescent="0.2">
      <c r="A300">
        <v>299</v>
      </c>
      <c r="B300" t="s">
        <v>140</v>
      </c>
      <c r="C300" t="s">
        <v>140</v>
      </c>
      <c r="D300" t="s">
        <v>26</v>
      </c>
      <c r="E300" t="s">
        <v>9</v>
      </c>
      <c r="G300" t="s">
        <v>12</v>
      </c>
      <c r="H300">
        <v>18</v>
      </c>
      <c r="I300">
        <v>25</v>
      </c>
      <c r="J300">
        <v>2.8</v>
      </c>
      <c r="K300">
        <v>3.95</v>
      </c>
      <c r="L300">
        <v>0.8</v>
      </c>
      <c r="M300">
        <v>0.501</v>
      </c>
      <c r="N300">
        <v>0.107</v>
      </c>
      <c r="O300" s="21">
        <f t="shared" si="146"/>
        <v>2.7485416666666667</v>
      </c>
      <c r="P300" s="21">
        <f t="shared" si="147"/>
        <v>1.2988888888888888</v>
      </c>
      <c r="Q300" s="23" t="str">
        <f t="shared" si="142"/>
        <v/>
      </c>
      <c r="R300" s="23">
        <f t="shared" si="143"/>
        <v>2.7485416666666667</v>
      </c>
      <c r="T300" t="str">
        <f t="shared" si="144"/>
        <v/>
      </c>
    </row>
    <row r="301" spans="1:20" x14ac:dyDescent="0.2">
      <c r="A301">
        <v>300</v>
      </c>
      <c r="B301" t="s">
        <v>140</v>
      </c>
      <c r="C301" t="s">
        <v>140</v>
      </c>
      <c r="D301" t="s">
        <v>26</v>
      </c>
      <c r="E301" t="s">
        <v>9</v>
      </c>
      <c r="G301" t="s">
        <v>14</v>
      </c>
      <c r="H301">
        <v>23</v>
      </c>
      <c r="I301">
        <v>37</v>
      </c>
      <c r="J301">
        <v>3.3</v>
      </c>
      <c r="K301">
        <v>5.55</v>
      </c>
      <c r="L301">
        <f t="shared" ref="L301:N301" si="167">L300</f>
        <v>0.8</v>
      </c>
      <c r="M301">
        <f t="shared" si="167"/>
        <v>0.501</v>
      </c>
      <c r="N301">
        <f t="shared" si="167"/>
        <v>0.107</v>
      </c>
      <c r="O301" s="21">
        <f t="shared" si="146"/>
        <v>3.8618749999999999</v>
      </c>
      <c r="P301" s="21">
        <f t="shared" si="147"/>
        <v>1.530833333333333</v>
      </c>
      <c r="Q301" s="23" t="str">
        <f t="shared" si="142"/>
        <v/>
      </c>
      <c r="R301" s="23">
        <f t="shared" si="143"/>
        <v>3.8618749999999999</v>
      </c>
      <c r="T301" t="str">
        <f t="shared" si="144"/>
        <v/>
      </c>
    </row>
    <row r="302" spans="1:20" x14ac:dyDescent="0.2">
      <c r="A302">
        <v>301</v>
      </c>
      <c r="B302" s="14" t="s">
        <v>141</v>
      </c>
      <c r="C302" s="14"/>
      <c r="D302" s="12" t="s">
        <v>26</v>
      </c>
      <c r="E302" t="s">
        <v>9</v>
      </c>
      <c r="G302" t="s">
        <v>11</v>
      </c>
      <c r="H302">
        <v>38</v>
      </c>
      <c r="I302">
        <v>40</v>
      </c>
      <c r="J302">
        <v>13.4</v>
      </c>
      <c r="K302">
        <v>11.5</v>
      </c>
      <c r="L302" s="16"/>
      <c r="M302" s="12">
        <v>0.29599999999999999</v>
      </c>
      <c r="N302" s="12">
        <v>0.10199999999999999</v>
      </c>
      <c r="O302" s="21" t="e">
        <f t="shared" si="146"/>
        <v>#DIV/0!</v>
      </c>
      <c r="P302" s="21" t="e">
        <f t="shared" si="147"/>
        <v>#DIV/0!</v>
      </c>
      <c r="Q302" s="23" t="e">
        <f t="shared" si="142"/>
        <v>#DIV/0!</v>
      </c>
      <c r="R302" s="23" t="str">
        <f t="shared" si="143"/>
        <v/>
      </c>
      <c r="T302" t="e">
        <f t="shared" si="144"/>
        <v>#DIV/0!</v>
      </c>
    </row>
    <row r="303" spans="1:20" x14ac:dyDescent="0.2">
      <c r="A303">
        <v>302</v>
      </c>
      <c r="B303" t="s">
        <v>142</v>
      </c>
      <c r="C303" t="s">
        <v>142</v>
      </c>
      <c r="D303" t="s">
        <v>26</v>
      </c>
      <c r="E303" t="s">
        <v>9</v>
      </c>
      <c r="G303" t="s">
        <v>10</v>
      </c>
      <c r="H303">
        <v>37</v>
      </c>
      <c r="I303">
        <v>39</v>
      </c>
      <c r="J303">
        <v>13.3</v>
      </c>
      <c r="K303">
        <v>10.25</v>
      </c>
      <c r="L303">
        <v>1.1499999999999999</v>
      </c>
      <c r="M303">
        <v>0.60099999999999998</v>
      </c>
      <c r="N303">
        <v>7.0000000000000007E-2</v>
      </c>
      <c r="O303" s="21">
        <f t="shared" si="146"/>
        <v>5.9519323671497597</v>
      </c>
      <c r="P303" s="21">
        <f t="shared" si="147"/>
        <v>5.1486634460547513</v>
      </c>
      <c r="Q303" s="23">
        <f t="shared" si="142"/>
        <v>5.9519323671497597</v>
      </c>
      <c r="R303" s="23" t="str">
        <f t="shared" si="143"/>
        <v/>
      </c>
      <c r="T303" t="str">
        <f t="shared" si="144"/>
        <v/>
      </c>
    </row>
    <row r="304" spans="1:20" x14ac:dyDescent="0.2">
      <c r="A304">
        <v>303</v>
      </c>
      <c r="B304" t="s">
        <v>142</v>
      </c>
      <c r="C304" t="s">
        <v>142</v>
      </c>
      <c r="D304" t="s">
        <v>26</v>
      </c>
      <c r="E304" t="s">
        <v>9</v>
      </c>
      <c r="G304" t="s">
        <v>11</v>
      </c>
      <c r="H304">
        <v>36</v>
      </c>
      <c r="I304">
        <v>37</v>
      </c>
      <c r="J304">
        <v>12.6</v>
      </c>
      <c r="K304">
        <v>9.9499999999999993</v>
      </c>
      <c r="L304">
        <f t="shared" ref="L304:N304" si="168">L303</f>
        <v>1.1499999999999999</v>
      </c>
      <c r="M304">
        <f t="shared" si="168"/>
        <v>0.60099999999999998</v>
      </c>
      <c r="N304">
        <f t="shared" si="168"/>
        <v>7.0000000000000007E-2</v>
      </c>
      <c r="O304" s="21">
        <f t="shared" si="146"/>
        <v>5.7777294685990341</v>
      </c>
      <c r="P304" s="21">
        <f t="shared" si="147"/>
        <v>4.8776811594202902</v>
      </c>
      <c r="Q304" s="23">
        <f t="shared" si="142"/>
        <v>5.7777294685990341</v>
      </c>
      <c r="R304" s="23" t="str">
        <f t="shared" si="143"/>
        <v/>
      </c>
      <c r="T304" t="str">
        <f t="shared" si="144"/>
        <v/>
      </c>
    </row>
    <row r="305" spans="1:20" x14ac:dyDescent="0.2">
      <c r="A305">
        <v>304</v>
      </c>
      <c r="B305" t="s">
        <v>142</v>
      </c>
      <c r="C305" t="s">
        <v>142</v>
      </c>
      <c r="D305" t="s">
        <v>26</v>
      </c>
      <c r="E305" t="s">
        <v>9</v>
      </c>
      <c r="G305" t="s">
        <v>12</v>
      </c>
      <c r="H305">
        <v>35</v>
      </c>
      <c r="I305">
        <v>32</v>
      </c>
      <c r="J305">
        <v>8.85</v>
      </c>
      <c r="K305">
        <v>5.85</v>
      </c>
      <c r="L305">
        <v>0.9</v>
      </c>
      <c r="M305">
        <v>0.45300000000000001</v>
      </c>
      <c r="N305">
        <v>6.9000000000000006E-2</v>
      </c>
      <c r="O305" s="21">
        <f t="shared" si="146"/>
        <v>3.2716666666666665</v>
      </c>
      <c r="P305" s="21">
        <f t="shared" si="147"/>
        <v>3.2996296296296297</v>
      </c>
      <c r="Q305" s="23" t="str">
        <f t="shared" si="142"/>
        <v/>
      </c>
      <c r="R305" s="23">
        <f t="shared" si="143"/>
        <v>3.2716666666666665</v>
      </c>
      <c r="T305" t="str">
        <f t="shared" si="144"/>
        <v/>
      </c>
    </row>
    <row r="306" spans="1:20" x14ac:dyDescent="0.2">
      <c r="A306">
        <v>305</v>
      </c>
      <c r="B306" t="s">
        <v>143</v>
      </c>
      <c r="C306" t="s">
        <v>347</v>
      </c>
      <c r="D306" t="s">
        <v>26</v>
      </c>
      <c r="E306" t="s">
        <v>9</v>
      </c>
      <c r="G306" t="s">
        <v>10</v>
      </c>
      <c r="H306">
        <v>33</v>
      </c>
      <c r="I306">
        <v>33</v>
      </c>
      <c r="J306">
        <v>12.45</v>
      </c>
      <c r="K306">
        <v>8.9</v>
      </c>
      <c r="L306">
        <v>1.3</v>
      </c>
      <c r="M306">
        <v>0.746</v>
      </c>
      <c r="N306">
        <v>0.105</v>
      </c>
      <c r="O306" s="21">
        <f t="shared" si="146"/>
        <v>5.6747008547008546</v>
      </c>
      <c r="P306" s="21">
        <f t="shared" si="147"/>
        <v>5.2921367521367513</v>
      </c>
      <c r="Q306" s="23">
        <f t="shared" si="142"/>
        <v>5.6747008547008546</v>
      </c>
      <c r="R306" s="23" t="str">
        <f t="shared" si="143"/>
        <v/>
      </c>
      <c r="T306" t="str">
        <f t="shared" si="144"/>
        <v/>
      </c>
    </row>
    <row r="307" spans="1:20" x14ac:dyDescent="0.2">
      <c r="A307">
        <v>306</v>
      </c>
      <c r="B307" t="s">
        <v>143</v>
      </c>
      <c r="C307" t="s">
        <v>347</v>
      </c>
      <c r="D307" t="s">
        <v>26</v>
      </c>
      <c r="E307" t="s">
        <v>9</v>
      </c>
      <c r="G307" t="s">
        <v>11</v>
      </c>
      <c r="H307">
        <v>31</v>
      </c>
      <c r="I307">
        <v>32</v>
      </c>
      <c r="J307">
        <v>12.6</v>
      </c>
      <c r="K307">
        <v>8.65</v>
      </c>
      <c r="L307">
        <f t="shared" ref="L307:N307" si="169">L306</f>
        <v>1.3</v>
      </c>
      <c r="M307">
        <f t="shared" si="169"/>
        <v>0.746</v>
      </c>
      <c r="N307">
        <f t="shared" si="169"/>
        <v>0.105</v>
      </c>
      <c r="O307" s="21">
        <f t="shared" si="146"/>
        <v>5.5152991452991449</v>
      </c>
      <c r="P307" s="21">
        <f t="shared" si="147"/>
        <v>5.3558974358974352</v>
      </c>
      <c r="Q307" s="23">
        <f t="shared" si="142"/>
        <v>5.5152991452991449</v>
      </c>
      <c r="R307" s="23" t="str">
        <f t="shared" si="143"/>
        <v/>
      </c>
      <c r="T307" t="str">
        <f t="shared" si="144"/>
        <v/>
      </c>
    </row>
    <row r="308" spans="1:20" x14ac:dyDescent="0.2">
      <c r="A308">
        <v>307</v>
      </c>
      <c r="B308" t="s">
        <v>143</v>
      </c>
      <c r="C308" t="s">
        <v>347</v>
      </c>
      <c r="D308" t="s">
        <v>26</v>
      </c>
      <c r="E308" t="s">
        <v>9</v>
      </c>
      <c r="G308" t="s">
        <v>12</v>
      </c>
      <c r="H308">
        <v>27</v>
      </c>
      <c r="I308">
        <v>26</v>
      </c>
      <c r="J308">
        <v>5.75</v>
      </c>
      <c r="K308">
        <v>4.25</v>
      </c>
      <c r="L308">
        <v>0.75</v>
      </c>
      <c r="M308">
        <v>0.54</v>
      </c>
      <c r="N308">
        <v>8.6999999999999994E-2</v>
      </c>
      <c r="O308" s="21">
        <f t="shared" si="146"/>
        <v>3.4000000000000008</v>
      </c>
      <c r="P308" s="21">
        <f t="shared" si="147"/>
        <v>3.0666666666666669</v>
      </c>
      <c r="Q308" s="23" t="str">
        <f t="shared" si="142"/>
        <v/>
      </c>
      <c r="R308" s="23">
        <f t="shared" si="143"/>
        <v>3.4000000000000008</v>
      </c>
      <c r="T308" t="str">
        <f t="shared" si="144"/>
        <v/>
      </c>
    </row>
    <row r="309" spans="1:20" x14ac:dyDescent="0.2">
      <c r="A309">
        <v>308</v>
      </c>
      <c r="B309" t="s">
        <v>143</v>
      </c>
      <c r="C309" t="s">
        <v>347</v>
      </c>
      <c r="D309" t="s">
        <v>26</v>
      </c>
      <c r="E309" t="s">
        <v>9</v>
      </c>
      <c r="G309" t="s">
        <v>14</v>
      </c>
      <c r="H309">
        <v>38</v>
      </c>
      <c r="I309">
        <v>40</v>
      </c>
      <c r="J309">
        <v>4.8</v>
      </c>
      <c r="K309">
        <v>4.5</v>
      </c>
      <c r="L309">
        <f t="shared" ref="L309:N309" si="170">L308</f>
        <v>0.75</v>
      </c>
      <c r="M309">
        <f t="shared" si="170"/>
        <v>0.54</v>
      </c>
      <c r="N309">
        <f t="shared" si="170"/>
        <v>8.6999999999999994E-2</v>
      </c>
      <c r="O309" s="21">
        <f t="shared" si="146"/>
        <v>3.6000000000000005</v>
      </c>
      <c r="P309" s="21">
        <f t="shared" si="147"/>
        <v>2.5600000000000005</v>
      </c>
      <c r="Q309" s="23" t="str">
        <f t="shared" si="142"/>
        <v/>
      </c>
      <c r="R309" s="23">
        <f t="shared" si="143"/>
        <v>3.6000000000000005</v>
      </c>
      <c r="T309" t="str">
        <f t="shared" si="144"/>
        <v/>
      </c>
    </row>
    <row r="310" spans="1:20" x14ac:dyDescent="0.2">
      <c r="A310">
        <v>309</v>
      </c>
      <c r="B310" t="s">
        <v>144</v>
      </c>
      <c r="C310" s="28" t="s">
        <v>144</v>
      </c>
      <c r="D310" t="s">
        <v>26</v>
      </c>
      <c r="E310" t="s">
        <v>9</v>
      </c>
      <c r="G310" t="s">
        <v>10</v>
      </c>
      <c r="H310">
        <v>35</v>
      </c>
      <c r="I310">
        <v>36</v>
      </c>
      <c r="J310">
        <v>14</v>
      </c>
      <c r="K310">
        <v>11.55</v>
      </c>
      <c r="L310">
        <v>1.25</v>
      </c>
      <c r="M310">
        <v>0.71899999999999997</v>
      </c>
      <c r="N310">
        <v>0.10100000000000001</v>
      </c>
      <c r="O310" s="21">
        <f t="shared" si="146"/>
        <v>7.3817333333333339</v>
      </c>
      <c r="P310" s="21">
        <f t="shared" si="147"/>
        <v>5.965037037037038</v>
      </c>
      <c r="Q310" s="23">
        <f t="shared" si="142"/>
        <v>7.3817333333333339</v>
      </c>
      <c r="R310" s="23" t="str">
        <f t="shared" si="143"/>
        <v/>
      </c>
      <c r="T310" t="str">
        <f t="shared" si="144"/>
        <v/>
      </c>
    </row>
    <row r="311" spans="1:20" x14ac:dyDescent="0.2">
      <c r="A311">
        <v>310</v>
      </c>
      <c r="B311" t="s">
        <v>144</v>
      </c>
      <c r="C311" s="28" t="s">
        <v>144</v>
      </c>
      <c r="D311" t="s">
        <v>26</v>
      </c>
      <c r="E311" t="s">
        <v>9</v>
      </c>
      <c r="G311" t="s">
        <v>11</v>
      </c>
      <c r="H311">
        <v>38</v>
      </c>
      <c r="I311">
        <v>40</v>
      </c>
      <c r="J311">
        <v>13.4</v>
      </c>
      <c r="K311">
        <v>11.5</v>
      </c>
      <c r="L311">
        <f t="shared" ref="L311:N311" si="171">L310</f>
        <v>1.25</v>
      </c>
      <c r="M311">
        <f t="shared" si="171"/>
        <v>0.71899999999999997</v>
      </c>
      <c r="N311">
        <f t="shared" si="171"/>
        <v>0.10100000000000001</v>
      </c>
      <c r="O311" s="21">
        <f t="shared" si="146"/>
        <v>7.3497777777777769</v>
      </c>
      <c r="P311" s="21">
        <f t="shared" si="147"/>
        <v>5.709392592592593</v>
      </c>
      <c r="Q311" s="23">
        <f t="shared" si="142"/>
        <v>7.3497777777777769</v>
      </c>
      <c r="R311" s="23" t="str">
        <f t="shared" si="143"/>
        <v/>
      </c>
      <c r="T311" t="str">
        <f t="shared" si="144"/>
        <v/>
      </c>
    </row>
    <row r="312" spans="1:20" x14ac:dyDescent="0.2">
      <c r="A312">
        <v>311</v>
      </c>
      <c r="B312" t="s">
        <v>144</v>
      </c>
      <c r="C312" s="28" t="s">
        <v>144</v>
      </c>
      <c r="D312" t="s">
        <v>26</v>
      </c>
      <c r="E312" t="s">
        <v>9</v>
      </c>
      <c r="G312" t="s">
        <v>12</v>
      </c>
      <c r="H312">
        <v>31</v>
      </c>
      <c r="I312">
        <v>31</v>
      </c>
      <c r="J312">
        <v>6.7</v>
      </c>
      <c r="K312">
        <v>6.2</v>
      </c>
      <c r="L312">
        <v>0.85</v>
      </c>
      <c r="M312">
        <v>0.52500000000000002</v>
      </c>
      <c r="N312">
        <v>0.09</v>
      </c>
      <c r="O312" s="21">
        <f t="shared" si="146"/>
        <v>4.2549019607843137</v>
      </c>
      <c r="P312" s="21">
        <f t="shared" si="147"/>
        <v>3.0653594771241837</v>
      </c>
      <c r="Q312" s="23" t="str">
        <f t="shared" si="142"/>
        <v/>
      </c>
      <c r="R312" s="23">
        <f t="shared" si="143"/>
        <v>4.2549019607843137</v>
      </c>
      <c r="T312" t="str">
        <f t="shared" si="144"/>
        <v/>
      </c>
    </row>
    <row r="313" spans="1:20" x14ac:dyDescent="0.2">
      <c r="A313">
        <v>312</v>
      </c>
      <c r="B313" t="s">
        <v>144</v>
      </c>
      <c r="C313" s="28" t="s">
        <v>144</v>
      </c>
      <c r="D313" t="s">
        <v>26</v>
      </c>
      <c r="E313" t="s">
        <v>9</v>
      </c>
      <c r="G313" t="s">
        <v>14</v>
      </c>
      <c r="H313">
        <v>37</v>
      </c>
      <c r="I313">
        <v>37</v>
      </c>
      <c r="J313">
        <v>11.5</v>
      </c>
      <c r="K313">
        <v>9.25</v>
      </c>
      <c r="L313">
        <f t="shared" ref="L313:N313" si="172">L312</f>
        <v>0.85</v>
      </c>
      <c r="M313">
        <f t="shared" si="172"/>
        <v>0.52500000000000002</v>
      </c>
      <c r="N313">
        <f t="shared" si="172"/>
        <v>0.09</v>
      </c>
      <c r="O313" s="21">
        <f t="shared" si="146"/>
        <v>6.348039215686275</v>
      </c>
      <c r="P313" s="21">
        <f t="shared" si="147"/>
        <v>5.261437908496732</v>
      </c>
      <c r="Q313" s="23" t="str">
        <f t="shared" si="142"/>
        <v/>
      </c>
      <c r="R313" s="23">
        <f t="shared" si="143"/>
        <v>6.348039215686275</v>
      </c>
      <c r="T313" t="str">
        <f t="shared" si="144"/>
        <v/>
      </c>
    </row>
    <row r="314" spans="1:20" x14ac:dyDescent="0.2">
      <c r="A314">
        <v>313</v>
      </c>
      <c r="B314" t="s">
        <v>145</v>
      </c>
      <c r="C314" t="s">
        <v>145</v>
      </c>
      <c r="D314" t="s">
        <v>8</v>
      </c>
      <c r="E314" t="s">
        <v>9</v>
      </c>
      <c r="G314" t="s">
        <v>10</v>
      </c>
      <c r="H314">
        <v>34</v>
      </c>
      <c r="I314">
        <v>45</v>
      </c>
      <c r="J314">
        <v>19.940000000000001</v>
      </c>
      <c r="K314">
        <v>11.05</v>
      </c>
      <c r="L314">
        <v>1.48</v>
      </c>
      <c r="M314">
        <v>0.83399999999999996</v>
      </c>
      <c r="N314">
        <v>0.17599999999999999</v>
      </c>
      <c r="O314" s="21">
        <f t="shared" si="146"/>
        <v>6.9186936936936947</v>
      </c>
      <c r="P314" s="21">
        <f t="shared" si="147"/>
        <v>8.3233033033033053</v>
      </c>
      <c r="Q314" s="23">
        <f t="shared" si="142"/>
        <v>6.9186936936936947</v>
      </c>
      <c r="R314" s="23" t="str">
        <f t="shared" si="143"/>
        <v/>
      </c>
      <c r="T314" t="str">
        <f t="shared" si="144"/>
        <v/>
      </c>
    </row>
    <row r="315" spans="1:20" x14ac:dyDescent="0.2">
      <c r="A315">
        <v>314</v>
      </c>
      <c r="B315" t="s">
        <v>145</v>
      </c>
      <c r="C315" t="s">
        <v>145</v>
      </c>
      <c r="D315" t="s">
        <v>8</v>
      </c>
      <c r="E315" t="s">
        <v>9</v>
      </c>
      <c r="G315" t="s">
        <v>11</v>
      </c>
      <c r="H315">
        <v>38</v>
      </c>
      <c r="I315">
        <v>41</v>
      </c>
      <c r="J315">
        <v>11.58</v>
      </c>
      <c r="K315">
        <v>8.01</v>
      </c>
      <c r="L315">
        <f t="shared" ref="L315:N315" si="173">L314</f>
        <v>1.48</v>
      </c>
      <c r="M315">
        <f t="shared" si="173"/>
        <v>0.83399999999999996</v>
      </c>
      <c r="N315">
        <f t="shared" si="173"/>
        <v>0.17599999999999999</v>
      </c>
      <c r="O315" s="21">
        <f t="shared" si="146"/>
        <v>5.0152702702702703</v>
      </c>
      <c r="P315" s="21">
        <f t="shared" si="147"/>
        <v>4.8336936936936947</v>
      </c>
      <c r="Q315" s="23">
        <f t="shared" si="142"/>
        <v>5.0152702702702703</v>
      </c>
      <c r="R315" s="23" t="str">
        <f t="shared" si="143"/>
        <v/>
      </c>
      <c r="T315" t="str">
        <f t="shared" si="144"/>
        <v/>
      </c>
    </row>
    <row r="316" spans="1:20" x14ac:dyDescent="0.2">
      <c r="A316">
        <v>315</v>
      </c>
      <c r="B316" t="s">
        <v>145</v>
      </c>
      <c r="C316" t="s">
        <v>145</v>
      </c>
      <c r="D316" t="s">
        <v>8</v>
      </c>
      <c r="E316" t="s">
        <v>9</v>
      </c>
      <c r="G316" t="s">
        <v>12</v>
      </c>
      <c r="H316">
        <v>40</v>
      </c>
      <c r="I316">
        <v>36</v>
      </c>
      <c r="J316">
        <v>8.75</v>
      </c>
      <c r="K316">
        <v>7.14</v>
      </c>
      <c r="L316">
        <v>0.89</v>
      </c>
      <c r="M316">
        <v>0.49099999999999999</v>
      </c>
      <c r="N316">
        <v>0.105</v>
      </c>
      <c r="O316" s="21">
        <f t="shared" si="146"/>
        <v>4.3767041198501868</v>
      </c>
      <c r="P316" s="21">
        <f t="shared" si="147"/>
        <v>3.575738660008323</v>
      </c>
      <c r="Q316" s="23" t="str">
        <f t="shared" si="142"/>
        <v/>
      </c>
      <c r="R316" s="23">
        <f t="shared" si="143"/>
        <v>4.3767041198501868</v>
      </c>
      <c r="T316" t="str">
        <f t="shared" si="144"/>
        <v/>
      </c>
    </row>
    <row r="317" spans="1:20" x14ac:dyDescent="0.2">
      <c r="A317">
        <v>316</v>
      </c>
      <c r="B317" t="s">
        <v>145</v>
      </c>
      <c r="C317" t="s">
        <v>145</v>
      </c>
      <c r="D317" t="s">
        <v>8</v>
      </c>
      <c r="E317" t="s">
        <v>9</v>
      </c>
      <c r="G317" t="s">
        <v>14</v>
      </c>
      <c r="H317">
        <v>41</v>
      </c>
      <c r="I317">
        <v>36</v>
      </c>
      <c r="J317">
        <v>8.7799999999999994</v>
      </c>
      <c r="K317">
        <v>7.15</v>
      </c>
      <c r="L317">
        <f t="shared" ref="L317:N317" si="174">L316</f>
        <v>0.89</v>
      </c>
      <c r="M317">
        <f t="shared" si="174"/>
        <v>0.49099999999999999</v>
      </c>
      <c r="N317">
        <f t="shared" si="174"/>
        <v>0.105</v>
      </c>
      <c r="O317" s="21">
        <f t="shared" si="146"/>
        <v>4.3828339575530588</v>
      </c>
      <c r="P317" s="21">
        <f t="shared" si="147"/>
        <v>3.5879983354140661</v>
      </c>
      <c r="Q317" s="23" t="str">
        <f t="shared" si="142"/>
        <v/>
      </c>
      <c r="R317" s="23">
        <f t="shared" si="143"/>
        <v>4.3828339575530588</v>
      </c>
      <c r="T317" t="str">
        <f t="shared" si="144"/>
        <v/>
      </c>
    </row>
    <row r="318" spans="1:20" x14ac:dyDescent="0.2">
      <c r="A318">
        <v>317</v>
      </c>
      <c r="B318" t="s">
        <v>146</v>
      </c>
      <c r="C318" t="s">
        <v>146</v>
      </c>
      <c r="D318" t="s">
        <v>8</v>
      </c>
      <c r="E318" t="s">
        <v>9</v>
      </c>
      <c r="G318" t="s">
        <v>10</v>
      </c>
      <c r="H318">
        <v>31</v>
      </c>
      <c r="I318">
        <v>35</v>
      </c>
      <c r="J318">
        <v>9.11</v>
      </c>
      <c r="K318">
        <v>7.54</v>
      </c>
      <c r="L318">
        <v>1.19</v>
      </c>
      <c r="M318">
        <v>0.75900000000000001</v>
      </c>
      <c r="N318">
        <v>0.14099999999999999</v>
      </c>
      <c r="O318" s="21">
        <f t="shared" si="146"/>
        <v>5.3434733893557427</v>
      </c>
      <c r="P318" s="21">
        <f t="shared" si="147"/>
        <v>4.3040709617180211</v>
      </c>
      <c r="Q318" s="23">
        <f t="shared" si="142"/>
        <v>5.3434733893557427</v>
      </c>
      <c r="R318" s="23" t="str">
        <f t="shared" si="143"/>
        <v/>
      </c>
      <c r="T318" t="str">
        <f t="shared" si="144"/>
        <v/>
      </c>
    </row>
    <row r="319" spans="1:20" x14ac:dyDescent="0.2">
      <c r="A319">
        <v>318</v>
      </c>
      <c r="B319" t="s">
        <v>146</v>
      </c>
      <c r="C319" t="s">
        <v>146</v>
      </c>
      <c r="D319" t="s">
        <v>8</v>
      </c>
      <c r="E319" t="s">
        <v>9</v>
      </c>
      <c r="G319" t="s">
        <v>11</v>
      </c>
      <c r="H319">
        <v>28</v>
      </c>
      <c r="I319">
        <v>32</v>
      </c>
      <c r="J319">
        <v>8.99</v>
      </c>
      <c r="K319">
        <v>7.3</v>
      </c>
      <c r="L319">
        <f t="shared" ref="L319:N319" si="175">L318</f>
        <v>1.19</v>
      </c>
      <c r="M319">
        <f t="shared" si="175"/>
        <v>0.75900000000000001</v>
      </c>
      <c r="N319">
        <f t="shared" si="175"/>
        <v>0.14099999999999999</v>
      </c>
      <c r="O319" s="21">
        <f t="shared" si="146"/>
        <v>5.1733893557422981</v>
      </c>
      <c r="P319" s="21">
        <f t="shared" si="147"/>
        <v>4.2473762838468732</v>
      </c>
      <c r="Q319" s="23">
        <f t="shared" si="142"/>
        <v>5.1733893557422981</v>
      </c>
      <c r="R319" s="23" t="str">
        <f t="shared" si="143"/>
        <v/>
      </c>
      <c r="T319" t="str">
        <f t="shared" si="144"/>
        <v/>
      </c>
    </row>
    <row r="320" spans="1:20" x14ac:dyDescent="0.2">
      <c r="A320">
        <v>319</v>
      </c>
      <c r="B320" t="s">
        <v>146</v>
      </c>
      <c r="C320" t="s">
        <v>146</v>
      </c>
      <c r="D320" t="s">
        <v>8</v>
      </c>
      <c r="E320" t="s">
        <v>9</v>
      </c>
      <c r="G320" t="s">
        <v>12</v>
      </c>
      <c r="H320">
        <v>30</v>
      </c>
      <c r="I320">
        <v>31</v>
      </c>
      <c r="J320">
        <v>5.71</v>
      </c>
      <c r="K320">
        <v>6.74</v>
      </c>
      <c r="L320">
        <v>0.84</v>
      </c>
      <c r="M320">
        <v>0.55300000000000005</v>
      </c>
      <c r="N320">
        <v>4.9000000000000002E-2</v>
      </c>
      <c r="O320" s="21">
        <f t="shared" si="146"/>
        <v>4.9301851851851861</v>
      </c>
      <c r="P320" s="21">
        <f t="shared" si="147"/>
        <v>2.7845061728395066</v>
      </c>
      <c r="Q320" s="23" t="str">
        <f t="shared" si="142"/>
        <v/>
      </c>
      <c r="R320" s="23">
        <f t="shared" si="143"/>
        <v>4.9301851851851861</v>
      </c>
      <c r="T320" t="str">
        <f t="shared" si="144"/>
        <v/>
      </c>
    </row>
    <row r="321" spans="1:20" x14ac:dyDescent="0.2">
      <c r="A321">
        <v>320</v>
      </c>
      <c r="B321" t="s">
        <v>146</v>
      </c>
      <c r="C321" t="s">
        <v>146</v>
      </c>
      <c r="D321" t="s">
        <v>8</v>
      </c>
      <c r="E321" t="s">
        <v>9</v>
      </c>
      <c r="G321" t="s">
        <v>14</v>
      </c>
      <c r="H321">
        <v>32</v>
      </c>
      <c r="I321">
        <v>32</v>
      </c>
      <c r="J321">
        <v>5.8</v>
      </c>
      <c r="K321">
        <v>6.77</v>
      </c>
      <c r="L321">
        <f t="shared" ref="L321:N321" si="176">L320</f>
        <v>0.84</v>
      </c>
      <c r="M321">
        <f t="shared" si="176"/>
        <v>0.55300000000000005</v>
      </c>
      <c r="N321">
        <f t="shared" si="176"/>
        <v>4.9000000000000002E-2</v>
      </c>
      <c r="O321" s="21">
        <f t="shared" si="146"/>
        <v>4.9521296296296304</v>
      </c>
      <c r="P321" s="21">
        <f t="shared" si="147"/>
        <v>2.8283950617283953</v>
      </c>
      <c r="Q321" s="23" t="str">
        <f t="shared" si="142"/>
        <v/>
      </c>
      <c r="R321" s="23">
        <f t="shared" si="143"/>
        <v>4.9521296296296304</v>
      </c>
      <c r="T321" t="str">
        <f t="shared" si="144"/>
        <v/>
      </c>
    </row>
    <row r="322" spans="1:20" x14ac:dyDescent="0.2">
      <c r="A322">
        <v>321</v>
      </c>
      <c r="B322" t="s">
        <v>147</v>
      </c>
      <c r="C322" t="s">
        <v>147</v>
      </c>
      <c r="D322" t="s">
        <v>8</v>
      </c>
      <c r="E322" t="s">
        <v>9</v>
      </c>
      <c r="G322" t="s">
        <v>10</v>
      </c>
      <c r="H322">
        <v>31</v>
      </c>
      <c r="I322">
        <v>39</v>
      </c>
      <c r="J322">
        <v>8.3699999999999992</v>
      </c>
      <c r="K322">
        <v>10.51</v>
      </c>
      <c r="L322">
        <v>1.1100000000000001</v>
      </c>
      <c r="M322">
        <v>0.75600000000000001</v>
      </c>
      <c r="N322">
        <v>0.13700000000000001</v>
      </c>
      <c r="O322" s="21">
        <f t="shared" si="146"/>
        <v>7.9535135135135127</v>
      </c>
      <c r="P322" s="21">
        <f t="shared" si="147"/>
        <v>4.2227027027027022</v>
      </c>
      <c r="Q322" s="23">
        <f t="shared" si="142"/>
        <v>7.9535135135135127</v>
      </c>
      <c r="R322" s="23" t="str">
        <f t="shared" si="143"/>
        <v/>
      </c>
      <c r="T322" t="str">
        <f t="shared" si="144"/>
        <v/>
      </c>
    </row>
    <row r="323" spans="1:20" x14ac:dyDescent="0.2">
      <c r="A323">
        <v>322</v>
      </c>
      <c r="B323" t="s">
        <v>147</v>
      </c>
      <c r="C323" t="s">
        <v>147</v>
      </c>
      <c r="D323" t="s">
        <v>8</v>
      </c>
      <c r="E323" t="s">
        <v>9</v>
      </c>
      <c r="G323" t="s">
        <v>11</v>
      </c>
      <c r="H323">
        <v>35</v>
      </c>
      <c r="I323">
        <v>38</v>
      </c>
      <c r="J323">
        <v>8.09</v>
      </c>
      <c r="K323">
        <v>7.47</v>
      </c>
      <c r="L323">
        <f t="shared" ref="L323:N323" si="177">L322</f>
        <v>1.1100000000000001</v>
      </c>
      <c r="M323">
        <f t="shared" si="177"/>
        <v>0.75600000000000001</v>
      </c>
      <c r="N323">
        <f t="shared" si="177"/>
        <v>0.13700000000000001</v>
      </c>
      <c r="O323" s="21">
        <f t="shared" si="146"/>
        <v>5.6529729729729725</v>
      </c>
      <c r="P323" s="21">
        <f t="shared" si="147"/>
        <v>4.0814414414414415</v>
      </c>
      <c r="Q323" s="23">
        <f t="shared" ref="Q323:Q386" si="178">IF(LEFT(G323,7)="IMPROVE",O323,"")</f>
        <v>5.6529729729729725</v>
      </c>
      <c r="R323" s="23" t="str">
        <f t="shared" ref="R323:R386" si="179">IF(LEFT(G323,7)="FARMER ",O323,"")</f>
        <v/>
      </c>
      <c r="T323" t="str">
        <f t="shared" ref="T323:T386" si="180">IF(O323&gt;14,"VVVVVVVV","")</f>
        <v/>
      </c>
    </row>
    <row r="324" spans="1:20" x14ac:dyDescent="0.2">
      <c r="A324">
        <v>323</v>
      </c>
      <c r="B324" t="s">
        <v>147</v>
      </c>
      <c r="C324" t="s">
        <v>147</v>
      </c>
      <c r="D324" t="s">
        <v>8</v>
      </c>
      <c r="E324" t="s">
        <v>9</v>
      </c>
      <c r="G324" t="s">
        <v>12</v>
      </c>
      <c r="H324">
        <v>29</v>
      </c>
      <c r="I324">
        <v>21</v>
      </c>
      <c r="J324">
        <v>8.3000000000000007</v>
      </c>
      <c r="K324">
        <v>4.49</v>
      </c>
      <c r="L324">
        <v>0.94</v>
      </c>
      <c r="M324">
        <v>0.373</v>
      </c>
      <c r="N324">
        <v>0.123</v>
      </c>
      <c r="O324" s="21">
        <f t="shared" si="146"/>
        <v>1.9796335697399532</v>
      </c>
      <c r="P324" s="21">
        <f t="shared" si="147"/>
        <v>2.4396375098502761</v>
      </c>
      <c r="Q324" s="23" t="str">
        <f t="shared" si="178"/>
        <v/>
      </c>
      <c r="R324" s="23">
        <f t="shared" si="179"/>
        <v>1.9796335697399532</v>
      </c>
      <c r="T324" t="str">
        <f t="shared" si="180"/>
        <v/>
      </c>
    </row>
    <row r="325" spans="1:20" x14ac:dyDescent="0.2">
      <c r="A325">
        <v>324</v>
      </c>
      <c r="B325" t="s">
        <v>147</v>
      </c>
      <c r="C325" t="s">
        <v>147</v>
      </c>
      <c r="D325" t="s">
        <v>8</v>
      </c>
      <c r="E325" t="s">
        <v>9</v>
      </c>
      <c r="G325" t="s">
        <v>14</v>
      </c>
      <c r="H325">
        <v>28</v>
      </c>
      <c r="I325">
        <v>25</v>
      </c>
      <c r="J325">
        <v>8.5399999999999991</v>
      </c>
      <c r="K325">
        <v>5.2</v>
      </c>
      <c r="L325">
        <f t="shared" ref="L325:N325" si="181">L324</f>
        <v>0.94</v>
      </c>
      <c r="M325">
        <f t="shared" si="181"/>
        <v>0.373</v>
      </c>
      <c r="N325">
        <f t="shared" si="181"/>
        <v>0.123</v>
      </c>
      <c r="O325" s="21">
        <f t="shared" si="146"/>
        <v>2.2926713947990547</v>
      </c>
      <c r="P325" s="21">
        <f t="shared" si="147"/>
        <v>2.510181245074862</v>
      </c>
      <c r="Q325" s="23" t="str">
        <f t="shared" si="178"/>
        <v/>
      </c>
      <c r="R325" s="23">
        <f t="shared" si="179"/>
        <v>2.2926713947990547</v>
      </c>
      <c r="T325" t="str">
        <f t="shared" si="180"/>
        <v/>
      </c>
    </row>
    <row r="326" spans="1:20" x14ac:dyDescent="0.2">
      <c r="A326">
        <v>325</v>
      </c>
      <c r="B326" t="s">
        <v>148</v>
      </c>
      <c r="C326" t="s">
        <v>148</v>
      </c>
      <c r="D326" t="s">
        <v>8</v>
      </c>
      <c r="E326" t="s">
        <v>9</v>
      </c>
      <c r="G326" t="s">
        <v>10</v>
      </c>
      <c r="H326">
        <v>41</v>
      </c>
      <c r="I326">
        <v>43</v>
      </c>
      <c r="J326">
        <v>20.09</v>
      </c>
      <c r="K326">
        <v>11.3</v>
      </c>
      <c r="L326">
        <v>1.37</v>
      </c>
      <c r="M326">
        <v>0.747</v>
      </c>
      <c r="N326">
        <v>0.13800000000000001</v>
      </c>
      <c r="O326" s="21">
        <f t="shared" ref="O326:O381" si="182">K326*(M326/L326)*(10/9)</f>
        <v>6.8459854014598545</v>
      </c>
      <c r="P326" s="21">
        <f t="shared" ref="P326:P381" si="183">J326*(M326/(L326*1.5))*(10/9)</f>
        <v>8.1142092457420922</v>
      </c>
      <c r="Q326" s="23">
        <f t="shared" si="178"/>
        <v>6.8459854014598545</v>
      </c>
      <c r="R326" s="23" t="str">
        <f t="shared" si="179"/>
        <v/>
      </c>
      <c r="T326" t="str">
        <f t="shared" si="180"/>
        <v/>
      </c>
    </row>
    <row r="327" spans="1:20" x14ac:dyDescent="0.2">
      <c r="A327">
        <v>326</v>
      </c>
      <c r="B327" t="s">
        <v>148</v>
      </c>
      <c r="C327" t="s">
        <v>148</v>
      </c>
      <c r="D327" t="s">
        <v>8</v>
      </c>
      <c r="E327" t="s">
        <v>9</v>
      </c>
      <c r="G327" t="s">
        <v>11</v>
      </c>
      <c r="H327">
        <v>43</v>
      </c>
      <c r="I327">
        <v>42</v>
      </c>
      <c r="J327">
        <v>19.89</v>
      </c>
      <c r="K327">
        <v>11.76</v>
      </c>
      <c r="L327">
        <f t="shared" ref="L327:N327" si="184">L326</f>
        <v>1.37</v>
      </c>
      <c r="M327">
        <f t="shared" si="184"/>
        <v>0.747</v>
      </c>
      <c r="N327">
        <f t="shared" si="184"/>
        <v>0.13800000000000001</v>
      </c>
      <c r="O327" s="21">
        <f t="shared" si="182"/>
        <v>7.1246715328467145</v>
      </c>
      <c r="P327" s="21">
        <f t="shared" si="183"/>
        <v>8.0334306569343052</v>
      </c>
      <c r="Q327" s="23">
        <f t="shared" si="178"/>
        <v>7.1246715328467145</v>
      </c>
      <c r="R327" s="23" t="str">
        <f t="shared" si="179"/>
        <v/>
      </c>
      <c r="T327" t="str">
        <f t="shared" si="180"/>
        <v/>
      </c>
    </row>
    <row r="328" spans="1:20" x14ac:dyDescent="0.2">
      <c r="A328">
        <v>327</v>
      </c>
      <c r="B328" t="s">
        <v>148</v>
      </c>
      <c r="C328" t="s">
        <v>148</v>
      </c>
      <c r="D328" t="s">
        <v>8</v>
      </c>
      <c r="E328" t="s">
        <v>9</v>
      </c>
      <c r="G328" t="s">
        <v>12</v>
      </c>
      <c r="H328">
        <v>39</v>
      </c>
      <c r="I328">
        <v>40</v>
      </c>
      <c r="J328">
        <v>19.75</v>
      </c>
      <c r="K328">
        <v>10.37</v>
      </c>
      <c r="L328">
        <v>0.93</v>
      </c>
      <c r="M328">
        <v>0.48099999999999998</v>
      </c>
      <c r="N328">
        <v>0.10299999999999999</v>
      </c>
      <c r="O328" s="21">
        <f t="shared" si="182"/>
        <v>5.959342891278375</v>
      </c>
      <c r="P328" s="21">
        <f t="shared" si="183"/>
        <v>7.566507367582636</v>
      </c>
      <c r="Q328" s="23" t="str">
        <f t="shared" si="178"/>
        <v/>
      </c>
      <c r="R328" s="23">
        <f t="shared" si="179"/>
        <v>5.959342891278375</v>
      </c>
      <c r="T328" t="str">
        <f t="shared" si="180"/>
        <v/>
      </c>
    </row>
    <row r="329" spans="1:20" x14ac:dyDescent="0.2">
      <c r="A329">
        <v>328</v>
      </c>
      <c r="B329" t="s">
        <v>148</v>
      </c>
      <c r="C329" t="s">
        <v>148</v>
      </c>
      <c r="D329" t="s">
        <v>8</v>
      </c>
      <c r="E329" t="s">
        <v>9</v>
      </c>
      <c r="G329" t="s">
        <v>14</v>
      </c>
      <c r="H329">
        <v>39</v>
      </c>
      <c r="I329">
        <v>35</v>
      </c>
      <c r="J329">
        <v>14.4</v>
      </c>
      <c r="K329">
        <v>8.85</v>
      </c>
      <c r="L329">
        <f t="shared" ref="L329:N329" si="185">L328</f>
        <v>0.93</v>
      </c>
      <c r="M329">
        <f t="shared" si="185"/>
        <v>0.48099999999999998</v>
      </c>
      <c r="N329">
        <f t="shared" si="185"/>
        <v>0.10299999999999999</v>
      </c>
      <c r="O329" s="21">
        <f t="shared" si="182"/>
        <v>5.0858422939068104</v>
      </c>
      <c r="P329" s="21">
        <f t="shared" si="183"/>
        <v>5.5168458781362002</v>
      </c>
      <c r="Q329" s="23" t="str">
        <f t="shared" si="178"/>
        <v/>
      </c>
      <c r="R329" s="23">
        <f t="shared" si="179"/>
        <v>5.0858422939068104</v>
      </c>
      <c r="T329" t="str">
        <f t="shared" si="180"/>
        <v/>
      </c>
    </row>
    <row r="330" spans="1:20" x14ac:dyDescent="0.2">
      <c r="A330">
        <v>329</v>
      </c>
      <c r="B330" s="6" t="s">
        <v>149</v>
      </c>
      <c r="C330" s="6" t="s">
        <v>149</v>
      </c>
      <c r="D330" s="6" t="s">
        <v>8</v>
      </c>
      <c r="E330" s="6" t="s">
        <v>9</v>
      </c>
      <c r="F330" s="6"/>
      <c r="G330" s="6" t="s">
        <v>10</v>
      </c>
      <c r="H330" s="6">
        <v>48.5</v>
      </c>
      <c r="I330" s="6">
        <v>48</v>
      </c>
      <c r="J330" s="6">
        <v>10.65</v>
      </c>
      <c r="K330" s="6">
        <v>11.4</v>
      </c>
      <c r="L330" s="6">
        <v>1.25</v>
      </c>
      <c r="M330" s="6"/>
      <c r="N330" s="6"/>
      <c r="O330" s="21">
        <f t="shared" ref="O330:O333" si="186">K330*(0.55/0.964)*(10/9)</f>
        <v>7.2268326417704021</v>
      </c>
      <c r="P330" s="21">
        <f t="shared" ref="P330:P333" si="187">J330*(0.55/(0.964*1.5))*(10/9)</f>
        <v>4.5009220839096367</v>
      </c>
      <c r="Q330" s="23">
        <f t="shared" si="178"/>
        <v>7.2268326417704021</v>
      </c>
      <c r="R330" s="23" t="str">
        <f t="shared" si="179"/>
        <v/>
      </c>
      <c r="S330" s="6"/>
      <c r="T330" t="str">
        <f t="shared" si="180"/>
        <v/>
      </c>
    </row>
    <row r="331" spans="1:20" x14ac:dyDescent="0.2">
      <c r="A331">
        <v>330</v>
      </c>
      <c r="B331" s="6" t="s">
        <v>149</v>
      </c>
      <c r="C331" s="6" t="s">
        <v>149</v>
      </c>
      <c r="D331" s="6" t="s">
        <v>8</v>
      </c>
      <c r="E331" s="6" t="s">
        <v>9</v>
      </c>
      <c r="F331" s="6"/>
      <c r="G331" s="6" t="s">
        <v>11</v>
      </c>
      <c r="H331" s="6">
        <v>33</v>
      </c>
      <c r="I331" s="6">
        <v>37</v>
      </c>
      <c r="J331" s="6">
        <v>10.3</v>
      </c>
      <c r="K331" s="6">
        <v>8.65</v>
      </c>
      <c r="L331" s="6">
        <f>L330</f>
        <v>1.25</v>
      </c>
      <c r="M331" s="6"/>
      <c r="N331" s="6"/>
      <c r="O331" s="21">
        <f t="shared" si="186"/>
        <v>5.4835177501152614</v>
      </c>
      <c r="P331" s="21">
        <f t="shared" si="187"/>
        <v>4.3530044567388977</v>
      </c>
      <c r="Q331" s="23">
        <f t="shared" si="178"/>
        <v>5.4835177501152614</v>
      </c>
      <c r="R331" s="23" t="str">
        <f t="shared" si="179"/>
        <v/>
      </c>
      <c r="S331" s="6"/>
      <c r="T331" t="str">
        <f t="shared" si="180"/>
        <v/>
      </c>
    </row>
    <row r="332" spans="1:20" x14ac:dyDescent="0.2">
      <c r="A332">
        <v>331</v>
      </c>
      <c r="B332" s="6" t="s">
        <v>149</v>
      </c>
      <c r="C332" s="6" t="s">
        <v>149</v>
      </c>
      <c r="D332" s="6" t="s">
        <v>8</v>
      </c>
      <c r="E332" s="6" t="s">
        <v>9</v>
      </c>
      <c r="F332" s="6"/>
      <c r="G332" s="6" t="s">
        <v>12</v>
      </c>
      <c r="H332" s="6">
        <v>27</v>
      </c>
      <c r="I332" s="6">
        <v>28</v>
      </c>
      <c r="J332" s="6">
        <v>5.3</v>
      </c>
      <c r="K332" s="6">
        <v>7.9</v>
      </c>
      <c r="L332" s="6">
        <v>1.1499999999999999</v>
      </c>
      <c r="M332" s="6"/>
      <c r="N332" s="6"/>
      <c r="O332" s="21">
        <f t="shared" si="186"/>
        <v>5.0080682342093139</v>
      </c>
      <c r="P332" s="21">
        <f t="shared" si="187"/>
        <v>2.2398954971569078</v>
      </c>
      <c r="Q332" s="23" t="str">
        <f t="shared" si="178"/>
        <v/>
      </c>
      <c r="R332" s="23">
        <f t="shared" si="179"/>
        <v>5.0080682342093139</v>
      </c>
      <c r="S332" s="6"/>
      <c r="T332" t="str">
        <f t="shared" si="180"/>
        <v/>
      </c>
    </row>
    <row r="333" spans="1:20" x14ac:dyDescent="0.2">
      <c r="A333">
        <v>332</v>
      </c>
      <c r="B333" s="6" t="s">
        <v>149</v>
      </c>
      <c r="C333" s="6" t="s">
        <v>149</v>
      </c>
      <c r="D333" s="6" t="s">
        <v>8</v>
      </c>
      <c r="E333" s="6" t="s">
        <v>9</v>
      </c>
      <c r="F333" s="6"/>
      <c r="G333" s="6" t="s">
        <v>14</v>
      </c>
      <c r="H333" s="6">
        <v>24</v>
      </c>
      <c r="I333" s="6">
        <v>24</v>
      </c>
      <c r="J333" s="6">
        <v>7</v>
      </c>
      <c r="K333" s="6">
        <v>6.65</v>
      </c>
      <c r="L333" s="6">
        <f>L332</f>
        <v>1.1499999999999999</v>
      </c>
      <c r="M333" s="6"/>
      <c r="N333" s="6"/>
      <c r="O333" s="21">
        <f t="shared" si="186"/>
        <v>4.2156523743660683</v>
      </c>
      <c r="P333" s="21">
        <f t="shared" si="187"/>
        <v>2.9583525434147844</v>
      </c>
      <c r="Q333" s="23" t="str">
        <f t="shared" si="178"/>
        <v/>
      </c>
      <c r="R333" s="23">
        <f t="shared" si="179"/>
        <v>4.2156523743660683</v>
      </c>
      <c r="S333" s="6"/>
      <c r="T333" t="str">
        <f t="shared" si="180"/>
        <v/>
      </c>
    </row>
    <row r="334" spans="1:20" x14ac:dyDescent="0.2">
      <c r="A334">
        <v>333</v>
      </c>
      <c r="B334" s="15" t="s">
        <v>150</v>
      </c>
      <c r="C334" t="s">
        <v>348</v>
      </c>
      <c r="D334" s="15" t="s">
        <v>8</v>
      </c>
      <c r="E334" s="15" t="s">
        <v>9</v>
      </c>
      <c r="F334" s="15"/>
      <c r="G334" s="15" t="s">
        <v>10</v>
      </c>
      <c r="H334" s="15">
        <v>31</v>
      </c>
      <c r="I334" s="15">
        <v>32</v>
      </c>
      <c r="J334" s="15">
        <v>9.75</v>
      </c>
      <c r="K334" s="15">
        <v>6.65</v>
      </c>
      <c r="L334" s="15">
        <v>1.1499999999999999</v>
      </c>
      <c r="M334" s="9">
        <v>0.56299999999999994</v>
      </c>
      <c r="N334" s="9">
        <v>7.9000000000000001E-2</v>
      </c>
      <c r="O334" s="21">
        <f t="shared" si="182"/>
        <v>3.6173429951690821</v>
      </c>
      <c r="P334" s="21">
        <f t="shared" si="183"/>
        <v>3.5357487922705317</v>
      </c>
      <c r="Q334" s="23">
        <f t="shared" si="178"/>
        <v>3.6173429951690821</v>
      </c>
      <c r="R334" s="23" t="str">
        <f t="shared" si="179"/>
        <v/>
      </c>
      <c r="S334" s="15"/>
      <c r="T334" t="str">
        <f t="shared" si="180"/>
        <v/>
      </c>
    </row>
    <row r="335" spans="1:20" x14ac:dyDescent="0.2">
      <c r="A335">
        <v>334</v>
      </c>
      <c r="B335" s="15" t="s">
        <v>150</v>
      </c>
      <c r="C335" t="s">
        <v>348</v>
      </c>
      <c r="D335" s="15" t="s">
        <v>8</v>
      </c>
      <c r="E335" s="15" t="s">
        <v>9</v>
      </c>
      <c r="F335" s="15"/>
      <c r="G335" s="15" t="s">
        <v>11</v>
      </c>
      <c r="H335" s="15">
        <v>33</v>
      </c>
      <c r="I335" s="15">
        <v>30</v>
      </c>
      <c r="J335" s="15">
        <v>8.9499999999999993</v>
      </c>
      <c r="K335" s="15">
        <v>7.32</v>
      </c>
      <c r="L335" s="15">
        <f>L334</f>
        <v>1.1499999999999999</v>
      </c>
      <c r="M335" s="15"/>
      <c r="N335" s="15"/>
      <c r="O335" s="21">
        <f>K335*(0.563/1.15)*(10/9)</f>
        <v>3.9817971014492755</v>
      </c>
      <c r="P335" s="21">
        <f>J335*(0.563/(1.15*1.5))*(10/9)</f>
        <v>3.245636070853462</v>
      </c>
      <c r="Q335" s="23">
        <f t="shared" si="178"/>
        <v>3.9817971014492755</v>
      </c>
      <c r="R335" s="23" t="str">
        <f t="shared" si="179"/>
        <v/>
      </c>
      <c r="S335" s="15"/>
      <c r="T335" t="str">
        <f t="shared" si="180"/>
        <v/>
      </c>
    </row>
    <row r="336" spans="1:20" x14ac:dyDescent="0.2">
      <c r="A336">
        <v>335</v>
      </c>
      <c r="B336" s="15" t="s">
        <v>150</v>
      </c>
      <c r="C336" t="s">
        <v>348</v>
      </c>
      <c r="D336" s="15" t="s">
        <v>8</v>
      </c>
      <c r="E336" s="15" t="s">
        <v>9</v>
      </c>
      <c r="F336" s="15"/>
      <c r="G336" s="15" t="s">
        <v>12</v>
      </c>
      <c r="H336" s="15">
        <v>25</v>
      </c>
      <c r="I336" s="15">
        <v>22</v>
      </c>
      <c r="J336" s="15">
        <v>4.01</v>
      </c>
      <c r="K336" s="15">
        <v>3.75</v>
      </c>
      <c r="L336" s="15">
        <v>0.8</v>
      </c>
      <c r="M336" s="15"/>
      <c r="N336" s="15"/>
      <c r="O336" s="21">
        <f t="shared" ref="O336" si="188">K336*(0.563/1.15)*(10/9)</f>
        <v>2.0398550724637681</v>
      </c>
      <c r="P336" s="21">
        <f t="shared" ref="P336" si="189">J336*(0.563/(1.15*1.5))*(10/9)</f>
        <v>1.4541900161030596</v>
      </c>
      <c r="Q336" s="23" t="str">
        <f t="shared" si="178"/>
        <v/>
      </c>
      <c r="R336" s="23">
        <f t="shared" si="179"/>
        <v>2.0398550724637681</v>
      </c>
      <c r="S336" s="15"/>
      <c r="T336" t="str">
        <f t="shared" si="180"/>
        <v/>
      </c>
    </row>
    <row r="337" spans="1:20" x14ac:dyDescent="0.2">
      <c r="A337">
        <v>336</v>
      </c>
      <c r="B337" s="15" t="s">
        <v>150</v>
      </c>
      <c r="C337" t="s">
        <v>348</v>
      </c>
      <c r="D337" s="15" t="s">
        <v>8</v>
      </c>
      <c r="E337" s="15" t="s">
        <v>9</v>
      </c>
      <c r="F337" s="15"/>
      <c r="G337" s="15" t="s">
        <v>14</v>
      </c>
      <c r="H337" s="15"/>
      <c r="I337" s="15"/>
      <c r="J337" s="15"/>
      <c r="K337" s="15"/>
      <c r="L337" s="15">
        <f>L336</f>
        <v>0.8</v>
      </c>
      <c r="M337" s="15"/>
      <c r="N337" s="15"/>
      <c r="O337" s="21"/>
      <c r="P337" s="21"/>
      <c r="Q337" s="23" t="str">
        <f t="shared" si="178"/>
        <v/>
      </c>
      <c r="R337" s="23">
        <f t="shared" si="179"/>
        <v>0</v>
      </c>
      <c r="S337" s="15"/>
      <c r="T337" t="str">
        <f t="shared" si="180"/>
        <v/>
      </c>
    </row>
    <row r="338" spans="1:20" x14ac:dyDescent="0.2">
      <c r="A338">
        <v>337</v>
      </c>
      <c r="B338" s="16" t="s">
        <v>151</v>
      </c>
      <c r="C338" s="16"/>
      <c r="D338" s="16" t="s">
        <v>8</v>
      </c>
      <c r="E338" s="16" t="s">
        <v>9</v>
      </c>
      <c r="F338" s="16"/>
      <c r="G338" s="16" t="s">
        <v>10</v>
      </c>
      <c r="H338" s="16">
        <v>36</v>
      </c>
      <c r="I338" s="16">
        <v>38</v>
      </c>
      <c r="J338" s="16">
        <v>11.75</v>
      </c>
      <c r="K338" s="16">
        <v>10.75</v>
      </c>
      <c r="L338" s="16">
        <v>1.95</v>
      </c>
      <c r="M338" s="16"/>
      <c r="N338" s="16"/>
      <c r="O338" s="21">
        <f t="shared" ref="O338:O339" si="190">K338*(0.55/0.964)*(10/9)</f>
        <v>6.8147763946519149</v>
      </c>
      <c r="P338" s="21">
        <f t="shared" ref="P338:P341" si="191">J338*(0.55/(0.964*1.5))*(10/9)</f>
        <v>4.9658060550176737</v>
      </c>
      <c r="Q338" s="23">
        <f t="shared" si="178"/>
        <v>6.8147763946519149</v>
      </c>
      <c r="R338" s="23" t="str">
        <f t="shared" si="179"/>
        <v/>
      </c>
      <c r="T338" t="str">
        <f t="shared" si="180"/>
        <v/>
      </c>
    </row>
    <row r="339" spans="1:20" x14ac:dyDescent="0.2">
      <c r="A339">
        <v>338</v>
      </c>
      <c r="B339" s="16" t="s">
        <v>151</v>
      </c>
      <c r="C339" s="16"/>
      <c r="D339" s="16" t="s">
        <v>8</v>
      </c>
      <c r="E339" s="16" t="s">
        <v>9</v>
      </c>
      <c r="F339" s="16"/>
      <c r="G339" s="16" t="s">
        <v>11</v>
      </c>
      <c r="H339" s="16">
        <v>27</v>
      </c>
      <c r="I339" s="16">
        <v>34</v>
      </c>
      <c r="J339" s="16">
        <v>8</v>
      </c>
      <c r="K339" s="16">
        <v>7.2</v>
      </c>
      <c r="L339" s="16">
        <f>L338</f>
        <v>1.95</v>
      </c>
      <c r="M339" s="16"/>
      <c r="N339" s="16"/>
      <c r="O339" s="21">
        <f t="shared" si="190"/>
        <v>4.5643153526970961</v>
      </c>
      <c r="P339" s="21">
        <f t="shared" si="191"/>
        <v>3.3809743353311821</v>
      </c>
      <c r="Q339" s="23">
        <f t="shared" si="178"/>
        <v>4.5643153526970961</v>
      </c>
      <c r="R339" s="23" t="str">
        <f t="shared" si="179"/>
        <v/>
      </c>
      <c r="T339" t="str">
        <f t="shared" si="180"/>
        <v/>
      </c>
    </row>
    <row r="340" spans="1:20" x14ac:dyDescent="0.2">
      <c r="A340">
        <v>339</v>
      </c>
      <c r="B340" s="16" t="s">
        <v>151</v>
      </c>
      <c r="C340" s="16"/>
      <c r="D340" s="16" t="s">
        <v>8</v>
      </c>
      <c r="E340" s="16" t="s">
        <v>9</v>
      </c>
      <c r="F340" s="16"/>
      <c r="G340" s="16" t="s">
        <v>12</v>
      </c>
      <c r="H340" s="16">
        <v>51</v>
      </c>
      <c r="I340" s="16">
        <v>47</v>
      </c>
      <c r="J340" s="16">
        <v>7.8</v>
      </c>
      <c r="K340" s="1"/>
      <c r="L340" s="16">
        <v>0.7</v>
      </c>
      <c r="M340" s="16"/>
      <c r="N340" s="16"/>
      <c r="O340" s="21"/>
      <c r="P340" s="21">
        <f t="shared" si="191"/>
        <v>3.2964499769479025</v>
      </c>
      <c r="Q340" s="23" t="str">
        <f t="shared" si="178"/>
        <v/>
      </c>
      <c r="R340" s="23">
        <f t="shared" si="179"/>
        <v>0</v>
      </c>
      <c r="S340" s="16" t="s">
        <v>54</v>
      </c>
      <c r="T340" t="str">
        <f t="shared" si="180"/>
        <v/>
      </c>
    </row>
    <row r="341" spans="1:20" x14ac:dyDescent="0.2">
      <c r="A341">
        <v>340</v>
      </c>
      <c r="B341" s="16" t="s">
        <v>151</v>
      </c>
      <c r="C341" s="16"/>
      <c r="D341" s="16" t="s">
        <v>8</v>
      </c>
      <c r="E341" s="16" t="s">
        <v>9</v>
      </c>
      <c r="F341" s="16"/>
      <c r="G341" s="16" t="s">
        <v>14</v>
      </c>
      <c r="H341" s="16">
        <v>50</v>
      </c>
      <c r="I341" s="16">
        <v>45</v>
      </c>
      <c r="J341" s="16">
        <v>6.89</v>
      </c>
      <c r="K341" s="1"/>
      <c r="L341" s="20">
        <f>L340</f>
        <v>0.7</v>
      </c>
      <c r="M341" s="16"/>
      <c r="N341" s="16"/>
      <c r="O341" s="21"/>
      <c r="P341" s="21">
        <f t="shared" si="191"/>
        <v>2.9118641463039805</v>
      </c>
      <c r="Q341" s="23" t="str">
        <f t="shared" si="178"/>
        <v/>
      </c>
      <c r="R341" s="23">
        <f t="shared" si="179"/>
        <v>0</v>
      </c>
      <c r="T341" t="str">
        <f t="shared" si="180"/>
        <v/>
      </c>
    </row>
    <row r="342" spans="1:20" x14ac:dyDescent="0.2">
      <c r="A342">
        <v>341</v>
      </c>
      <c r="B342" t="s">
        <v>152</v>
      </c>
      <c r="C342" t="s">
        <v>152</v>
      </c>
      <c r="D342" t="s">
        <v>8</v>
      </c>
      <c r="E342" t="s">
        <v>9</v>
      </c>
      <c r="G342" t="s">
        <v>10</v>
      </c>
      <c r="H342">
        <v>38</v>
      </c>
      <c r="I342">
        <v>31</v>
      </c>
      <c r="J342">
        <v>7.88</v>
      </c>
      <c r="K342">
        <v>5.57</v>
      </c>
      <c r="L342">
        <v>1.1299999999999999</v>
      </c>
      <c r="M342">
        <v>0.754</v>
      </c>
      <c r="N342">
        <v>0.14899999999999999</v>
      </c>
      <c r="O342" s="21">
        <f t="shared" si="182"/>
        <v>4.1295771878072776</v>
      </c>
      <c r="P342" s="21">
        <f t="shared" si="183"/>
        <v>3.8948017043592271</v>
      </c>
      <c r="Q342" s="23">
        <f t="shared" si="178"/>
        <v>4.1295771878072776</v>
      </c>
      <c r="R342" s="23" t="str">
        <f t="shared" si="179"/>
        <v/>
      </c>
      <c r="T342" t="str">
        <f t="shared" si="180"/>
        <v/>
      </c>
    </row>
    <row r="343" spans="1:20" x14ac:dyDescent="0.2">
      <c r="A343">
        <v>342</v>
      </c>
      <c r="B343" t="s">
        <v>152</v>
      </c>
      <c r="C343" t="s">
        <v>152</v>
      </c>
      <c r="D343" t="s">
        <v>8</v>
      </c>
      <c r="E343" t="s">
        <v>9</v>
      </c>
      <c r="G343" t="s">
        <v>11</v>
      </c>
      <c r="H343">
        <v>34</v>
      </c>
      <c r="I343">
        <v>40</v>
      </c>
      <c r="J343">
        <v>8.8000000000000007</v>
      </c>
      <c r="K343">
        <v>8.68</v>
      </c>
      <c r="L343">
        <f t="shared" ref="L343:N343" si="192">L342</f>
        <v>1.1299999999999999</v>
      </c>
      <c r="M343">
        <f t="shared" si="192"/>
        <v>0.754</v>
      </c>
      <c r="N343">
        <f t="shared" si="192"/>
        <v>0.14899999999999999</v>
      </c>
      <c r="O343" s="21">
        <f t="shared" si="182"/>
        <v>6.4353195673549655</v>
      </c>
      <c r="P343" s="21">
        <f t="shared" si="183"/>
        <v>4.3495247459849242</v>
      </c>
      <c r="Q343" s="23">
        <f t="shared" si="178"/>
        <v>6.4353195673549655</v>
      </c>
      <c r="R343" s="23" t="str">
        <f t="shared" si="179"/>
        <v/>
      </c>
      <c r="T343" t="str">
        <f t="shared" si="180"/>
        <v/>
      </c>
    </row>
    <row r="344" spans="1:20" x14ac:dyDescent="0.2">
      <c r="A344">
        <v>343</v>
      </c>
      <c r="B344" t="s">
        <v>152</v>
      </c>
      <c r="C344" t="s">
        <v>152</v>
      </c>
      <c r="D344" t="s">
        <v>8</v>
      </c>
      <c r="E344" t="s">
        <v>9</v>
      </c>
      <c r="G344" t="s">
        <v>12</v>
      </c>
      <c r="H344">
        <v>22</v>
      </c>
      <c r="I344">
        <v>23</v>
      </c>
      <c r="J344">
        <v>3.62</v>
      </c>
      <c r="K344">
        <v>2.62</v>
      </c>
      <c r="L344">
        <v>0.62</v>
      </c>
      <c r="M344">
        <v>0.439</v>
      </c>
      <c r="N344">
        <v>8.4000000000000005E-2</v>
      </c>
      <c r="O344" s="21">
        <f t="shared" si="182"/>
        <v>2.0612544802867387</v>
      </c>
      <c r="P344" s="21">
        <f t="shared" si="183"/>
        <v>1.8986618876941461</v>
      </c>
      <c r="Q344" s="23" t="str">
        <f t="shared" si="178"/>
        <v/>
      </c>
      <c r="R344" s="23">
        <f t="shared" si="179"/>
        <v>2.0612544802867387</v>
      </c>
      <c r="T344" t="str">
        <f t="shared" si="180"/>
        <v/>
      </c>
    </row>
    <row r="345" spans="1:20" x14ac:dyDescent="0.2">
      <c r="A345">
        <v>344</v>
      </c>
      <c r="B345" t="s">
        <v>152</v>
      </c>
      <c r="C345" t="s">
        <v>152</v>
      </c>
      <c r="D345" t="s">
        <v>8</v>
      </c>
      <c r="E345" t="s">
        <v>9</v>
      </c>
      <c r="G345" t="s">
        <v>14</v>
      </c>
      <c r="H345">
        <v>21</v>
      </c>
      <c r="I345">
        <v>19</v>
      </c>
      <c r="J345">
        <v>3.22</v>
      </c>
      <c r="K345">
        <v>2.0699999999999998</v>
      </c>
      <c r="L345">
        <f t="shared" ref="L345:N345" si="193">L344</f>
        <v>0.62</v>
      </c>
      <c r="M345">
        <f t="shared" si="193"/>
        <v>0.439</v>
      </c>
      <c r="N345">
        <f t="shared" si="193"/>
        <v>8.4000000000000005E-2</v>
      </c>
      <c r="O345" s="21">
        <f t="shared" si="182"/>
        <v>1.6285483870967743</v>
      </c>
      <c r="P345" s="21">
        <f t="shared" si="183"/>
        <v>1.6888649940262845</v>
      </c>
      <c r="Q345" s="23" t="str">
        <f t="shared" si="178"/>
        <v/>
      </c>
      <c r="R345" s="23">
        <f t="shared" si="179"/>
        <v>1.6285483870967743</v>
      </c>
      <c r="T345" t="str">
        <f t="shared" si="180"/>
        <v/>
      </c>
    </row>
    <row r="346" spans="1:20" x14ac:dyDescent="0.2">
      <c r="A346">
        <v>345</v>
      </c>
      <c r="B346" t="s">
        <v>153</v>
      </c>
      <c r="C346" t="s">
        <v>349</v>
      </c>
      <c r="D346" t="s">
        <v>8</v>
      </c>
      <c r="E346" t="s">
        <v>9</v>
      </c>
      <c r="G346" t="s">
        <v>10</v>
      </c>
      <c r="H346">
        <v>34</v>
      </c>
      <c r="I346">
        <v>33</v>
      </c>
      <c r="J346">
        <v>9.3000000000000007</v>
      </c>
      <c r="K346">
        <v>8.57</v>
      </c>
      <c r="L346">
        <v>1.18</v>
      </c>
      <c r="M346">
        <v>0.66200000000000003</v>
      </c>
      <c r="N346">
        <v>8.5999999999999993E-2</v>
      </c>
      <c r="O346" s="21">
        <f t="shared" si="182"/>
        <v>5.3421280602636543</v>
      </c>
      <c r="P346" s="21">
        <f t="shared" si="183"/>
        <v>3.8647834274952926</v>
      </c>
      <c r="Q346" s="23">
        <f t="shared" si="178"/>
        <v>5.3421280602636543</v>
      </c>
      <c r="R346" s="23" t="str">
        <f t="shared" si="179"/>
        <v/>
      </c>
      <c r="T346" t="str">
        <f t="shared" si="180"/>
        <v/>
      </c>
    </row>
    <row r="347" spans="1:20" x14ac:dyDescent="0.2">
      <c r="A347">
        <v>346</v>
      </c>
      <c r="B347" t="s">
        <v>153</v>
      </c>
      <c r="C347" t="s">
        <v>349</v>
      </c>
      <c r="D347" t="s">
        <v>8</v>
      </c>
      <c r="E347" t="s">
        <v>9</v>
      </c>
      <c r="G347" t="s">
        <v>11</v>
      </c>
      <c r="H347">
        <v>43</v>
      </c>
      <c r="I347">
        <v>33</v>
      </c>
      <c r="J347">
        <v>3.06</v>
      </c>
      <c r="K347">
        <v>7.67</v>
      </c>
      <c r="L347">
        <f t="shared" ref="L347:N347" si="194">L346</f>
        <v>1.18</v>
      </c>
      <c r="M347">
        <f t="shared" si="194"/>
        <v>0.66200000000000003</v>
      </c>
      <c r="N347">
        <f t="shared" si="194"/>
        <v>8.5999999999999993E-2</v>
      </c>
      <c r="O347" s="21">
        <f t="shared" si="182"/>
        <v>4.7811111111111115</v>
      </c>
      <c r="P347" s="21">
        <f t="shared" si="183"/>
        <v>1.2716384180790963</v>
      </c>
      <c r="Q347" s="23">
        <f t="shared" si="178"/>
        <v>4.7811111111111115</v>
      </c>
      <c r="R347" s="23" t="str">
        <f t="shared" si="179"/>
        <v/>
      </c>
      <c r="T347" t="str">
        <f t="shared" si="180"/>
        <v/>
      </c>
    </row>
    <row r="348" spans="1:20" x14ac:dyDescent="0.2">
      <c r="A348">
        <v>347</v>
      </c>
      <c r="B348" t="s">
        <v>153</v>
      </c>
      <c r="C348" t="s">
        <v>349</v>
      </c>
      <c r="D348" t="s">
        <v>8</v>
      </c>
      <c r="E348" t="s">
        <v>9</v>
      </c>
      <c r="G348" t="s">
        <v>12</v>
      </c>
      <c r="H348">
        <v>30</v>
      </c>
      <c r="I348">
        <v>33</v>
      </c>
      <c r="J348">
        <v>3.69</v>
      </c>
      <c r="K348">
        <v>4.67</v>
      </c>
      <c r="L348">
        <v>0.75</v>
      </c>
      <c r="M348">
        <v>0.54600000000000004</v>
      </c>
      <c r="N348">
        <v>0.112</v>
      </c>
      <c r="O348" s="21">
        <f t="shared" si="182"/>
        <v>3.7775111111111119</v>
      </c>
      <c r="P348" s="21">
        <f t="shared" si="183"/>
        <v>1.9898666666666671</v>
      </c>
      <c r="Q348" s="23" t="str">
        <f t="shared" si="178"/>
        <v/>
      </c>
      <c r="R348" s="23">
        <f t="shared" si="179"/>
        <v>3.7775111111111119</v>
      </c>
      <c r="T348" t="str">
        <f t="shared" si="180"/>
        <v/>
      </c>
    </row>
    <row r="349" spans="1:20" x14ac:dyDescent="0.2">
      <c r="A349">
        <v>348</v>
      </c>
      <c r="B349" t="s">
        <v>153</v>
      </c>
      <c r="C349" t="s">
        <v>349</v>
      </c>
      <c r="D349" t="s">
        <v>8</v>
      </c>
      <c r="E349" t="s">
        <v>9</v>
      </c>
      <c r="G349" t="s">
        <v>14</v>
      </c>
      <c r="H349">
        <v>38</v>
      </c>
      <c r="I349">
        <v>41</v>
      </c>
      <c r="J349">
        <v>4.54</v>
      </c>
      <c r="K349">
        <v>5.7</v>
      </c>
      <c r="L349">
        <f t="shared" ref="L349:N349" si="195">L348</f>
        <v>0.75</v>
      </c>
      <c r="M349">
        <f t="shared" si="195"/>
        <v>0.54600000000000004</v>
      </c>
      <c r="N349">
        <f t="shared" si="195"/>
        <v>0.112</v>
      </c>
      <c r="O349" s="21">
        <f t="shared" si="182"/>
        <v>4.6106666666666669</v>
      </c>
      <c r="P349" s="21">
        <f t="shared" si="183"/>
        <v>2.4482370370370377</v>
      </c>
      <c r="Q349" s="23" t="str">
        <f t="shared" si="178"/>
        <v/>
      </c>
      <c r="R349" s="23">
        <f t="shared" si="179"/>
        <v>4.6106666666666669</v>
      </c>
      <c r="T349" t="str">
        <f t="shared" si="180"/>
        <v/>
      </c>
    </row>
    <row r="350" spans="1:20" x14ac:dyDescent="0.2">
      <c r="A350">
        <v>349</v>
      </c>
      <c r="B350" t="s">
        <v>154</v>
      </c>
      <c r="C350" s="28" t="s">
        <v>424</v>
      </c>
      <c r="D350" t="s">
        <v>8</v>
      </c>
      <c r="E350" t="s">
        <v>9</v>
      </c>
      <c r="G350" t="s">
        <v>10</v>
      </c>
      <c r="H350">
        <v>35</v>
      </c>
      <c r="I350">
        <v>33</v>
      </c>
      <c r="J350">
        <v>4.3</v>
      </c>
      <c r="K350">
        <v>5.5</v>
      </c>
      <c r="L350">
        <v>1.05</v>
      </c>
      <c r="M350">
        <v>0.58199999999999996</v>
      </c>
      <c r="N350">
        <v>6.3E-2</v>
      </c>
      <c r="O350" s="21">
        <f t="shared" si="182"/>
        <v>3.3873015873015873</v>
      </c>
      <c r="P350" s="21">
        <f t="shared" si="183"/>
        <v>1.7655026455026452</v>
      </c>
      <c r="Q350" s="23">
        <f t="shared" si="178"/>
        <v>3.3873015873015873</v>
      </c>
      <c r="R350" s="23" t="str">
        <f t="shared" si="179"/>
        <v/>
      </c>
      <c r="T350" t="str">
        <f t="shared" si="180"/>
        <v/>
      </c>
    </row>
    <row r="351" spans="1:20" x14ac:dyDescent="0.2">
      <c r="A351">
        <v>350</v>
      </c>
      <c r="B351" t="s">
        <v>154</v>
      </c>
      <c r="C351" s="28" t="s">
        <v>424</v>
      </c>
      <c r="D351" t="s">
        <v>8</v>
      </c>
      <c r="E351" t="s">
        <v>9</v>
      </c>
      <c r="G351" t="s">
        <v>11</v>
      </c>
      <c r="H351">
        <v>37</v>
      </c>
      <c r="I351">
        <v>35</v>
      </c>
      <c r="J351">
        <v>4.8899999999999997</v>
      </c>
      <c r="K351">
        <v>5.65</v>
      </c>
      <c r="L351">
        <f t="shared" ref="L351:N351" si="196">L350</f>
        <v>1.05</v>
      </c>
      <c r="M351">
        <f t="shared" si="196"/>
        <v>0.58199999999999996</v>
      </c>
      <c r="N351">
        <f t="shared" si="196"/>
        <v>6.3E-2</v>
      </c>
      <c r="O351" s="21">
        <f t="shared" si="182"/>
        <v>3.4796825396825399</v>
      </c>
      <c r="P351" s="21">
        <f t="shared" si="183"/>
        <v>2.0077460317460316</v>
      </c>
      <c r="Q351" s="23">
        <f t="shared" si="178"/>
        <v>3.4796825396825399</v>
      </c>
      <c r="R351" s="23" t="str">
        <f t="shared" si="179"/>
        <v/>
      </c>
      <c r="T351" t="str">
        <f t="shared" si="180"/>
        <v/>
      </c>
    </row>
    <row r="352" spans="1:20" x14ac:dyDescent="0.2">
      <c r="A352">
        <v>351</v>
      </c>
      <c r="B352" t="s">
        <v>154</v>
      </c>
      <c r="C352" s="28" t="s">
        <v>424</v>
      </c>
      <c r="D352" t="s">
        <v>8</v>
      </c>
      <c r="E352" t="s">
        <v>9</v>
      </c>
      <c r="G352" t="s">
        <v>12</v>
      </c>
      <c r="H352">
        <v>27</v>
      </c>
      <c r="I352">
        <v>25</v>
      </c>
      <c r="J352">
        <v>3.05</v>
      </c>
      <c r="K352">
        <v>3.75</v>
      </c>
      <c r="L352">
        <v>0.4</v>
      </c>
      <c r="M352">
        <v>0.311</v>
      </c>
      <c r="N352">
        <v>5.5E-2</v>
      </c>
      <c r="O352" s="21">
        <f t="shared" si="182"/>
        <v>3.2395833333333335</v>
      </c>
      <c r="P352" s="21">
        <f t="shared" si="183"/>
        <v>1.7565740740740734</v>
      </c>
      <c r="Q352" s="23" t="str">
        <f t="shared" si="178"/>
        <v/>
      </c>
      <c r="R352" s="23">
        <f t="shared" si="179"/>
        <v>3.2395833333333335</v>
      </c>
      <c r="T352" t="str">
        <f t="shared" si="180"/>
        <v/>
      </c>
    </row>
    <row r="353" spans="1:20" x14ac:dyDescent="0.2">
      <c r="A353">
        <v>352</v>
      </c>
      <c r="B353" t="s">
        <v>154</v>
      </c>
      <c r="C353" s="28" t="s">
        <v>424</v>
      </c>
      <c r="D353" t="s">
        <v>8</v>
      </c>
      <c r="E353" t="s">
        <v>9</v>
      </c>
      <c r="G353" t="s">
        <v>14</v>
      </c>
      <c r="H353">
        <v>29</v>
      </c>
      <c r="I353">
        <v>28</v>
      </c>
      <c r="J353">
        <v>3.52</v>
      </c>
      <c r="K353">
        <v>3.87</v>
      </c>
      <c r="L353">
        <f t="shared" ref="L353:N353" si="197">L352</f>
        <v>0.4</v>
      </c>
      <c r="M353">
        <f t="shared" si="197"/>
        <v>0.311</v>
      </c>
      <c r="N353">
        <f t="shared" si="197"/>
        <v>5.5E-2</v>
      </c>
      <c r="O353" s="21">
        <f t="shared" si="182"/>
        <v>3.3432500000000003</v>
      </c>
      <c r="P353" s="21">
        <f t="shared" si="183"/>
        <v>2.0272592592592589</v>
      </c>
      <c r="Q353" s="23" t="str">
        <f t="shared" si="178"/>
        <v/>
      </c>
      <c r="R353" s="23">
        <f t="shared" si="179"/>
        <v>3.3432500000000003</v>
      </c>
      <c r="T353" t="str">
        <f t="shared" si="180"/>
        <v/>
      </c>
    </row>
    <row r="354" spans="1:20" x14ac:dyDescent="0.2">
      <c r="A354">
        <v>353</v>
      </c>
      <c r="B354" t="s">
        <v>155</v>
      </c>
      <c r="C354" t="s">
        <v>155</v>
      </c>
      <c r="D354" t="s">
        <v>8</v>
      </c>
      <c r="E354" t="s">
        <v>9</v>
      </c>
      <c r="G354" t="s">
        <v>10</v>
      </c>
      <c r="H354">
        <v>26</v>
      </c>
      <c r="I354">
        <v>29</v>
      </c>
      <c r="J354">
        <v>9.6</v>
      </c>
      <c r="K354">
        <v>7.48</v>
      </c>
      <c r="L354">
        <v>1.0900000000000001</v>
      </c>
      <c r="M354">
        <v>0.70299999999999996</v>
      </c>
      <c r="N354">
        <v>9.7000000000000003E-2</v>
      </c>
      <c r="O354" s="21">
        <f t="shared" si="182"/>
        <v>5.3602854230377162</v>
      </c>
      <c r="P354" s="21">
        <f t="shared" si="183"/>
        <v>4.5863404689092748</v>
      </c>
      <c r="Q354" s="23">
        <f t="shared" si="178"/>
        <v>5.3602854230377162</v>
      </c>
      <c r="R354" s="23" t="str">
        <f t="shared" si="179"/>
        <v/>
      </c>
      <c r="T354" t="str">
        <f t="shared" si="180"/>
        <v/>
      </c>
    </row>
    <row r="355" spans="1:20" x14ac:dyDescent="0.2">
      <c r="A355">
        <v>354</v>
      </c>
      <c r="B355" t="s">
        <v>155</v>
      </c>
      <c r="C355" t="s">
        <v>155</v>
      </c>
      <c r="D355" t="s">
        <v>8</v>
      </c>
      <c r="E355" t="s">
        <v>9</v>
      </c>
      <c r="G355" t="s">
        <v>11</v>
      </c>
      <c r="H355">
        <v>34</v>
      </c>
      <c r="I355">
        <v>33</v>
      </c>
      <c r="J355">
        <v>14.75</v>
      </c>
      <c r="K355">
        <v>10.55</v>
      </c>
      <c r="L355">
        <f t="shared" ref="L355:N355" si="198">L354</f>
        <v>1.0900000000000001</v>
      </c>
      <c r="M355">
        <f t="shared" si="198"/>
        <v>0.70299999999999996</v>
      </c>
      <c r="N355">
        <f t="shared" si="198"/>
        <v>9.7000000000000003E-2</v>
      </c>
      <c r="O355" s="21">
        <f t="shared" si="182"/>
        <v>7.5602956167176352</v>
      </c>
      <c r="P355" s="21">
        <f t="shared" si="183"/>
        <v>7.0467210329595629</v>
      </c>
      <c r="Q355" s="23">
        <f t="shared" si="178"/>
        <v>7.5602956167176352</v>
      </c>
      <c r="R355" s="23" t="str">
        <f t="shared" si="179"/>
        <v/>
      </c>
      <c r="T355" t="str">
        <f t="shared" si="180"/>
        <v/>
      </c>
    </row>
    <row r="356" spans="1:20" x14ac:dyDescent="0.2">
      <c r="A356">
        <v>355</v>
      </c>
      <c r="B356" t="s">
        <v>155</v>
      </c>
      <c r="C356" t="s">
        <v>155</v>
      </c>
      <c r="D356" t="s">
        <v>8</v>
      </c>
      <c r="E356" t="s">
        <v>9</v>
      </c>
      <c r="G356" t="s">
        <v>12</v>
      </c>
      <c r="H356">
        <v>18</v>
      </c>
      <c r="I356">
        <v>18</v>
      </c>
      <c r="J356">
        <v>8.0399999999999991</v>
      </c>
      <c r="K356">
        <v>5.0999999999999996</v>
      </c>
      <c r="L356">
        <v>1.33</v>
      </c>
      <c r="M356">
        <v>0.76</v>
      </c>
      <c r="N356">
        <v>0.153</v>
      </c>
      <c r="O356" s="21">
        <f t="shared" si="182"/>
        <v>3.2380952380952377</v>
      </c>
      <c r="P356" s="21">
        <f t="shared" si="183"/>
        <v>3.4031746031746026</v>
      </c>
      <c r="Q356" s="23" t="str">
        <f t="shared" si="178"/>
        <v/>
      </c>
      <c r="R356" s="23">
        <f t="shared" si="179"/>
        <v>3.2380952380952377</v>
      </c>
      <c r="T356" t="str">
        <f t="shared" si="180"/>
        <v/>
      </c>
    </row>
    <row r="357" spans="1:20" x14ac:dyDescent="0.2">
      <c r="A357">
        <v>356</v>
      </c>
      <c r="B357" t="s">
        <v>155</v>
      </c>
      <c r="C357" t="s">
        <v>155</v>
      </c>
      <c r="D357" t="s">
        <v>8</v>
      </c>
      <c r="E357" t="s">
        <v>9</v>
      </c>
      <c r="G357" t="s">
        <v>14</v>
      </c>
      <c r="H357">
        <v>20</v>
      </c>
      <c r="I357">
        <v>20</v>
      </c>
      <c r="J357">
        <v>5.01</v>
      </c>
      <c r="K357">
        <v>3.8</v>
      </c>
      <c r="L357">
        <f>L356</f>
        <v>1.33</v>
      </c>
      <c r="M357">
        <f t="shared" ref="M357:N357" si="199">M356</f>
        <v>0.76</v>
      </c>
      <c r="N357">
        <f t="shared" si="199"/>
        <v>0.153</v>
      </c>
      <c r="O357" s="21">
        <f t="shared" si="182"/>
        <v>2.4126984126984126</v>
      </c>
      <c r="P357" s="21">
        <f t="shared" si="183"/>
        <v>2.1206349206349207</v>
      </c>
      <c r="Q357" s="23" t="str">
        <f t="shared" si="178"/>
        <v/>
      </c>
      <c r="R357" s="23">
        <f t="shared" si="179"/>
        <v>2.4126984126984126</v>
      </c>
      <c r="T357" t="str">
        <f t="shared" si="180"/>
        <v/>
      </c>
    </row>
    <row r="358" spans="1:20" x14ac:dyDescent="0.2">
      <c r="A358">
        <v>357</v>
      </c>
      <c r="B358" s="15" t="s">
        <v>156</v>
      </c>
      <c r="C358" t="s">
        <v>156</v>
      </c>
      <c r="D358" s="15" t="s">
        <v>8</v>
      </c>
      <c r="E358" s="15" t="s">
        <v>9</v>
      </c>
      <c r="F358" s="15"/>
      <c r="G358" s="15" t="s">
        <v>10</v>
      </c>
      <c r="H358" s="15">
        <v>35</v>
      </c>
      <c r="I358" s="15">
        <v>37</v>
      </c>
      <c r="J358" s="15">
        <v>7.8</v>
      </c>
      <c r="K358" s="15">
        <v>7.65</v>
      </c>
      <c r="L358" s="15">
        <v>1.35</v>
      </c>
      <c r="M358" s="15">
        <v>0.82</v>
      </c>
      <c r="N358" s="15"/>
      <c r="O358" s="21">
        <f t="shared" si="182"/>
        <v>5.1629629629629621</v>
      </c>
      <c r="P358" s="21">
        <f t="shared" si="183"/>
        <v>3.5094650205761311</v>
      </c>
      <c r="Q358" s="23">
        <f t="shared" si="178"/>
        <v>5.1629629629629621</v>
      </c>
      <c r="R358" s="23" t="str">
        <f t="shared" si="179"/>
        <v/>
      </c>
      <c r="S358" s="15"/>
      <c r="T358" t="str">
        <f t="shared" si="180"/>
        <v/>
      </c>
    </row>
    <row r="359" spans="1:20" x14ac:dyDescent="0.2">
      <c r="A359">
        <v>358</v>
      </c>
      <c r="B359" s="15" t="s">
        <v>156</v>
      </c>
      <c r="C359" t="s">
        <v>156</v>
      </c>
      <c r="D359" s="15" t="s">
        <v>8</v>
      </c>
      <c r="E359" s="15" t="s">
        <v>9</v>
      </c>
      <c r="F359" s="15"/>
      <c r="G359" s="15" t="s">
        <v>11</v>
      </c>
      <c r="H359" s="15">
        <v>49</v>
      </c>
      <c r="I359" s="15">
        <v>47</v>
      </c>
      <c r="J359" s="15">
        <v>11.35</v>
      </c>
      <c r="K359" s="15">
        <v>9.4</v>
      </c>
      <c r="L359" s="15">
        <f t="shared" ref="L359" si="200">L358</f>
        <v>1.35</v>
      </c>
      <c r="M359" s="15">
        <v>0.82</v>
      </c>
      <c r="N359" s="15"/>
      <c r="O359" s="21">
        <f t="shared" si="182"/>
        <v>6.3440329218106992</v>
      </c>
      <c r="P359" s="21">
        <f t="shared" si="183"/>
        <v>5.1067215363511647</v>
      </c>
      <c r="Q359" s="23">
        <f t="shared" si="178"/>
        <v>6.3440329218106992</v>
      </c>
      <c r="R359" s="23" t="str">
        <f t="shared" si="179"/>
        <v/>
      </c>
      <c r="S359" s="15"/>
      <c r="T359" t="str">
        <f t="shared" si="180"/>
        <v/>
      </c>
    </row>
    <row r="360" spans="1:20" x14ac:dyDescent="0.2">
      <c r="A360">
        <v>359</v>
      </c>
      <c r="B360" t="s">
        <v>156</v>
      </c>
      <c r="C360" t="s">
        <v>156</v>
      </c>
      <c r="D360" t="s">
        <v>8</v>
      </c>
      <c r="E360" t="s">
        <v>9</v>
      </c>
      <c r="G360" t="s">
        <v>12</v>
      </c>
      <c r="H360">
        <v>36</v>
      </c>
      <c r="I360">
        <v>36</v>
      </c>
      <c r="J360">
        <v>7.1</v>
      </c>
      <c r="K360">
        <v>7.5</v>
      </c>
      <c r="L360">
        <v>0.9</v>
      </c>
      <c r="M360">
        <v>0.55500000000000005</v>
      </c>
      <c r="N360">
        <v>0.113</v>
      </c>
      <c r="O360" s="21">
        <f t="shared" si="182"/>
        <v>5.1388888888888893</v>
      </c>
      <c r="P360" s="21">
        <f t="shared" si="183"/>
        <v>3.2432098765432098</v>
      </c>
      <c r="Q360" s="23" t="str">
        <f t="shared" si="178"/>
        <v/>
      </c>
      <c r="R360" s="23">
        <f t="shared" si="179"/>
        <v>5.1388888888888893</v>
      </c>
      <c r="T360" t="str">
        <f t="shared" si="180"/>
        <v/>
      </c>
    </row>
    <row r="361" spans="1:20" x14ac:dyDescent="0.2">
      <c r="A361">
        <v>360</v>
      </c>
      <c r="B361" t="s">
        <v>156</v>
      </c>
      <c r="C361" t="s">
        <v>156</v>
      </c>
      <c r="D361" t="s">
        <v>8</v>
      </c>
      <c r="E361" t="s">
        <v>9</v>
      </c>
      <c r="G361" t="s">
        <v>14</v>
      </c>
      <c r="H361">
        <v>34</v>
      </c>
      <c r="I361">
        <v>38</v>
      </c>
      <c r="J361">
        <v>14.7</v>
      </c>
      <c r="K361">
        <v>9.35</v>
      </c>
      <c r="L361">
        <f t="shared" ref="L361:N361" si="201">L360</f>
        <v>0.9</v>
      </c>
      <c r="M361">
        <f t="shared" si="201"/>
        <v>0.55500000000000005</v>
      </c>
      <c r="N361">
        <f t="shared" si="201"/>
        <v>0.113</v>
      </c>
      <c r="O361" s="21">
        <f t="shared" si="182"/>
        <v>6.4064814814814817</v>
      </c>
      <c r="P361" s="21">
        <f t="shared" si="183"/>
        <v>6.7148148148148143</v>
      </c>
      <c r="Q361" s="23" t="str">
        <f t="shared" si="178"/>
        <v/>
      </c>
      <c r="R361" s="23">
        <f t="shared" si="179"/>
        <v>6.4064814814814817</v>
      </c>
      <c r="T361" t="str">
        <f t="shared" si="180"/>
        <v/>
      </c>
    </row>
    <row r="362" spans="1:20" x14ac:dyDescent="0.2">
      <c r="A362">
        <v>361</v>
      </c>
      <c r="B362" t="s">
        <v>157</v>
      </c>
      <c r="C362" t="s">
        <v>157</v>
      </c>
      <c r="D362" t="s">
        <v>8</v>
      </c>
      <c r="E362" t="s">
        <v>9</v>
      </c>
      <c r="G362" t="s">
        <v>10</v>
      </c>
      <c r="H362">
        <v>39</v>
      </c>
      <c r="I362">
        <v>35</v>
      </c>
      <c r="J362">
        <v>23</v>
      </c>
      <c r="K362">
        <v>11.71</v>
      </c>
      <c r="L362">
        <v>1.49</v>
      </c>
      <c r="M362">
        <v>0.95699999999999996</v>
      </c>
      <c r="N362">
        <v>0.129</v>
      </c>
      <c r="O362" s="21">
        <f t="shared" si="182"/>
        <v>8.3568008948545867</v>
      </c>
      <c r="P362" s="21">
        <f t="shared" si="183"/>
        <v>10.942580164056675</v>
      </c>
      <c r="Q362" s="23">
        <f t="shared" si="178"/>
        <v>8.3568008948545867</v>
      </c>
      <c r="R362" s="23" t="str">
        <f t="shared" si="179"/>
        <v/>
      </c>
      <c r="T362" t="str">
        <f t="shared" si="180"/>
        <v/>
      </c>
    </row>
    <row r="363" spans="1:20" x14ac:dyDescent="0.2">
      <c r="A363">
        <v>362</v>
      </c>
      <c r="B363" t="s">
        <v>157</v>
      </c>
      <c r="C363" t="s">
        <v>157</v>
      </c>
      <c r="D363" t="s">
        <v>8</v>
      </c>
      <c r="E363" t="s">
        <v>9</v>
      </c>
      <c r="G363" t="s">
        <v>11</v>
      </c>
      <c r="H363">
        <v>34</v>
      </c>
      <c r="I363">
        <v>36</v>
      </c>
      <c r="J363">
        <v>14.35</v>
      </c>
      <c r="K363">
        <v>9.0399999999999991</v>
      </c>
      <c r="L363">
        <f t="shared" ref="L363:N363" si="202">L362</f>
        <v>1.49</v>
      </c>
      <c r="M363">
        <f t="shared" si="202"/>
        <v>0.95699999999999996</v>
      </c>
      <c r="N363">
        <f t="shared" si="202"/>
        <v>0.129</v>
      </c>
      <c r="O363" s="21">
        <f t="shared" si="182"/>
        <v>6.4513646532438473</v>
      </c>
      <c r="P363" s="21">
        <f t="shared" si="183"/>
        <v>6.8272184936614471</v>
      </c>
      <c r="Q363" s="23">
        <f t="shared" si="178"/>
        <v>6.4513646532438473</v>
      </c>
      <c r="R363" s="23" t="str">
        <f t="shared" si="179"/>
        <v/>
      </c>
      <c r="T363" t="str">
        <f t="shared" si="180"/>
        <v/>
      </c>
    </row>
    <row r="364" spans="1:20" x14ac:dyDescent="0.2">
      <c r="A364">
        <v>363</v>
      </c>
      <c r="B364" t="s">
        <v>157</v>
      </c>
      <c r="C364" t="s">
        <v>157</v>
      </c>
      <c r="D364" t="s">
        <v>8</v>
      </c>
      <c r="E364" t="s">
        <v>9</v>
      </c>
      <c r="G364" t="s">
        <v>12</v>
      </c>
      <c r="H364">
        <v>25</v>
      </c>
      <c r="I364">
        <v>29</v>
      </c>
      <c r="J364">
        <v>15.8</v>
      </c>
      <c r="K364">
        <v>9.7100000000000009</v>
      </c>
      <c r="L364">
        <v>1.22</v>
      </c>
      <c r="M364">
        <v>0.71399999999999997</v>
      </c>
      <c r="N364">
        <v>9.7000000000000003E-2</v>
      </c>
      <c r="O364" s="21">
        <f t="shared" si="182"/>
        <v>6.3141530054644814</v>
      </c>
      <c r="P364" s="21">
        <f t="shared" si="183"/>
        <v>6.8495446265938078</v>
      </c>
      <c r="Q364" s="23" t="str">
        <f t="shared" si="178"/>
        <v/>
      </c>
      <c r="R364" s="23">
        <f t="shared" si="179"/>
        <v>6.3141530054644814</v>
      </c>
      <c r="T364" t="str">
        <f t="shared" si="180"/>
        <v/>
      </c>
    </row>
    <row r="365" spans="1:20" x14ac:dyDescent="0.2">
      <c r="A365">
        <v>364</v>
      </c>
      <c r="B365" t="s">
        <v>157</v>
      </c>
      <c r="C365" t="s">
        <v>157</v>
      </c>
      <c r="D365" t="s">
        <v>8</v>
      </c>
      <c r="E365" t="s">
        <v>9</v>
      </c>
      <c r="G365" t="s">
        <v>14</v>
      </c>
      <c r="H365">
        <v>24</v>
      </c>
      <c r="I365">
        <v>28</v>
      </c>
      <c r="J365">
        <v>15.5</v>
      </c>
      <c r="K365">
        <v>9.61</v>
      </c>
      <c r="L365">
        <f t="shared" ref="L365:N365" si="203">L364</f>
        <v>1.22</v>
      </c>
      <c r="M365">
        <f t="shared" si="203"/>
        <v>0.71399999999999997</v>
      </c>
      <c r="N365">
        <f t="shared" si="203"/>
        <v>9.7000000000000003E-2</v>
      </c>
      <c r="O365" s="21">
        <f t="shared" si="182"/>
        <v>6.2491256830601083</v>
      </c>
      <c r="P365" s="21">
        <f t="shared" si="183"/>
        <v>6.7194899817850633</v>
      </c>
      <c r="Q365" s="23" t="str">
        <f t="shared" si="178"/>
        <v/>
      </c>
      <c r="R365" s="23">
        <f t="shared" si="179"/>
        <v>6.2491256830601083</v>
      </c>
      <c r="T365" t="str">
        <f t="shared" si="180"/>
        <v/>
      </c>
    </row>
    <row r="366" spans="1:20" x14ac:dyDescent="0.2">
      <c r="A366">
        <v>365</v>
      </c>
      <c r="B366" t="s">
        <v>158</v>
      </c>
      <c r="C366" t="s">
        <v>158</v>
      </c>
      <c r="D366" t="s">
        <v>8</v>
      </c>
      <c r="E366" t="s">
        <v>9</v>
      </c>
      <c r="G366" t="s">
        <v>10</v>
      </c>
      <c r="H366">
        <v>30</v>
      </c>
      <c r="I366">
        <v>35</v>
      </c>
      <c r="J366">
        <v>11.01</v>
      </c>
      <c r="K366">
        <v>9.19</v>
      </c>
      <c r="L366">
        <v>1.19</v>
      </c>
      <c r="M366">
        <v>0.63900000000000001</v>
      </c>
      <c r="N366">
        <v>0.158</v>
      </c>
      <c r="O366" s="21">
        <f t="shared" si="182"/>
        <v>5.483109243697478</v>
      </c>
      <c r="P366" s="21">
        <f t="shared" si="183"/>
        <v>4.3793277310924372</v>
      </c>
      <c r="Q366" s="23">
        <f t="shared" si="178"/>
        <v>5.483109243697478</v>
      </c>
      <c r="R366" s="23" t="str">
        <f t="shared" si="179"/>
        <v/>
      </c>
      <c r="T366" t="str">
        <f t="shared" si="180"/>
        <v/>
      </c>
    </row>
    <row r="367" spans="1:20" x14ac:dyDescent="0.2">
      <c r="A367">
        <v>366</v>
      </c>
      <c r="B367" t="s">
        <v>158</v>
      </c>
      <c r="C367" t="s">
        <v>158</v>
      </c>
      <c r="D367" t="s">
        <v>8</v>
      </c>
      <c r="E367" t="s">
        <v>9</v>
      </c>
      <c r="G367" t="s">
        <v>11</v>
      </c>
      <c r="H367">
        <v>32</v>
      </c>
      <c r="I367">
        <v>32</v>
      </c>
      <c r="J367">
        <v>11.61</v>
      </c>
      <c r="K367">
        <v>7.58</v>
      </c>
      <c r="L367">
        <f t="shared" ref="L367:N367" si="204">L366</f>
        <v>1.19</v>
      </c>
      <c r="M367">
        <f t="shared" si="204"/>
        <v>0.63900000000000001</v>
      </c>
      <c r="N367">
        <f t="shared" si="204"/>
        <v>0.158</v>
      </c>
      <c r="O367" s="21">
        <f t="shared" si="182"/>
        <v>4.5225210084033618</v>
      </c>
      <c r="P367" s="21">
        <f t="shared" si="183"/>
        <v>4.6179831932773112</v>
      </c>
      <c r="Q367" s="23">
        <f t="shared" si="178"/>
        <v>4.5225210084033618</v>
      </c>
      <c r="R367" s="23" t="str">
        <f t="shared" si="179"/>
        <v/>
      </c>
      <c r="T367" t="str">
        <f t="shared" si="180"/>
        <v/>
      </c>
    </row>
    <row r="368" spans="1:20" x14ac:dyDescent="0.2">
      <c r="A368">
        <v>367</v>
      </c>
      <c r="B368" t="s">
        <v>158</v>
      </c>
      <c r="C368" t="s">
        <v>158</v>
      </c>
      <c r="D368" t="s">
        <v>8</v>
      </c>
      <c r="E368" t="s">
        <v>9</v>
      </c>
      <c r="G368" t="s">
        <v>12</v>
      </c>
      <c r="H368">
        <v>43</v>
      </c>
      <c r="I368">
        <v>44</v>
      </c>
      <c r="J368">
        <v>9.4700000000000006</v>
      </c>
      <c r="K368">
        <v>7.14</v>
      </c>
      <c r="L368">
        <v>0.81</v>
      </c>
      <c r="M368">
        <v>0.44500000000000001</v>
      </c>
      <c r="N368">
        <v>9.0999999999999998E-2</v>
      </c>
      <c r="O368" s="21">
        <f t="shared" si="182"/>
        <v>4.3584362139917694</v>
      </c>
      <c r="P368" s="21">
        <f t="shared" si="183"/>
        <v>3.8538180155464108</v>
      </c>
      <c r="Q368" s="23" t="str">
        <f t="shared" si="178"/>
        <v/>
      </c>
      <c r="R368" s="23">
        <f t="shared" si="179"/>
        <v>4.3584362139917694</v>
      </c>
      <c r="T368" t="str">
        <f t="shared" si="180"/>
        <v/>
      </c>
    </row>
    <row r="369" spans="1:20" x14ac:dyDescent="0.2">
      <c r="A369">
        <v>368</v>
      </c>
      <c r="B369" t="s">
        <v>158</v>
      </c>
      <c r="C369" t="s">
        <v>158</v>
      </c>
      <c r="D369" t="s">
        <v>8</v>
      </c>
      <c r="E369" t="s">
        <v>9</v>
      </c>
      <c r="G369" t="s">
        <v>14</v>
      </c>
      <c r="H369">
        <v>43</v>
      </c>
      <c r="I369">
        <v>43</v>
      </c>
      <c r="J369">
        <v>9.3000000000000007</v>
      </c>
      <c r="K369">
        <v>7.09</v>
      </c>
      <c r="L369">
        <f t="shared" ref="L369:N369" si="205">L368</f>
        <v>0.81</v>
      </c>
      <c r="M369">
        <f t="shared" si="205"/>
        <v>0.44500000000000001</v>
      </c>
      <c r="N369">
        <f t="shared" si="205"/>
        <v>9.0999999999999998E-2</v>
      </c>
      <c r="O369" s="21">
        <f t="shared" si="182"/>
        <v>4.3279149519890261</v>
      </c>
      <c r="P369" s="21">
        <f t="shared" si="183"/>
        <v>3.7846364883401926</v>
      </c>
      <c r="Q369" s="23" t="str">
        <f t="shared" si="178"/>
        <v/>
      </c>
      <c r="R369" s="23">
        <f t="shared" si="179"/>
        <v>4.3279149519890261</v>
      </c>
      <c r="T369" t="str">
        <f t="shared" si="180"/>
        <v/>
      </c>
    </row>
    <row r="370" spans="1:20" x14ac:dyDescent="0.2">
      <c r="A370">
        <v>369</v>
      </c>
      <c r="B370" t="s">
        <v>159</v>
      </c>
      <c r="D370" t="s">
        <v>8</v>
      </c>
      <c r="E370" t="s">
        <v>9</v>
      </c>
      <c r="G370" t="s">
        <v>10</v>
      </c>
      <c r="H370">
        <v>43</v>
      </c>
      <c r="I370">
        <v>45</v>
      </c>
      <c r="J370">
        <v>11.4</v>
      </c>
      <c r="K370">
        <v>8.5500000000000007</v>
      </c>
      <c r="L370">
        <v>1.95</v>
      </c>
      <c r="M370">
        <v>1.1459999999999999</v>
      </c>
      <c r="N370">
        <v>0.21099999999999999</v>
      </c>
      <c r="O370" s="21">
        <f t="shared" si="182"/>
        <v>5.5830769230769226</v>
      </c>
      <c r="P370" s="21">
        <f t="shared" si="183"/>
        <v>4.9627350427350425</v>
      </c>
      <c r="Q370" s="23">
        <f t="shared" si="178"/>
        <v>5.5830769230769226</v>
      </c>
      <c r="R370" s="23" t="str">
        <f t="shared" si="179"/>
        <v/>
      </c>
      <c r="T370" t="str">
        <f t="shared" si="180"/>
        <v/>
      </c>
    </row>
    <row r="371" spans="1:20" x14ac:dyDescent="0.2">
      <c r="A371">
        <v>370</v>
      </c>
      <c r="B371" t="s">
        <v>159</v>
      </c>
      <c r="D371" t="s">
        <v>8</v>
      </c>
      <c r="E371" t="s">
        <v>9</v>
      </c>
      <c r="G371" t="s">
        <v>11</v>
      </c>
      <c r="H371">
        <v>50</v>
      </c>
      <c r="I371">
        <v>33</v>
      </c>
      <c r="J371">
        <v>25.25</v>
      </c>
      <c r="K371">
        <v>17.55</v>
      </c>
      <c r="L371">
        <f t="shared" ref="L371:N371" si="206">L370</f>
        <v>1.95</v>
      </c>
      <c r="M371">
        <f t="shared" si="206"/>
        <v>1.1459999999999999</v>
      </c>
      <c r="N371">
        <f t="shared" si="206"/>
        <v>0.21099999999999999</v>
      </c>
      <c r="O371" s="21">
        <f t="shared" si="182"/>
        <v>11.46</v>
      </c>
      <c r="P371" s="21">
        <f t="shared" si="183"/>
        <v>10.992022792022791</v>
      </c>
      <c r="Q371" s="23">
        <f t="shared" si="178"/>
        <v>11.46</v>
      </c>
      <c r="R371" s="23" t="str">
        <f t="shared" si="179"/>
        <v/>
      </c>
      <c r="T371" t="str">
        <f t="shared" si="180"/>
        <v/>
      </c>
    </row>
    <row r="372" spans="1:20" x14ac:dyDescent="0.2">
      <c r="A372">
        <v>371</v>
      </c>
      <c r="B372" t="s">
        <v>159</v>
      </c>
      <c r="D372" t="s">
        <v>8</v>
      </c>
      <c r="E372" t="s">
        <v>9</v>
      </c>
      <c r="G372" t="s">
        <v>12</v>
      </c>
      <c r="H372">
        <v>35</v>
      </c>
      <c r="I372">
        <v>34</v>
      </c>
      <c r="J372">
        <v>10.050000000000001</v>
      </c>
      <c r="K372">
        <v>15.55</v>
      </c>
      <c r="L372">
        <v>0.6</v>
      </c>
      <c r="M372">
        <v>0.40699999999999997</v>
      </c>
      <c r="N372">
        <v>8.1000000000000003E-2</v>
      </c>
      <c r="O372" s="21">
        <f t="shared" si="182"/>
        <v>11.720092592592595</v>
      </c>
      <c r="P372" s="21">
        <f t="shared" si="183"/>
        <v>5.0498148148148161</v>
      </c>
      <c r="Q372" s="23" t="str">
        <f t="shared" si="178"/>
        <v/>
      </c>
      <c r="R372" s="23">
        <f t="shared" si="179"/>
        <v>11.720092592592595</v>
      </c>
      <c r="T372" t="str">
        <f t="shared" si="180"/>
        <v/>
      </c>
    </row>
    <row r="373" spans="1:20" x14ac:dyDescent="0.2">
      <c r="A373">
        <v>372</v>
      </c>
      <c r="B373" t="s">
        <v>159</v>
      </c>
      <c r="D373" t="s">
        <v>8</v>
      </c>
      <c r="E373" t="s">
        <v>9</v>
      </c>
      <c r="G373" t="s">
        <v>14</v>
      </c>
      <c r="H373">
        <v>38</v>
      </c>
      <c r="I373">
        <v>37</v>
      </c>
      <c r="J373">
        <v>10.87</v>
      </c>
      <c r="K373">
        <v>15.81</v>
      </c>
      <c r="L373">
        <f t="shared" ref="L373:N373" si="207">L372</f>
        <v>0.6</v>
      </c>
      <c r="M373">
        <f t="shared" si="207"/>
        <v>0.40699999999999997</v>
      </c>
      <c r="N373">
        <f t="shared" si="207"/>
        <v>8.1000000000000003E-2</v>
      </c>
      <c r="O373" s="21">
        <f t="shared" si="182"/>
        <v>11.916055555555557</v>
      </c>
      <c r="P373" s="21">
        <f t="shared" si="183"/>
        <v>5.46183950617284</v>
      </c>
      <c r="Q373" s="23" t="str">
        <f t="shared" si="178"/>
        <v/>
      </c>
      <c r="R373" s="23">
        <f t="shared" si="179"/>
        <v>11.916055555555557</v>
      </c>
      <c r="T373" t="str">
        <f t="shared" si="180"/>
        <v/>
      </c>
    </row>
    <row r="374" spans="1:20" x14ac:dyDescent="0.2">
      <c r="A374">
        <v>373</v>
      </c>
      <c r="B374" t="s">
        <v>160</v>
      </c>
      <c r="C374" t="s">
        <v>160</v>
      </c>
      <c r="D374" t="s">
        <v>8</v>
      </c>
      <c r="E374" t="s">
        <v>9</v>
      </c>
      <c r="G374" t="s">
        <v>10</v>
      </c>
      <c r="H374">
        <v>33</v>
      </c>
      <c r="I374">
        <v>38</v>
      </c>
      <c r="J374">
        <v>13.3</v>
      </c>
      <c r="K374">
        <v>9.8000000000000007</v>
      </c>
      <c r="L374">
        <v>1.6</v>
      </c>
      <c r="M374">
        <v>0.80500000000000005</v>
      </c>
      <c r="N374">
        <v>0.154</v>
      </c>
      <c r="O374" s="21">
        <f t="shared" si="182"/>
        <v>5.4784722222222237</v>
      </c>
      <c r="P374" s="21">
        <f t="shared" si="183"/>
        <v>4.9567129629629632</v>
      </c>
      <c r="Q374" s="23">
        <f t="shared" si="178"/>
        <v>5.4784722222222237</v>
      </c>
      <c r="R374" s="23" t="str">
        <f t="shared" si="179"/>
        <v/>
      </c>
      <c r="T374" t="str">
        <f t="shared" si="180"/>
        <v/>
      </c>
    </row>
    <row r="375" spans="1:20" x14ac:dyDescent="0.2">
      <c r="A375">
        <v>374</v>
      </c>
      <c r="B375" t="s">
        <v>160</v>
      </c>
      <c r="C375" t="s">
        <v>160</v>
      </c>
      <c r="D375" t="s">
        <v>8</v>
      </c>
      <c r="E375" t="s">
        <v>9</v>
      </c>
      <c r="G375" t="s">
        <v>11</v>
      </c>
      <c r="H375">
        <v>32</v>
      </c>
      <c r="I375">
        <v>35</v>
      </c>
      <c r="J375">
        <v>12.95</v>
      </c>
      <c r="K375">
        <v>9.01</v>
      </c>
      <c r="L375">
        <f t="shared" ref="L375:N375" si="208">L374</f>
        <v>1.6</v>
      </c>
      <c r="M375">
        <f t="shared" si="208"/>
        <v>0.80500000000000005</v>
      </c>
      <c r="N375">
        <f t="shared" si="208"/>
        <v>0.154</v>
      </c>
      <c r="O375" s="21">
        <f t="shared" si="182"/>
        <v>5.0368402777777783</v>
      </c>
      <c r="P375" s="21">
        <f t="shared" si="183"/>
        <v>4.8262731481481476</v>
      </c>
      <c r="Q375" s="23">
        <f t="shared" si="178"/>
        <v>5.0368402777777783</v>
      </c>
      <c r="R375" s="23" t="str">
        <f t="shared" si="179"/>
        <v/>
      </c>
      <c r="T375" t="str">
        <f t="shared" si="180"/>
        <v/>
      </c>
    </row>
    <row r="376" spans="1:20" x14ac:dyDescent="0.2">
      <c r="A376">
        <v>375</v>
      </c>
      <c r="B376" t="s">
        <v>160</v>
      </c>
      <c r="C376" t="s">
        <v>160</v>
      </c>
      <c r="D376" t="s">
        <v>8</v>
      </c>
      <c r="E376" t="s">
        <v>9</v>
      </c>
      <c r="G376" t="s">
        <v>12</v>
      </c>
      <c r="H376">
        <v>29</v>
      </c>
      <c r="I376">
        <v>28</v>
      </c>
      <c r="J376">
        <v>13.57</v>
      </c>
      <c r="K376">
        <v>7.62</v>
      </c>
      <c r="L376">
        <v>1.3</v>
      </c>
      <c r="M376" s="4">
        <v>0.64700000000000002</v>
      </c>
      <c r="N376" s="4">
        <v>9.2999999999999999E-2</v>
      </c>
      <c r="O376" s="21">
        <f t="shared" si="182"/>
        <v>4.2137948717948728</v>
      </c>
      <c r="P376" s="21">
        <f t="shared" si="183"/>
        <v>5.0027293447293442</v>
      </c>
      <c r="Q376" s="23" t="str">
        <f t="shared" si="178"/>
        <v/>
      </c>
      <c r="R376" s="23">
        <f t="shared" si="179"/>
        <v>4.2137948717948728</v>
      </c>
      <c r="T376" t="str">
        <f t="shared" si="180"/>
        <v/>
      </c>
    </row>
    <row r="377" spans="1:20" x14ac:dyDescent="0.2">
      <c r="A377">
        <v>376</v>
      </c>
      <c r="B377" t="s">
        <v>160</v>
      </c>
      <c r="C377" t="s">
        <v>160</v>
      </c>
      <c r="D377" t="s">
        <v>8</v>
      </c>
      <c r="E377" t="s">
        <v>9</v>
      </c>
      <c r="G377" t="s">
        <v>14</v>
      </c>
      <c r="H377">
        <v>31</v>
      </c>
      <c r="I377">
        <v>30</v>
      </c>
      <c r="J377">
        <v>12.06</v>
      </c>
      <c r="K377">
        <v>6.58</v>
      </c>
      <c r="L377">
        <f>L376</f>
        <v>1.3</v>
      </c>
      <c r="M377">
        <f t="shared" ref="M377:N377" si="209">M376</f>
        <v>0.64700000000000002</v>
      </c>
      <c r="N377">
        <f t="shared" si="209"/>
        <v>9.2999999999999999E-2</v>
      </c>
      <c r="O377" s="21">
        <f t="shared" si="182"/>
        <v>3.6386837606837608</v>
      </c>
      <c r="P377" s="21">
        <f t="shared" si="183"/>
        <v>4.4460512820512825</v>
      </c>
      <c r="Q377" s="23" t="str">
        <f t="shared" si="178"/>
        <v/>
      </c>
      <c r="R377" s="23">
        <f t="shared" si="179"/>
        <v>3.6386837606837608</v>
      </c>
      <c r="T377" t="str">
        <f t="shared" si="180"/>
        <v/>
      </c>
    </row>
    <row r="378" spans="1:20" x14ac:dyDescent="0.2">
      <c r="A378">
        <v>377</v>
      </c>
      <c r="B378" s="15" t="s">
        <v>161</v>
      </c>
      <c r="C378" t="s">
        <v>161</v>
      </c>
      <c r="D378" s="15" t="s">
        <v>8</v>
      </c>
      <c r="E378" s="15" t="s">
        <v>9</v>
      </c>
      <c r="F378" s="15"/>
      <c r="G378" s="15" t="s">
        <v>10</v>
      </c>
      <c r="H378" s="15">
        <v>28</v>
      </c>
      <c r="I378" s="15">
        <v>32</v>
      </c>
      <c r="J378" s="15">
        <v>14.18</v>
      </c>
      <c r="K378" s="15">
        <v>9.64</v>
      </c>
      <c r="L378" s="15">
        <v>1.53</v>
      </c>
      <c r="M378" s="15">
        <v>0.84</v>
      </c>
      <c r="N378" s="15"/>
      <c r="O378" s="21">
        <f t="shared" si="182"/>
        <v>5.8806100217864925</v>
      </c>
      <c r="P378" s="21">
        <f t="shared" si="183"/>
        <v>5.7667392883079147</v>
      </c>
      <c r="Q378" s="23">
        <f t="shared" si="178"/>
        <v>5.8806100217864925</v>
      </c>
      <c r="R378" s="23" t="str">
        <f t="shared" si="179"/>
        <v/>
      </c>
      <c r="T378" t="str">
        <f t="shared" si="180"/>
        <v/>
      </c>
    </row>
    <row r="379" spans="1:20" x14ac:dyDescent="0.2">
      <c r="A379">
        <v>378</v>
      </c>
      <c r="B379" t="s">
        <v>161</v>
      </c>
      <c r="C379" t="s">
        <v>161</v>
      </c>
      <c r="D379" t="s">
        <v>8</v>
      </c>
      <c r="E379" t="s">
        <v>9</v>
      </c>
      <c r="G379" t="s">
        <v>11</v>
      </c>
      <c r="H379">
        <v>32</v>
      </c>
      <c r="I379">
        <v>37</v>
      </c>
      <c r="J379">
        <v>10.45</v>
      </c>
      <c r="K379">
        <v>8.6999999999999993</v>
      </c>
      <c r="L379">
        <f t="shared" ref="L379" si="210">L378</f>
        <v>1.53</v>
      </c>
      <c r="M379">
        <v>0.84</v>
      </c>
      <c r="O379" s="21">
        <f t="shared" si="182"/>
        <v>5.307189542483659</v>
      </c>
      <c r="P379" s="21">
        <f t="shared" si="183"/>
        <v>4.2498184458968771</v>
      </c>
      <c r="Q379" s="23">
        <f t="shared" si="178"/>
        <v>5.307189542483659</v>
      </c>
      <c r="R379" s="23" t="str">
        <f t="shared" si="179"/>
        <v/>
      </c>
      <c r="T379" t="str">
        <f t="shared" si="180"/>
        <v/>
      </c>
    </row>
    <row r="380" spans="1:20" x14ac:dyDescent="0.2">
      <c r="A380">
        <v>379</v>
      </c>
      <c r="B380" t="s">
        <v>161</v>
      </c>
      <c r="C380" t="s">
        <v>161</v>
      </c>
      <c r="D380" t="s">
        <v>8</v>
      </c>
      <c r="E380" t="s">
        <v>9</v>
      </c>
      <c r="G380" t="s">
        <v>12</v>
      </c>
      <c r="H380">
        <v>33</v>
      </c>
      <c r="I380">
        <v>36</v>
      </c>
      <c r="J380">
        <v>9.65</v>
      </c>
      <c r="K380">
        <v>9.86</v>
      </c>
      <c r="L380">
        <v>1.36</v>
      </c>
      <c r="M380">
        <v>0.74399999999999999</v>
      </c>
      <c r="N380">
        <v>0.185</v>
      </c>
      <c r="O380" s="21">
        <f t="shared" si="182"/>
        <v>5.9933333333333332</v>
      </c>
      <c r="P380" s="21">
        <f t="shared" si="183"/>
        <v>3.9104575163398696</v>
      </c>
      <c r="Q380" s="23" t="str">
        <f t="shared" si="178"/>
        <v/>
      </c>
      <c r="R380" s="23">
        <f t="shared" si="179"/>
        <v>5.9933333333333332</v>
      </c>
      <c r="T380" t="str">
        <f t="shared" si="180"/>
        <v/>
      </c>
    </row>
    <row r="381" spans="1:20" x14ac:dyDescent="0.2">
      <c r="A381">
        <v>380</v>
      </c>
      <c r="B381" t="s">
        <v>161</v>
      </c>
      <c r="C381" t="s">
        <v>161</v>
      </c>
      <c r="D381" t="s">
        <v>8</v>
      </c>
      <c r="E381" t="s">
        <v>9</v>
      </c>
      <c r="G381" t="s">
        <v>14</v>
      </c>
      <c r="H381">
        <v>39</v>
      </c>
      <c r="I381">
        <v>32</v>
      </c>
      <c r="J381">
        <v>8.65</v>
      </c>
      <c r="K381">
        <v>8.75</v>
      </c>
      <c r="L381">
        <f>L380</f>
        <v>1.36</v>
      </c>
      <c r="M381">
        <f t="shared" ref="M381:N381" si="211">M380</f>
        <v>0.74399999999999999</v>
      </c>
      <c r="N381">
        <f t="shared" si="211"/>
        <v>0.185</v>
      </c>
      <c r="O381" s="21">
        <f t="shared" si="182"/>
        <v>5.3186274509803919</v>
      </c>
      <c r="P381" s="21">
        <f t="shared" si="183"/>
        <v>3.5052287581699351</v>
      </c>
      <c r="Q381" s="23" t="str">
        <f t="shared" si="178"/>
        <v/>
      </c>
      <c r="R381" s="23">
        <f t="shared" si="179"/>
        <v>5.3186274509803919</v>
      </c>
      <c r="T381" t="str">
        <f t="shared" si="180"/>
        <v/>
      </c>
    </row>
    <row r="382" spans="1:20" x14ac:dyDescent="0.2">
      <c r="A382">
        <v>381</v>
      </c>
      <c r="B382" s="15" t="s">
        <v>162</v>
      </c>
      <c r="C382" s="26" t="s">
        <v>350</v>
      </c>
      <c r="D382" s="15" t="s">
        <v>8</v>
      </c>
      <c r="E382" s="15" t="s">
        <v>9</v>
      </c>
      <c r="F382" s="15"/>
      <c r="G382" s="15" t="s">
        <v>10</v>
      </c>
      <c r="H382" s="15">
        <v>41</v>
      </c>
      <c r="I382" s="15">
        <v>40</v>
      </c>
      <c r="J382" s="15">
        <v>20.09</v>
      </c>
      <c r="K382" s="15">
        <v>6.55</v>
      </c>
      <c r="L382" s="15">
        <v>1.1499999999999999</v>
      </c>
      <c r="M382" s="15"/>
      <c r="N382" s="15"/>
      <c r="O382" s="21">
        <f t="shared" ref="O382:O385" si="212">K382*(0.55/0.964)*(10/9)</f>
        <v>4.152259105578608</v>
      </c>
      <c r="P382" s="21">
        <f t="shared" ref="P382:P385" si="213">J382*(0.55/(0.964*1.5))*(10/9)</f>
        <v>8.4904717996004315</v>
      </c>
      <c r="Q382" s="23">
        <f t="shared" si="178"/>
        <v>4.152259105578608</v>
      </c>
      <c r="R382" s="23" t="str">
        <f t="shared" si="179"/>
        <v/>
      </c>
      <c r="T382" t="str">
        <f t="shared" si="180"/>
        <v/>
      </c>
    </row>
    <row r="383" spans="1:20" x14ac:dyDescent="0.2">
      <c r="A383">
        <v>382</v>
      </c>
      <c r="B383" t="s">
        <v>162</v>
      </c>
      <c r="C383" s="26" t="s">
        <v>350</v>
      </c>
      <c r="D383" t="s">
        <v>8</v>
      </c>
      <c r="E383" t="s">
        <v>9</v>
      </c>
      <c r="G383" t="s">
        <v>11</v>
      </c>
      <c r="H383">
        <v>46</v>
      </c>
      <c r="I383">
        <v>43</v>
      </c>
      <c r="J383">
        <v>20.13</v>
      </c>
      <c r="K383">
        <v>7.02</v>
      </c>
      <c r="L383">
        <f t="shared" ref="L383" si="214">L382</f>
        <v>1.1499999999999999</v>
      </c>
      <c r="O383" s="21">
        <f t="shared" si="212"/>
        <v>4.4502074688796682</v>
      </c>
      <c r="P383" s="21">
        <f t="shared" si="213"/>
        <v>8.5073766712770862</v>
      </c>
      <c r="Q383" s="23">
        <f t="shared" si="178"/>
        <v>4.4502074688796682</v>
      </c>
      <c r="R383" s="23" t="str">
        <f t="shared" si="179"/>
        <v/>
      </c>
      <c r="T383" t="str">
        <f t="shared" si="180"/>
        <v/>
      </c>
    </row>
    <row r="384" spans="1:20" x14ac:dyDescent="0.2">
      <c r="A384">
        <v>383</v>
      </c>
      <c r="B384" t="s">
        <v>162</v>
      </c>
      <c r="C384" s="26" t="s">
        <v>350</v>
      </c>
      <c r="D384" t="s">
        <v>8</v>
      </c>
      <c r="E384" t="s">
        <v>9</v>
      </c>
      <c r="G384" t="s">
        <v>12</v>
      </c>
      <c r="H384">
        <v>39</v>
      </c>
      <c r="I384">
        <v>40</v>
      </c>
      <c r="J384">
        <v>19.75</v>
      </c>
      <c r="K384">
        <v>6.85</v>
      </c>
      <c r="L384">
        <v>0.7</v>
      </c>
      <c r="M384">
        <v>0.629</v>
      </c>
      <c r="N384">
        <v>9.2999999999999999E-2</v>
      </c>
      <c r="O384" s="21">
        <f t="shared" si="212"/>
        <v>4.3424389119409872</v>
      </c>
      <c r="P384" s="21">
        <f t="shared" si="213"/>
        <v>8.3467803903488562</v>
      </c>
      <c r="Q384" s="23" t="str">
        <f t="shared" si="178"/>
        <v/>
      </c>
      <c r="R384" s="23">
        <f t="shared" si="179"/>
        <v>4.3424389119409872</v>
      </c>
      <c r="T384" t="str">
        <f t="shared" si="180"/>
        <v/>
      </c>
    </row>
    <row r="385" spans="1:20" x14ac:dyDescent="0.2">
      <c r="A385">
        <v>384</v>
      </c>
      <c r="B385" t="s">
        <v>162</v>
      </c>
      <c r="C385" s="26" t="s">
        <v>350</v>
      </c>
      <c r="D385" t="s">
        <v>8</v>
      </c>
      <c r="E385" t="s">
        <v>9</v>
      </c>
      <c r="G385" t="s">
        <v>14</v>
      </c>
      <c r="H385">
        <v>40</v>
      </c>
      <c r="I385">
        <v>40</v>
      </c>
      <c r="J385">
        <v>18.78</v>
      </c>
      <c r="K385">
        <v>6.49</v>
      </c>
      <c r="L385">
        <f>L384</f>
        <v>0.7</v>
      </c>
      <c r="M385">
        <f t="shared" ref="M385:N385" si="215">M384</f>
        <v>0.629</v>
      </c>
      <c r="N385">
        <f t="shared" si="215"/>
        <v>9.2999999999999999E-2</v>
      </c>
      <c r="O385" s="21">
        <f t="shared" si="212"/>
        <v>4.1142231443061323</v>
      </c>
      <c r="P385" s="21">
        <f t="shared" si="213"/>
        <v>7.9368372521899513</v>
      </c>
      <c r="Q385" s="23" t="str">
        <f t="shared" si="178"/>
        <v/>
      </c>
      <c r="R385" s="23">
        <f t="shared" si="179"/>
        <v>4.1142231443061323</v>
      </c>
      <c r="T385" t="str">
        <f t="shared" si="180"/>
        <v/>
      </c>
    </row>
    <row r="386" spans="1:20" x14ac:dyDescent="0.2">
      <c r="A386">
        <v>385</v>
      </c>
      <c r="B386" s="15" t="s">
        <v>163</v>
      </c>
      <c r="C386" t="s">
        <v>351</v>
      </c>
      <c r="D386" s="15" t="s">
        <v>8</v>
      </c>
      <c r="E386" s="15" t="s">
        <v>9</v>
      </c>
      <c r="F386" s="15"/>
      <c r="G386" s="15" t="s">
        <v>10</v>
      </c>
      <c r="H386" s="15">
        <v>37</v>
      </c>
      <c r="I386" s="15">
        <v>43</v>
      </c>
      <c r="J386" s="15">
        <v>10.65</v>
      </c>
      <c r="K386" s="15">
        <v>10.75</v>
      </c>
      <c r="L386" s="15">
        <v>1.5</v>
      </c>
      <c r="M386" s="15"/>
      <c r="N386" s="15"/>
      <c r="O386" s="21">
        <f t="shared" ref="O386:O389" si="216">K386*(0.55/0.964)*(10/9)</f>
        <v>6.8147763946519149</v>
      </c>
      <c r="P386" s="21">
        <f t="shared" ref="P386:P389" si="217">J386*(0.55/(0.964*1.5))*(10/9)</f>
        <v>4.5009220839096367</v>
      </c>
      <c r="Q386" s="23">
        <f t="shared" si="178"/>
        <v>6.8147763946519149</v>
      </c>
      <c r="R386" s="23" t="str">
        <f t="shared" si="179"/>
        <v/>
      </c>
      <c r="T386" t="str">
        <f t="shared" si="180"/>
        <v/>
      </c>
    </row>
    <row r="387" spans="1:20" x14ac:dyDescent="0.2">
      <c r="A387">
        <v>386</v>
      </c>
      <c r="B387" t="s">
        <v>163</v>
      </c>
      <c r="C387" t="s">
        <v>351</v>
      </c>
      <c r="D387" t="s">
        <v>8</v>
      </c>
      <c r="E387" t="s">
        <v>9</v>
      </c>
      <c r="G387" t="s">
        <v>11</v>
      </c>
      <c r="H387">
        <v>29</v>
      </c>
      <c r="I387">
        <v>33</v>
      </c>
      <c r="J387">
        <v>5</v>
      </c>
      <c r="K387">
        <v>9.4499999999999993</v>
      </c>
      <c r="L387">
        <f t="shared" ref="L387" si="218">L386</f>
        <v>1.5</v>
      </c>
      <c r="O387" s="21">
        <f t="shared" si="216"/>
        <v>5.9906639004149378</v>
      </c>
      <c r="P387" s="21">
        <f t="shared" si="217"/>
        <v>2.113108959581989</v>
      </c>
      <c r="Q387" s="23">
        <f t="shared" ref="Q387:Q450" si="219">IF(LEFT(G387,7)="IMPROVE",O387,"")</f>
        <v>5.9906639004149378</v>
      </c>
      <c r="R387" s="23" t="str">
        <f t="shared" ref="R387:R450" si="220">IF(LEFT(G387,7)="FARMER ",O387,"")</f>
        <v/>
      </c>
      <c r="T387" t="str">
        <f t="shared" ref="T387:T450" si="221">IF(O387&gt;14,"VVVVVVVV","")</f>
        <v/>
      </c>
    </row>
    <row r="388" spans="1:20" x14ac:dyDescent="0.2">
      <c r="A388">
        <v>387</v>
      </c>
      <c r="B388" t="s">
        <v>163</v>
      </c>
      <c r="C388" t="s">
        <v>351</v>
      </c>
      <c r="D388" t="s">
        <v>8</v>
      </c>
      <c r="E388" t="s">
        <v>9</v>
      </c>
      <c r="G388" t="s">
        <v>12</v>
      </c>
      <c r="H388">
        <v>40</v>
      </c>
      <c r="I388">
        <v>37</v>
      </c>
      <c r="J388">
        <v>4.75</v>
      </c>
      <c r="K388">
        <v>5.25</v>
      </c>
      <c r="L388">
        <v>0.6</v>
      </c>
      <c r="M388" s="2">
        <v>0.55400000000000005</v>
      </c>
      <c r="N388" s="2">
        <v>0.1</v>
      </c>
      <c r="O388" s="21">
        <f t="shared" si="216"/>
        <v>3.3281466113416327</v>
      </c>
      <c r="P388" s="21">
        <f t="shared" si="217"/>
        <v>2.0074535116028898</v>
      </c>
      <c r="Q388" s="23" t="str">
        <f t="shared" si="219"/>
        <v/>
      </c>
      <c r="R388" s="23">
        <f t="shared" si="220"/>
        <v>3.3281466113416327</v>
      </c>
      <c r="T388" t="str">
        <f t="shared" si="221"/>
        <v/>
      </c>
    </row>
    <row r="389" spans="1:20" x14ac:dyDescent="0.2">
      <c r="A389">
        <v>388</v>
      </c>
      <c r="B389" t="s">
        <v>163</v>
      </c>
      <c r="C389" t="s">
        <v>351</v>
      </c>
      <c r="D389" t="s">
        <v>8</v>
      </c>
      <c r="E389" t="s">
        <v>9</v>
      </c>
      <c r="G389" t="s">
        <v>14</v>
      </c>
      <c r="H389">
        <v>42</v>
      </c>
      <c r="I389">
        <v>39</v>
      </c>
      <c r="J389">
        <v>4.2</v>
      </c>
      <c r="K389">
        <v>5.42</v>
      </c>
      <c r="L389">
        <f t="shared" ref="L389:N389" si="222">L388</f>
        <v>0.6</v>
      </c>
      <c r="M389">
        <f t="shared" si="222"/>
        <v>0.55400000000000005</v>
      </c>
      <c r="N389">
        <f t="shared" si="222"/>
        <v>0.1</v>
      </c>
      <c r="O389" s="21">
        <f t="shared" si="216"/>
        <v>3.4359151682803142</v>
      </c>
      <c r="P389" s="21">
        <f t="shared" si="217"/>
        <v>1.7750115260488708</v>
      </c>
      <c r="Q389" s="23" t="str">
        <f t="shared" si="219"/>
        <v/>
      </c>
      <c r="R389" s="23">
        <f t="shared" si="220"/>
        <v>3.4359151682803142</v>
      </c>
      <c r="T389" t="str">
        <f t="shared" si="221"/>
        <v/>
      </c>
    </row>
    <row r="390" spans="1:20" x14ac:dyDescent="0.2">
      <c r="A390">
        <v>389</v>
      </c>
      <c r="B390" t="s">
        <v>164</v>
      </c>
      <c r="C390" t="s">
        <v>352</v>
      </c>
      <c r="D390" t="s">
        <v>8</v>
      </c>
      <c r="E390" t="s">
        <v>9</v>
      </c>
      <c r="G390" t="s">
        <v>10</v>
      </c>
      <c r="H390">
        <v>23</v>
      </c>
      <c r="I390">
        <v>25</v>
      </c>
      <c r="J390">
        <v>3.09</v>
      </c>
      <c r="K390">
        <v>2.8</v>
      </c>
      <c r="L390">
        <v>0.69</v>
      </c>
      <c r="M390">
        <v>0.51</v>
      </c>
      <c r="N390">
        <v>0.13500000000000001</v>
      </c>
      <c r="O390" s="21">
        <f t="shared" ref="O390:O453" si="223">K390*(M390/L390)*(10/9)</f>
        <v>2.2995169082125604</v>
      </c>
      <c r="P390" s="21">
        <f t="shared" ref="P390:P453" si="224">J390*(M390/(L390*1.5))*(10/9)</f>
        <v>1.6917874396135266</v>
      </c>
      <c r="Q390" s="23">
        <f t="shared" si="219"/>
        <v>2.2995169082125604</v>
      </c>
      <c r="R390" s="23" t="str">
        <f t="shared" si="220"/>
        <v/>
      </c>
      <c r="T390" t="str">
        <f t="shared" si="221"/>
        <v/>
      </c>
    </row>
    <row r="391" spans="1:20" x14ac:dyDescent="0.2">
      <c r="A391">
        <v>390</v>
      </c>
      <c r="B391" t="s">
        <v>164</v>
      </c>
      <c r="C391" t="s">
        <v>352</v>
      </c>
      <c r="D391" t="s">
        <v>8</v>
      </c>
      <c r="E391" t="s">
        <v>9</v>
      </c>
      <c r="G391" t="s">
        <v>11</v>
      </c>
      <c r="H391">
        <v>50</v>
      </c>
      <c r="I391">
        <v>49</v>
      </c>
      <c r="J391">
        <v>4.21</v>
      </c>
      <c r="K391">
        <v>4.58</v>
      </c>
      <c r="L391">
        <f t="shared" ref="L391:N391" si="225">L390</f>
        <v>0.69</v>
      </c>
      <c r="M391">
        <f t="shared" si="225"/>
        <v>0.51</v>
      </c>
      <c r="N391">
        <f t="shared" si="225"/>
        <v>0.13500000000000001</v>
      </c>
      <c r="O391" s="21">
        <f t="shared" si="223"/>
        <v>3.761352657004831</v>
      </c>
      <c r="P391" s="21">
        <f t="shared" si="224"/>
        <v>2.3049919484702097</v>
      </c>
      <c r="Q391" s="23">
        <f t="shared" si="219"/>
        <v>3.761352657004831</v>
      </c>
      <c r="R391" s="23" t="str">
        <f t="shared" si="220"/>
        <v/>
      </c>
      <c r="T391" t="str">
        <f t="shared" si="221"/>
        <v/>
      </c>
    </row>
    <row r="392" spans="1:20" x14ac:dyDescent="0.2">
      <c r="A392">
        <v>391</v>
      </c>
      <c r="B392" t="s">
        <v>164</v>
      </c>
      <c r="C392" t="s">
        <v>352</v>
      </c>
      <c r="D392" t="s">
        <v>8</v>
      </c>
      <c r="E392" t="s">
        <v>9</v>
      </c>
      <c r="G392" t="s">
        <v>12</v>
      </c>
      <c r="H392">
        <v>50</v>
      </c>
      <c r="I392">
        <v>46</v>
      </c>
      <c r="J392">
        <v>5.31</v>
      </c>
      <c r="K392">
        <v>3.06</v>
      </c>
      <c r="L392">
        <v>0.38</v>
      </c>
      <c r="M392">
        <v>0.28399999999999997</v>
      </c>
      <c r="N392">
        <v>7.6999999999999999E-2</v>
      </c>
      <c r="O392" s="21">
        <f t="shared" si="223"/>
        <v>2.541052631578947</v>
      </c>
      <c r="P392" s="21">
        <f t="shared" si="224"/>
        <v>2.9396491228070172</v>
      </c>
      <c r="Q392" s="23" t="str">
        <f t="shared" si="219"/>
        <v/>
      </c>
      <c r="R392" s="23">
        <f t="shared" si="220"/>
        <v>2.541052631578947</v>
      </c>
      <c r="T392" t="str">
        <f t="shared" si="221"/>
        <v/>
      </c>
    </row>
    <row r="393" spans="1:20" x14ac:dyDescent="0.2">
      <c r="A393">
        <v>392</v>
      </c>
      <c r="B393" t="s">
        <v>164</v>
      </c>
      <c r="C393" t="s">
        <v>352</v>
      </c>
      <c r="D393" t="s">
        <v>8</v>
      </c>
      <c r="E393" t="s">
        <v>9</v>
      </c>
      <c r="G393" t="s">
        <v>14</v>
      </c>
      <c r="H393">
        <v>30</v>
      </c>
      <c r="I393">
        <v>30</v>
      </c>
      <c r="J393">
        <v>3.47</v>
      </c>
      <c r="K393">
        <v>3.08</v>
      </c>
      <c r="L393">
        <f t="shared" ref="L393:N393" si="226">L392</f>
        <v>0.38</v>
      </c>
      <c r="M393">
        <f t="shared" si="226"/>
        <v>0.28399999999999997</v>
      </c>
      <c r="N393">
        <f t="shared" si="226"/>
        <v>7.6999999999999999E-2</v>
      </c>
      <c r="O393" s="21">
        <f t="shared" si="223"/>
        <v>2.5576608187134502</v>
      </c>
      <c r="P393" s="21">
        <f t="shared" si="224"/>
        <v>1.9210136452241713</v>
      </c>
      <c r="Q393" s="23" t="str">
        <f t="shared" si="219"/>
        <v/>
      </c>
      <c r="R393" s="23">
        <f t="shared" si="220"/>
        <v>2.5576608187134502</v>
      </c>
      <c r="T393" t="str">
        <f t="shared" si="221"/>
        <v/>
      </c>
    </row>
    <row r="394" spans="1:20" x14ac:dyDescent="0.2">
      <c r="A394">
        <v>393</v>
      </c>
      <c r="B394" t="s">
        <v>165</v>
      </c>
      <c r="C394" t="s">
        <v>165</v>
      </c>
      <c r="D394" t="s">
        <v>8</v>
      </c>
      <c r="E394" t="s">
        <v>9</v>
      </c>
      <c r="G394" t="s">
        <v>10</v>
      </c>
      <c r="H394">
        <v>30</v>
      </c>
      <c r="I394">
        <v>37</v>
      </c>
      <c r="J394">
        <v>11.25</v>
      </c>
      <c r="K394">
        <v>7.97</v>
      </c>
      <c r="L394">
        <v>1.33</v>
      </c>
      <c r="M394">
        <v>0.82699999999999996</v>
      </c>
      <c r="N394">
        <v>0.17</v>
      </c>
      <c r="O394" s="21">
        <f t="shared" si="223"/>
        <v>5.5064243943191311</v>
      </c>
      <c r="P394" s="21">
        <f t="shared" si="224"/>
        <v>5.1817042606516281</v>
      </c>
      <c r="Q394" s="23">
        <f t="shared" si="219"/>
        <v>5.5064243943191311</v>
      </c>
      <c r="R394" s="23" t="str">
        <f t="shared" si="220"/>
        <v/>
      </c>
      <c r="T394" t="str">
        <f t="shared" si="221"/>
        <v/>
      </c>
    </row>
    <row r="395" spans="1:20" x14ac:dyDescent="0.2">
      <c r="A395">
        <v>394</v>
      </c>
      <c r="B395" t="s">
        <v>165</v>
      </c>
      <c r="C395" t="s">
        <v>165</v>
      </c>
      <c r="D395" t="s">
        <v>8</v>
      </c>
      <c r="E395" t="s">
        <v>9</v>
      </c>
      <c r="G395" t="s">
        <v>11</v>
      </c>
      <c r="H395">
        <v>33</v>
      </c>
      <c r="I395">
        <v>39</v>
      </c>
      <c r="J395">
        <v>14.82</v>
      </c>
      <c r="K395">
        <v>10.51</v>
      </c>
      <c r="L395">
        <f t="shared" ref="L395:N395" si="227">L394</f>
        <v>1.33</v>
      </c>
      <c r="M395">
        <f t="shared" si="227"/>
        <v>0.82699999999999996</v>
      </c>
      <c r="N395">
        <f t="shared" si="227"/>
        <v>0.17</v>
      </c>
      <c r="O395" s="21">
        <f t="shared" si="223"/>
        <v>7.2612949039264825</v>
      </c>
      <c r="P395" s="21">
        <f t="shared" si="224"/>
        <v>6.8260317460317452</v>
      </c>
      <c r="Q395" s="23">
        <f t="shared" si="219"/>
        <v>7.2612949039264825</v>
      </c>
      <c r="R395" s="23" t="str">
        <f t="shared" si="220"/>
        <v/>
      </c>
      <c r="T395" t="str">
        <f t="shared" si="221"/>
        <v/>
      </c>
    </row>
    <row r="396" spans="1:20" x14ac:dyDescent="0.2">
      <c r="A396">
        <v>395</v>
      </c>
      <c r="B396" t="s">
        <v>165</v>
      </c>
      <c r="C396" t="s">
        <v>165</v>
      </c>
      <c r="D396" t="s">
        <v>8</v>
      </c>
      <c r="E396" t="s">
        <v>9</v>
      </c>
      <c r="G396" t="s">
        <v>12</v>
      </c>
      <c r="H396">
        <v>28</v>
      </c>
      <c r="I396">
        <v>27</v>
      </c>
      <c r="J396">
        <v>3.87</v>
      </c>
      <c r="K396">
        <v>4.99</v>
      </c>
      <c r="L396">
        <v>0.88</v>
      </c>
      <c r="M396">
        <v>0.61599999999999999</v>
      </c>
      <c r="N396">
        <v>9.6000000000000002E-2</v>
      </c>
      <c r="O396" s="21">
        <f t="shared" si="223"/>
        <v>3.8811111111111112</v>
      </c>
      <c r="P396" s="21">
        <f t="shared" si="224"/>
        <v>2.0066666666666664</v>
      </c>
      <c r="Q396" s="23" t="str">
        <f t="shared" si="219"/>
        <v/>
      </c>
      <c r="R396" s="23">
        <f t="shared" si="220"/>
        <v>3.8811111111111112</v>
      </c>
      <c r="T396" t="str">
        <f t="shared" si="221"/>
        <v/>
      </c>
    </row>
    <row r="397" spans="1:20" x14ac:dyDescent="0.2">
      <c r="A397">
        <v>396</v>
      </c>
      <c r="B397" t="s">
        <v>165</v>
      </c>
      <c r="C397" t="s">
        <v>165</v>
      </c>
      <c r="D397" t="s">
        <v>8</v>
      </c>
      <c r="E397" t="s">
        <v>9</v>
      </c>
      <c r="G397" t="s">
        <v>14</v>
      </c>
      <c r="H397">
        <v>32</v>
      </c>
      <c r="I397">
        <v>33</v>
      </c>
      <c r="J397">
        <v>10.4</v>
      </c>
      <c r="K397">
        <v>8.84</v>
      </c>
      <c r="L397">
        <f t="shared" ref="L397:N397" si="228">L396</f>
        <v>0.88</v>
      </c>
      <c r="M397">
        <f t="shared" si="228"/>
        <v>0.61599999999999999</v>
      </c>
      <c r="N397">
        <f t="shared" si="228"/>
        <v>9.6000000000000002E-2</v>
      </c>
      <c r="O397" s="21">
        <f t="shared" si="223"/>
        <v>6.8755555555555556</v>
      </c>
      <c r="P397" s="21">
        <f t="shared" si="224"/>
        <v>5.3925925925925924</v>
      </c>
      <c r="Q397" s="23" t="str">
        <f t="shared" si="219"/>
        <v/>
      </c>
      <c r="R397" s="23">
        <f t="shared" si="220"/>
        <v>6.8755555555555556</v>
      </c>
      <c r="T397" t="str">
        <f t="shared" si="221"/>
        <v/>
      </c>
    </row>
    <row r="398" spans="1:20" x14ac:dyDescent="0.2">
      <c r="A398">
        <v>397</v>
      </c>
      <c r="B398" t="s">
        <v>166</v>
      </c>
      <c r="C398" t="s">
        <v>353</v>
      </c>
      <c r="D398" t="s">
        <v>8</v>
      </c>
      <c r="E398" t="s">
        <v>9</v>
      </c>
      <c r="G398" t="s">
        <v>10</v>
      </c>
      <c r="H398">
        <v>43</v>
      </c>
      <c r="I398">
        <v>43</v>
      </c>
      <c r="J398">
        <v>9.77</v>
      </c>
      <c r="K398">
        <v>6.84</v>
      </c>
      <c r="L398">
        <v>0.91</v>
      </c>
      <c r="M398">
        <v>0.58499999999999996</v>
      </c>
      <c r="N398">
        <v>0.13700000000000001</v>
      </c>
      <c r="O398" s="21">
        <f t="shared" si="223"/>
        <v>4.8857142857142852</v>
      </c>
      <c r="P398" s="21">
        <f t="shared" si="224"/>
        <v>4.6523809523809518</v>
      </c>
      <c r="Q398" s="23">
        <f t="shared" si="219"/>
        <v>4.8857142857142852</v>
      </c>
      <c r="R398" s="23" t="str">
        <f t="shared" si="220"/>
        <v/>
      </c>
      <c r="T398" t="str">
        <f t="shared" si="221"/>
        <v/>
      </c>
    </row>
    <row r="399" spans="1:20" x14ac:dyDescent="0.2">
      <c r="A399">
        <v>398</v>
      </c>
      <c r="B399" t="s">
        <v>166</v>
      </c>
      <c r="C399" t="s">
        <v>353</v>
      </c>
      <c r="D399" t="s">
        <v>8</v>
      </c>
      <c r="E399" t="s">
        <v>9</v>
      </c>
      <c r="G399" t="s">
        <v>11</v>
      </c>
      <c r="H399">
        <v>50</v>
      </c>
      <c r="I399">
        <v>51</v>
      </c>
      <c r="J399">
        <v>8.8699999999999992</v>
      </c>
      <c r="K399">
        <v>6.78</v>
      </c>
      <c r="L399">
        <f t="shared" ref="L399:N399" si="229">L398</f>
        <v>0.91</v>
      </c>
      <c r="M399">
        <f t="shared" si="229"/>
        <v>0.58499999999999996</v>
      </c>
      <c r="N399">
        <f t="shared" si="229"/>
        <v>0.13700000000000001</v>
      </c>
      <c r="O399" s="21">
        <f t="shared" si="223"/>
        <v>4.8428571428571434</v>
      </c>
      <c r="P399" s="21">
        <f t="shared" si="224"/>
        <v>4.223809523809523</v>
      </c>
      <c r="Q399" s="23">
        <f t="shared" si="219"/>
        <v>4.8428571428571434</v>
      </c>
      <c r="R399" s="23" t="str">
        <f t="shared" si="220"/>
        <v/>
      </c>
      <c r="T399" t="str">
        <f t="shared" si="221"/>
        <v/>
      </c>
    </row>
    <row r="400" spans="1:20" x14ac:dyDescent="0.2">
      <c r="A400">
        <v>399</v>
      </c>
      <c r="B400" t="s">
        <v>166</v>
      </c>
      <c r="C400" t="s">
        <v>353</v>
      </c>
      <c r="D400" t="s">
        <v>8</v>
      </c>
      <c r="E400" t="s">
        <v>9</v>
      </c>
      <c r="G400" t="s">
        <v>12</v>
      </c>
      <c r="H400">
        <v>40</v>
      </c>
      <c r="I400">
        <v>28</v>
      </c>
      <c r="J400">
        <v>7.49</v>
      </c>
      <c r="K400">
        <v>3.08</v>
      </c>
      <c r="L400">
        <v>0.7</v>
      </c>
      <c r="M400">
        <v>0.42499999999999999</v>
      </c>
      <c r="N400">
        <v>7.5999999999999998E-2</v>
      </c>
      <c r="O400" s="21">
        <f t="shared" si="223"/>
        <v>2.0777777777777784</v>
      </c>
      <c r="P400" s="21">
        <f t="shared" si="224"/>
        <v>3.3685185185185191</v>
      </c>
      <c r="Q400" s="23" t="str">
        <f t="shared" si="219"/>
        <v/>
      </c>
      <c r="R400" s="23">
        <f t="shared" si="220"/>
        <v>2.0777777777777784</v>
      </c>
      <c r="T400" t="str">
        <f t="shared" si="221"/>
        <v/>
      </c>
    </row>
    <row r="401" spans="1:20" x14ac:dyDescent="0.2">
      <c r="A401">
        <v>400</v>
      </c>
      <c r="B401" t="s">
        <v>166</v>
      </c>
      <c r="C401" t="s">
        <v>353</v>
      </c>
      <c r="D401" t="s">
        <v>8</v>
      </c>
      <c r="E401" t="s">
        <v>9</v>
      </c>
      <c r="G401" t="s">
        <v>14</v>
      </c>
      <c r="H401">
        <v>26</v>
      </c>
      <c r="I401">
        <v>26</v>
      </c>
      <c r="J401">
        <v>4.62</v>
      </c>
      <c r="K401">
        <v>2.48</v>
      </c>
      <c r="L401">
        <f t="shared" ref="L401:N401" si="230">L400</f>
        <v>0.7</v>
      </c>
      <c r="M401">
        <f t="shared" si="230"/>
        <v>0.42499999999999999</v>
      </c>
      <c r="N401">
        <f t="shared" si="230"/>
        <v>7.5999999999999998E-2</v>
      </c>
      <c r="O401" s="21">
        <f t="shared" si="223"/>
        <v>1.6730158730158731</v>
      </c>
      <c r="P401" s="21">
        <f t="shared" si="224"/>
        <v>2.0777777777777784</v>
      </c>
      <c r="Q401" s="23" t="str">
        <f t="shared" si="219"/>
        <v/>
      </c>
      <c r="R401" s="23">
        <f t="shared" si="220"/>
        <v>1.6730158730158731</v>
      </c>
      <c r="T401" t="str">
        <f t="shared" si="221"/>
        <v/>
      </c>
    </row>
    <row r="402" spans="1:20" x14ac:dyDescent="0.2">
      <c r="A402">
        <v>401</v>
      </c>
      <c r="B402" t="s">
        <v>167</v>
      </c>
      <c r="C402" t="s">
        <v>167</v>
      </c>
      <c r="D402" t="s">
        <v>8</v>
      </c>
      <c r="E402" t="s">
        <v>9</v>
      </c>
      <c r="G402" t="s">
        <v>10</v>
      </c>
      <c r="H402">
        <v>38</v>
      </c>
      <c r="I402">
        <v>35</v>
      </c>
      <c r="J402">
        <v>8.19</v>
      </c>
      <c r="K402">
        <v>6.69</v>
      </c>
      <c r="L402">
        <v>0.88</v>
      </c>
      <c r="M402">
        <v>0.56499999999999995</v>
      </c>
      <c r="N402">
        <v>0.1</v>
      </c>
      <c r="O402" s="21">
        <f t="shared" si="223"/>
        <v>4.7725378787878787</v>
      </c>
      <c r="P402" s="21">
        <f t="shared" si="224"/>
        <v>3.8950757575757571</v>
      </c>
      <c r="Q402" s="23">
        <f t="shared" si="219"/>
        <v>4.7725378787878787</v>
      </c>
      <c r="R402" s="23" t="str">
        <f t="shared" si="220"/>
        <v/>
      </c>
      <c r="T402" t="str">
        <f t="shared" si="221"/>
        <v/>
      </c>
    </row>
    <row r="403" spans="1:20" x14ac:dyDescent="0.2">
      <c r="A403">
        <v>402</v>
      </c>
      <c r="B403" t="s">
        <v>167</v>
      </c>
      <c r="C403" t="s">
        <v>167</v>
      </c>
      <c r="D403" t="s">
        <v>8</v>
      </c>
      <c r="E403" t="s">
        <v>9</v>
      </c>
      <c r="G403" t="s">
        <v>11</v>
      </c>
      <c r="H403">
        <v>31</v>
      </c>
      <c r="I403">
        <v>30</v>
      </c>
      <c r="J403">
        <v>6.41</v>
      </c>
      <c r="K403">
        <v>7.83</v>
      </c>
      <c r="L403">
        <f t="shared" ref="L403:N403" si="231">L402</f>
        <v>0.88</v>
      </c>
      <c r="M403">
        <f t="shared" si="231"/>
        <v>0.56499999999999995</v>
      </c>
      <c r="N403">
        <f t="shared" si="231"/>
        <v>0.1</v>
      </c>
      <c r="O403" s="21">
        <f t="shared" si="223"/>
        <v>5.5857954545454538</v>
      </c>
      <c r="P403" s="21">
        <f t="shared" si="224"/>
        <v>3.0485269360269363</v>
      </c>
      <c r="Q403" s="23">
        <f t="shared" si="219"/>
        <v>5.5857954545454538</v>
      </c>
      <c r="R403" s="23" t="str">
        <f t="shared" si="220"/>
        <v/>
      </c>
      <c r="T403" t="str">
        <f t="shared" si="221"/>
        <v/>
      </c>
    </row>
    <row r="404" spans="1:20" x14ac:dyDescent="0.2">
      <c r="A404">
        <v>403</v>
      </c>
      <c r="B404" t="s">
        <v>167</v>
      </c>
      <c r="C404" t="s">
        <v>167</v>
      </c>
      <c r="D404" t="s">
        <v>8</v>
      </c>
      <c r="E404" t="s">
        <v>9</v>
      </c>
      <c r="G404" t="s">
        <v>12</v>
      </c>
      <c r="H404">
        <v>39</v>
      </c>
      <c r="I404">
        <v>34</v>
      </c>
      <c r="J404">
        <v>2.96</v>
      </c>
      <c r="K404">
        <v>4.41</v>
      </c>
      <c r="L404">
        <v>0.61</v>
      </c>
      <c r="M404">
        <v>0.34200000000000003</v>
      </c>
      <c r="N404">
        <v>6.8000000000000005E-2</v>
      </c>
      <c r="O404" s="21">
        <f t="shared" si="223"/>
        <v>2.7472131147540986</v>
      </c>
      <c r="P404" s="21">
        <f t="shared" si="224"/>
        <v>1.229289617486339</v>
      </c>
      <c r="Q404" s="23" t="str">
        <f t="shared" si="219"/>
        <v/>
      </c>
      <c r="R404" s="23">
        <f t="shared" si="220"/>
        <v>2.7472131147540986</v>
      </c>
      <c r="T404" t="str">
        <f t="shared" si="221"/>
        <v/>
      </c>
    </row>
    <row r="405" spans="1:20" x14ac:dyDescent="0.2">
      <c r="A405">
        <v>404</v>
      </c>
      <c r="B405" t="s">
        <v>167</v>
      </c>
      <c r="C405" t="s">
        <v>167</v>
      </c>
      <c r="D405" t="s">
        <v>8</v>
      </c>
      <c r="E405" t="s">
        <v>9</v>
      </c>
      <c r="G405" t="s">
        <v>14</v>
      </c>
      <c r="H405">
        <v>28</v>
      </c>
      <c r="I405">
        <v>15</v>
      </c>
      <c r="J405">
        <v>2.73</v>
      </c>
      <c r="K405">
        <v>3.19</v>
      </c>
      <c r="L405">
        <f t="shared" ref="L405:N405" si="232">L404</f>
        <v>0.61</v>
      </c>
      <c r="M405">
        <f t="shared" si="232"/>
        <v>0.34200000000000003</v>
      </c>
      <c r="N405">
        <f t="shared" si="232"/>
        <v>6.8000000000000005E-2</v>
      </c>
      <c r="O405" s="21">
        <f t="shared" si="223"/>
        <v>1.9872131147540983</v>
      </c>
      <c r="P405" s="21">
        <f t="shared" si="224"/>
        <v>1.1337704918032787</v>
      </c>
      <c r="Q405" s="23" t="str">
        <f t="shared" si="219"/>
        <v/>
      </c>
      <c r="R405" s="23">
        <f t="shared" si="220"/>
        <v>1.9872131147540983</v>
      </c>
      <c r="T405" t="str">
        <f t="shared" si="221"/>
        <v/>
      </c>
    </row>
    <row r="406" spans="1:20" x14ac:dyDescent="0.2">
      <c r="A406">
        <v>405</v>
      </c>
      <c r="B406" t="s">
        <v>168</v>
      </c>
      <c r="C406" t="s">
        <v>168</v>
      </c>
      <c r="D406" t="s">
        <v>8</v>
      </c>
      <c r="E406" t="s">
        <v>9</v>
      </c>
      <c r="G406" t="s">
        <v>10</v>
      </c>
      <c r="H406">
        <v>24</v>
      </c>
      <c r="I406">
        <v>35</v>
      </c>
      <c r="J406">
        <v>10.92</v>
      </c>
      <c r="K406">
        <v>8.7899999999999991</v>
      </c>
      <c r="L406">
        <v>1.22</v>
      </c>
      <c r="M406">
        <v>0.76900000000000002</v>
      </c>
      <c r="N406">
        <v>0.13200000000000001</v>
      </c>
      <c r="O406" s="21">
        <f t="shared" si="223"/>
        <v>6.1562021857923499</v>
      </c>
      <c r="P406" s="21">
        <f t="shared" si="224"/>
        <v>5.0986520947176697</v>
      </c>
      <c r="Q406" s="23">
        <f t="shared" si="219"/>
        <v>6.1562021857923499</v>
      </c>
      <c r="R406" s="23" t="str">
        <f t="shared" si="220"/>
        <v/>
      </c>
      <c r="T406" t="str">
        <f t="shared" si="221"/>
        <v/>
      </c>
    </row>
    <row r="407" spans="1:20" x14ac:dyDescent="0.2">
      <c r="A407">
        <v>406</v>
      </c>
      <c r="B407" t="s">
        <v>168</v>
      </c>
      <c r="C407" t="s">
        <v>168</v>
      </c>
      <c r="D407" t="s">
        <v>8</v>
      </c>
      <c r="E407" t="s">
        <v>9</v>
      </c>
      <c r="G407" t="s">
        <v>11</v>
      </c>
      <c r="H407">
        <v>33</v>
      </c>
      <c r="I407">
        <v>32</v>
      </c>
      <c r="J407">
        <v>9.68</v>
      </c>
      <c r="K407">
        <v>7.7</v>
      </c>
      <c r="L407">
        <f t="shared" ref="L407:N407" si="233">L406</f>
        <v>1.22</v>
      </c>
      <c r="M407">
        <f t="shared" si="233"/>
        <v>0.76900000000000002</v>
      </c>
      <c r="N407">
        <f t="shared" si="233"/>
        <v>0.13200000000000001</v>
      </c>
      <c r="O407" s="21">
        <f t="shared" si="223"/>
        <v>5.3928051001821498</v>
      </c>
      <c r="P407" s="21">
        <f t="shared" si="224"/>
        <v>4.5196842744383732</v>
      </c>
      <c r="Q407" s="23">
        <f t="shared" si="219"/>
        <v>5.3928051001821498</v>
      </c>
      <c r="R407" s="23" t="str">
        <f t="shared" si="220"/>
        <v/>
      </c>
      <c r="T407" t="str">
        <f t="shared" si="221"/>
        <v/>
      </c>
    </row>
    <row r="408" spans="1:20" x14ac:dyDescent="0.2">
      <c r="A408">
        <v>407</v>
      </c>
      <c r="B408" t="s">
        <v>168</v>
      </c>
      <c r="C408" t="s">
        <v>168</v>
      </c>
      <c r="D408" t="s">
        <v>8</v>
      </c>
      <c r="E408" t="s">
        <v>9</v>
      </c>
      <c r="G408" t="s">
        <v>12</v>
      </c>
      <c r="H408">
        <v>37</v>
      </c>
      <c r="I408">
        <v>36</v>
      </c>
      <c r="J408">
        <v>6.79</v>
      </c>
      <c r="K408">
        <v>6.95</v>
      </c>
      <c r="L408">
        <v>0.91</v>
      </c>
      <c r="M408">
        <v>0.58799999999999997</v>
      </c>
      <c r="N408">
        <v>0.108</v>
      </c>
      <c r="O408" s="21">
        <f t="shared" si="223"/>
        <v>4.9897435897435898</v>
      </c>
      <c r="P408" s="21">
        <f t="shared" si="224"/>
        <v>3.2499145299145296</v>
      </c>
      <c r="Q408" s="23" t="str">
        <f t="shared" si="219"/>
        <v/>
      </c>
      <c r="R408" s="23">
        <f t="shared" si="220"/>
        <v>4.9897435897435898</v>
      </c>
      <c r="T408" t="str">
        <f t="shared" si="221"/>
        <v/>
      </c>
    </row>
    <row r="409" spans="1:20" x14ac:dyDescent="0.2">
      <c r="A409">
        <v>408</v>
      </c>
      <c r="B409" t="s">
        <v>168</v>
      </c>
      <c r="C409" t="s">
        <v>168</v>
      </c>
      <c r="D409" t="s">
        <v>8</v>
      </c>
      <c r="E409" t="s">
        <v>9</v>
      </c>
      <c r="G409" t="s">
        <v>14</v>
      </c>
      <c r="H409">
        <v>37</v>
      </c>
      <c r="I409">
        <v>38</v>
      </c>
      <c r="J409">
        <v>7.49</v>
      </c>
      <c r="K409">
        <v>6.59</v>
      </c>
      <c r="L409">
        <f t="shared" ref="L409:N409" si="234">L408</f>
        <v>0.91</v>
      </c>
      <c r="M409">
        <f t="shared" si="234"/>
        <v>0.58799999999999997</v>
      </c>
      <c r="N409">
        <f t="shared" si="234"/>
        <v>0.108</v>
      </c>
      <c r="O409" s="21">
        <f t="shared" si="223"/>
        <v>4.7312820512820508</v>
      </c>
      <c r="P409" s="21">
        <f t="shared" si="224"/>
        <v>3.5849572649572652</v>
      </c>
      <c r="Q409" s="23" t="str">
        <f t="shared" si="219"/>
        <v/>
      </c>
      <c r="R409" s="23">
        <f t="shared" si="220"/>
        <v>4.7312820512820508</v>
      </c>
      <c r="T409" t="str">
        <f t="shared" si="221"/>
        <v/>
      </c>
    </row>
    <row r="410" spans="1:20" x14ac:dyDescent="0.2">
      <c r="A410">
        <v>409</v>
      </c>
      <c r="B410" t="s">
        <v>169</v>
      </c>
      <c r="C410" t="s">
        <v>354</v>
      </c>
      <c r="D410" t="s">
        <v>8</v>
      </c>
      <c r="E410" t="s">
        <v>9</v>
      </c>
      <c r="G410" t="s">
        <v>10</v>
      </c>
      <c r="H410">
        <v>46</v>
      </c>
      <c r="I410">
        <v>45</v>
      </c>
      <c r="J410">
        <v>11.12</v>
      </c>
      <c r="K410">
        <v>8.65</v>
      </c>
      <c r="L410">
        <v>1.05</v>
      </c>
      <c r="M410">
        <v>0.73699999999999999</v>
      </c>
      <c r="N410">
        <v>0.155</v>
      </c>
      <c r="O410" s="21">
        <f t="shared" si="223"/>
        <v>6.7460846560846557</v>
      </c>
      <c r="P410" s="21">
        <f t="shared" si="224"/>
        <v>5.7816155202821866</v>
      </c>
      <c r="Q410" s="23">
        <f t="shared" si="219"/>
        <v>6.7460846560846557</v>
      </c>
      <c r="R410" s="23" t="str">
        <f t="shared" si="220"/>
        <v/>
      </c>
      <c r="T410" t="str">
        <f t="shared" si="221"/>
        <v/>
      </c>
    </row>
    <row r="411" spans="1:20" x14ac:dyDescent="0.2">
      <c r="A411">
        <v>410</v>
      </c>
      <c r="B411" t="s">
        <v>169</v>
      </c>
      <c r="C411" t="s">
        <v>354</v>
      </c>
      <c r="D411" t="s">
        <v>8</v>
      </c>
      <c r="E411" t="s">
        <v>9</v>
      </c>
      <c r="G411" t="s">
        <v>11</v>
      </c>
      <c r="H411">
        <v>48</v>
      </c>
      <c r="I411">
        <v>47</v>
      </c>
      <c r="J411">
        <v>11.75</v>
      </c>
      <c r="K411">
        <v>9.25</v>
      </c>
      <c r="L411">
        <f t="shared" ref="L411:N411" si="235">L410</f>
        <v>1.05</v>
      </c>
      <c r="M411">
        <f t="shared" si="235"/>
        <v>0.73699999999999999</v>
      </c>
      <c r="N411">
        <f t="shared" si="235"/>
        <v>0.155</v>
      </c>
      <c r="O411" s="21">
        <f t="shared" si="223"/>
        <v>7.2140211640211636</v>
      </c>
      <c r="P411" s="21">
        <f t="shared" si="224"/>
        <v>6.1091710758377422</v>
      </c>
      <c r="Q411" s="23">
        <f t="shared" si="219"/>
        <v>7.2140211640211636</v>
      </c>
      <c r="R411" s="23" t="str">
        <f t="shared" si="220"/>
        <v/>
      </c>
      <c r="T411" t="str">
        <f t="shared" si="221"/>
        <v/>
      </c>
    </row>
    <row r="412" spans="1:20" x14ac:dyDescent="0.2">
      <c r="A412">
        <v>411</v>
      </c>
      <c r="B412" t="s">
        <v>169</v>
      </c>
      <c r="C412" t="s">
        <v>354</v>
      </c>
      <c r="D412" t="s">
        <v>8</v>
      </c>
      <c r="E412" t="s">
        <v>9</v>
      </c>
      <c r="G412" t="s">
        <v>12</v>
      </c>
      <c r="H412">
        <v>39</v>
      </c>
      <c r="I412">
        <v>36</v>
      </c>
      <c r="J412">
        <v>4.8499999999999996</v>
      </c>
      <c r="K412">
        <v>6.02</v>
      </c>
      <c r="L412">
        <v>0.7</v>
      </c>
      <c r="M412">
        <v>0.56299999999999994</v>
      </c>
      <c r="N412">
        <v>7.9000000000000001E-2</v>
      </c>
      <c r="O412" s="21">
        <f t="shared" si="223"/>
        <v>5.3797777777777771</v>
      </c>
      <c r="P412" s="21">
        <f t="shared" si="224"/>
        <v>2.8894708994708997</v>
      </c>
      <c r="Q412" s="23" t="str">
        <f t="shared" si="219"/>
        <v/>
      </c>
      <c r="R412" s="23">
        <f t="shared" si="220"/>
        <v>5.3797777777777771</v>
      </c>
      <c r="T412" t="str">
        <f t="shared" si="221"/>
        <v/>
      </c>
    </row>
    <row r="413" spans="1:20" x14ac:dyDescent="0.2">
      <c r="A413">
        <v>412</v>
      </c>
      <c r="B413" t="s">
        <v>169</v>
      </c>
      <c r="C413" t="s">
        <v>354</v>
      </c>
      <c r="D413" t="s">
        <v>8</v>
      </c>
      <c r="E413" t="s">
        <v>9</v>
      </c>
      <c r="G413" t="s">
        <v>14</v>
      </c>
      <c r="L413">
        <f>L412</f>
        <v>0.7</v>
      </c>
      <c r="O413" s="21"/>
      <c r="P413" s="21"/>
      <c r="Q413" s="23" t="str">
        <f t="shared" si="219"/>
        <v/>
      </c>
      <c r="R413" s="23">
        <f t="shared" si="220"/>
        <v>0</v>
      </c>
      <c r="T413" t="str">
        <f t="shared" si="221"/>
        <v/>
      </c>
    </row>
    <row r="414" spans="1:20" x14ac:dyDescent="0.2">
      <c r="A414">
        <v>413</v>
      </c>
      <c r="B414" s="14" t="s">
        <v>170</v>
      </c>
      <c r="C414" s="14"/>
      <c r="D414" s="14" t="s">
        <v>53</v>
      </c>
      <c r="E414" s="14"/>
      <c r="F414" s="14"/>
      <c r="G414" s="14" t="s">
        <v>10</v>
      </c>
      <c r="H414" s="14"/>
      <c r="I414" s="14"/>
      <c r="J414" s="14"/>
      <c r="K414" s="14"/>
      <c r="L414" s="14"/>
      <c r="M414" s="14">
        <v>0.50600000000000001</v>
      </c>
      <c r="N414" s="14">
        <v>0.13600000000000001</v>
      </c>
      <c r="O414" s="21" t="e">
        <f t="shared" si="223"/>
        <v>#DIV/0!</v>
      </c>
      <c r="P414" s="21" t="e">
        <f t="shared" si="224"/>
        <v>#DIV/0!</v>
      </c>
      <c r="Q414" s="23" t="e">
        <f t="shared" si="219"/>
        <v>#DIV/0!</v>
      </c>
      <c r="R414" s="23" t="str">
        <f t="shared" si="220"/>
        <v/>
      </c>
      <c r="T414" t="e">
        <f t="shared" si="221"/>
        <v>#DIV/0!</v>
      </c>
    </row>
    <row r="415" spans="1:20" x14ac:dyDescent="0.2">
      <c r="A415">
        <v>414</v>
      </c>
      <c r="B415" t="s">
        <v>171</v>
      </c>
      <c r="C415" t="s">
        <v>355</v>
      </c>
      <c r="D415" t="s">
        <v>5</v>
      </c>
      <c r="E415" t="s">
        <v>9</v>
      </c>
      <c r="G415" t="s">
        <v>10</v>
      </c>
      <c r="H415">
        <v>45</v>
      </c>
      <c r="I415">
        <v>46</v>
      </c>
      <c r="J415">
        <v>19.809999999999999</v>
      </c>
      <c r="K415">
        <v>11.74</v>
      </c>
      <c r="L415">
        <v>1.42</v>
      </c>
      <c r="M415">
        <v>0.70799999999999996</v>
      </c>
      <c r="N415">
        <v>0.14499999999999999</v>
      </c>
      <c r="O415" s="21">
        <f t="shared" si="223"/>
        <v>6.5038497652582166</v>
      </c>
      <c r="P415" s="21">
        <f t="shared" si="224"/>
        <v>7.3163693270735521</v>
      </c>
      <c r="Q415" s="23">
        <f t="shared" si="219"/>
        <v>6.5038497652582166</v>
      </c>
      <c r="R415" s="23" t="str">
        <f t="shared" si="220"/>
        <v/>
      </c>
      <c r="T415" t="str">
        <f t="shared" si="221"/>
        <v/>
      </c>
    </row>
    <row r="416" spans="1:20" x14ac:dyDescent="0.2">
      <c r="A416">
        <v>415</v>
      </c>
      <c r="B416" t="s">
        <v>171</v>
      </c>
      <c r="C416" t="s">
        <v>355</v>
      </c>
      <c r="D416" t="s">
        <v>5</v>
      </c>
      <c r="E416" t="s">
        <v>9</v>
      </c>
      <c r="G416" t="s">
        <v>11</v>
      </c>
      <c r="H416">
        <v>38</v>
      </c>
      <c r="I416">
        <v>37</v>
      </c>
      <c r="J416">
        <v>14.93</v>
      </c>
      <c r="K416">
        <v>8.41</v>
      </c>
      <c r="L416">
        <f t="shared" ref="L416:N416" si="236">L415</f>
        <v>1.42</v>
      </c>
      <c r="M416">
        <f t="shared" si="236"/>
        <v>0.70799999999999996</v>
      </c>
      <c r="N416">
        <f t="shared" si="236"/>
        <v>0.14499999999999999</v>
      </c>
      <c r="O416" s="21">
        <f t="shared" si="223"/>
        <v>4.6590610328638498</v>
      </c>
      <c r="P416" s="21">
        <f t="shared" si="224"/>
        <v>5.5140532081377156</v>
      </c>
      <c r="Q416" s="23">
        <f t="shared" si="219"/>
        <v>4.6590610328638498</v>
      </c>
      <c r="R416" s="23" t="str">
        <f t="shared" si="220"/>
        <v/>
      </c>
      <c r="T416" t="str">
        <f t="shared" si="221"/>
        <v/>
      </c>
    </row>
    <row r="417" spans="1:20" x14ac:dyDescent="0.2">
      <c r="A417">
        <v>416</v>
      </c>
      <c r="B417" t="s">
        <v>171</v>
      </c>
      <c r="C417" t="s">
        <v>355</v>
      </c>
      <c r="D417" t="s">
        <v>5</v>
      </c>
      <c r="E417" t="s">
        <v>9</v>
      </c>
      <c r="G417" t="s">
        <v>12</v>
      </c>
      <c r="H417">
        <v>66</v>
      </c>
      <c r="I417">
        <v>64</v>
      </c>
      <c r="J417">
        <v>13.09</v>
      </c>
      <c r="K417">
        <v>8.1199999999999992</v>
      </c>
      <c r="L417">
        <v>0.8</v>
      </c>
      <c r="M417">
        <v>0.34599999999999997</v>
      </c>
      <c r="N417">
        <v>0.10199999999999999</v>
      </c>
      <c r="O417" s="21">
        <f t="shared" si="223"/>
        <v>3.9021111111111106</v>
      </c>
      <c r="P417" s="21">
        <f t="shared" si="224"/>
        <v>4.1936481481481476</v>
      </c>
      <c r="Q417" s="23" t="str">
        <f t="shared" si="219"/>
        <v/>
      </c>
      <c r="R417" s="23">
        <f t="shared" si="220"/>
        <v>3.9021111111111106</v>
      </c>
      <c r="T417" t="str">
        <f t="shared" si="221"/>
        <v/>
      </c>
    </row>
    <row r="418" spans="1:20" x14ac:dyDescent="0.2">
      <c r="A418">
        <v>417</v>
      </c>
      <c r="B418" t="s">
        <v>171</v>
      </c>
      <c r="C418" t="s">
        <v>355</v>
      </c>
      <c r="D418" t="s">
        <v>5</v>
      </c>
      <c r="E418" t="s">
        <v>9</v>
      </c>
      <c r="G418" t="s">
        <v>14</v>
      </c>
      <c r="H418">
        <v>64</v>
      </c>
      <c r="I418">
        <v>59</v>
      </c>
      <c r="J418">
        <v>11.28</v>
      </c>
      <c r="K418">
        <v>6.85</v>
      </c>
      <c r="L418">
        <f t="shared" ref="L418:N418" si="237">L417</f>
        <v>0.8</v>
      </c>
      <c r="M418">
        <f t="shared" si="237"/>
        <v>0.34599999999999997</v>
      </c>
      <c r="N418">
        <f t="shared" si="237"/>
        <v>0.10199999999999999</v>
      </c>
      <c r="O418" s="21">
        <f t="shared" si="223"/>
        <v>3.2918055555555554</v>
      </c>
      <c r="P418" s="21">
        <f t="shared" si="224"/>
        <v>3.6137777777777771</v>
      </c>
      <c r="Q418" s="23" t="str">
        <f t="shared" si="219"/>
        <v/>
      </c>
      <c r="R418" s="23">
        <f t="shared" si="220"/>
        <v>3.2918055555555554</v>
      </c>
      <c r="T418" t="str">
        <f t="shared" si="221"/>
        <v/>
      </c>
    </row>
    <row r="419" spans="1:20" x14ac:dyDescent="0.2">
      <c r="A419">
        <v>418</v>
      </c>
      <c r="B419" t="s">
        <v>172</v>
      </c>
      <c r="C419" t="s">
        <v>356</v>
      </c>
      <c r="D419" t="s">
        <v>5</v>
      </c>
      <c r="E419" t="s">
        <v>9</v>
      </c>
      <c r="G419" t="s">
        <v>10</v>
      </c>
      <c r="H419">
        <v>45</v>
      </c>
      <c r="I419">
        <v>44</v>
      </c>
      <c r="J419">
        <v>7.39</v>
      </c>
      <c r="K419">
        <v>7.5</v>
      </c>
      <c r="L419">
        <v>0.76</v>
      </c>
      <c r="M419">
        <v>0.40500000000000003</v>
      </c>
      <c r="N419">
        <v>0.108</v>
      </c>
      <c r="O419" s="21">
        <f t="shared" si="223"/>
        <v>4.4407894736842115</v>
      </c>
      <c r="P419" s="21">
        <f t="shared" si="224"/>
        <v>2.9171052631578949</v>
      </c>
      <c r="Q419" s="23">
        <f t="shared" si="219"/>
        <v>4.4407894736842115</v>
      </c>
      <c r="R419" s="23" t="str">
        <f t="shared" si="220"/>
        <v/>
      </c>
      <c r="T419" t="str">
        <f t="shared" si="221"/>
        <v/>
      </c>
    </row>
    <row r="420" spans="1:20" x14ac:dyDescent="0.2">
      <c r="A420">
        <v>419</v>
      </c>
      <c r="B420" t="s">
        <v>172</v>
      </c>
      <c r="C420" t="s">
        <v>356</v>
      </c>
      <c r="D420" t="s">
        <v>5</v>
      </c>
      <c r="E420" t="s">
        <v>9</v>
      </c>
      <c r="G420" t="s">
        <v>11</v>
      </c>
      <c r="H420">
        <v>37</v>
      </c>
      <c r="I420">
        <v>40</v>
      </c>
      <c r="J420">
        <v>17</v>
      </c>
      <c r="K420">
        <v>7.04</v>
      </c>
      <c r="L420">
        <f>L419</f>
        <v>0.76</v>
      </c>
      <c r="M420">
        <f t="shared" ref="M420:N420" si="238">M419</f>
        <v>0.40500000000000003</v>
      </c>
      <c r="N420">
        <f t="shared" si="238"/>
        <v>0.108</v>
      </c>
      <c r="O420" s="21">
        <f t="shared" si="223"/>
        <v>4.1684210526315795</v>
      </c>
      <c r="P420" s="21">
        <f t="shared" si="224"/>
        <v>6.7105263157894743</v>
      </c>
      <c r="Q420" s="23">
        <f t="shared" si="219"/>
        <v>4.1684210526315795</v>
      </c>
      <c r="R420" s="23" t="str">
        <f t="shared" si="220"/>
        <v/>
      </c>
      <c r="T420" t="str">
        <f t="shared" si="221"/>
        <v/>
      </c>
    </row>
    <row r="421" spans="1:20" x14ac:dyDescent="0.2">
      <c r="A421">
        <v>420</v>
      </c>
      <c r="B421" s="15" t="s">
        <v>172</v>
      </c>
      <c r="C421" s="15" t="s">
        <v>356</v>
      </c>
      <c r="D421" s="15" t="s">
        <v>5</v>
      </c>
      <c r="E421" s="15" t="s">
        <v>9</v>
      </c>
      <c r="F421" s="15"/>
      <c r="G421" s="15" t="s">
        <v>12</v>
      </c>
      <c r="H421" s="15">
        <v>41</v>
      </c>
      <c r="I421" s="15">
        <v>37</v>
      </c>
      <c r="J421" s="15">
        <v>5.83</v>
      </c>
      <c r="K421" s="15">
        <v>5.56</v>
      </c>
      <c r="L421" s="15">
        <v>0.8</v>
      </c>
      <c r="M421" s="15">
        <v>0.42399999999999999</v>
      </c>
      <c r="N421" s="15"/>
      <c r="O421" s="21">
        <f t="shared" si="223"/>
        <v>3.2742222222222215</v>
      </c>
      <c r="P421" s="21">
        <f t="shared" si="224"/>
        <v>2.2888148148148146</v>
      </c>
      <c r="Q421" s="23" t="str">
        <f t="shared" si="219"/>
        <v/>
      </c>
      <c r="R421" s="23">
        <f t="shared" si="220"/>
        <v>3.2742222222222215</v>
      </c>
      <c r="S421" s="15"/>
      <c r="T421" t="str">
        <f t="shared" si="221"/>
        <v/>
      </c>
    </row>
    <row r="422" spans="1:20" x14ac:dyDescent="0.2">
      <c r="A422">
        <v>421</v>
      </c>
      <c r="B422" t="s">
        <v>172</v>
      </c>
      <c r="C422" t="s">
        <v>356</v>
      </c>
      <c r="D422" t="s">
        <v>5</v>
      </c>
      <c r="E422" t="s">
        <v>9</v>
      </c>
      <c r="G422" t="s">
        <v>14</v>
      </c>
      <c r="H422">
        <v>37</v>
      </c>
      <c r="I422">
        <v>35</v>
      </c>
      <c r="J422">
        <v>5.6</v>
      </c>
      <c r="K422">
        <v>4.9000000000000004</v>
      </c>
      <c r="L422">
        <f t="shared" ref="L422" si="239">L421</f>
        <v>0.8</v>
      </c>
      <c r="M422">
        <v>0.42399999999999999</v>
      </c>
      <c r="O422" s="21">
        <f t="shared" si="223"/>
        <v>2.8855555555555559</v>
      </c>
      <c r="P422" s="21">
        <f t="shared" si="224"/>
        <v>2.1985185185185179</v>
      </c>
      <c r="Q422" s="23" t="str">
        <f t="shared" si="219"/>
        <v/>
      </c>
      <c r="R422" s="23">
        <f t="shared" si="220"/>
        <v>2.8855555555555559</v>
      </c>
      <c r="T422" t="str">
        <f t="shared" si="221"/>
        <v/>
      </c>
    </row>
    <row r="423" spans="1:20" x14ac:dyDescent="0.2">
      <c r="A423">
        <v>422</v>
      </c>
      <c r="B423" t="s">
        <v>173</v>
      </c>
      <c r="C423" t="s">
        <v>173</v>
      </c>
      <c r="D423" t="s">
        <v>5</v>
      </c>
      <c r="E423" t="s">
        <v>9</v>
      </c>
      <c r="G423" t="s">
        <v>10</v>
      </c>
      <c r="H423">
        <v>44</v>
      </c>
      <c r="I423">
        <v>44</v>
      </c>
      <c r="J423">
        <v>5.53</v>
      </c>
      <c r="K423">
        <v>4.47</v>
      </c>
      <c r="L423">
        <v>0.91</v>
      </c>
      <c r="M423">
        <v>0.34699999999999998</v>
      </c>
      <c r="N423">
        <v>0.1</v>
      </c>
      <c r="O423" s="21">
        <f t="shared" si="223"/>
        <v>1.8938827838827839</v>
      </c>
      <c r="P423" s="21">
        <f t="shared" si="224"/>
        <v>1.5619943019943021</v>
      </c>
      <c r="Q423" s="23">
        <f t="shared" si="219"/>
        <v>1.8938827838827839</v>
      </c>
      <c r="R423" s="23" t="str">
        <f t="shared" si="220"/>
        <v/>
      </c>
      <c r="T423" t="str">
        <f t="shared" si="221"/>
        <v/>
      </c>
    </row>
    <row r="424" spans="1:20" x14ac:dyDescent="0.2">
      <c r="A424">
        <v>423</v>
      </c>
      <c r="B424" t="s">
        <v>173</v>
      </c>
      <c r="C424" t="s">
        <v>173</v>
      </c>
      <c r="D424" t="s">
        <v>5</v>
      </c>
      <c r="E424" t="s">
        <v>9</v>
      </c>
      <c r="G424" t="s">
        <v>11</v>
      </c>
      <c r="H424">
        <v>46</v>
      </c>
      <c r="I424">
        <v>43</v>
      </c>
      <c r="J424">
        <v>4.87</v>
      </c>
      <c r="K424">
        <v>5.47</v>
      </c>
      <c r="L424">
        <f t="shared" ref="L424:N424" si="240">L423</f>
        <v>0.91</v>
      </c>
      <c r="M424">
        <f t="shared" si="240"/>
        <v>0.34699999999999998</v>
      </c>
      <c r="N424">
        <f t="shared" si="240"/>
        <v>0.1</v>
      </c>
      <c r="O424" s="21">
        <f t="shared" si="223"/>
        <v>2.3175702075702076</v>
      </c>
      <c r="P424" s="21">
        <f t="shared" si="224"/>
        <v>1.3755718355718356</v>
      </c>
      <c r="Q424" s="23">
        <f t="shared" si="219"/>
        <v>2.3175702075702076</v>
      </c>
      <c r="R424" s="23" t="str">
        <f t="shared" si="220"/>
        <v/>
      </c>
      <c r="T424" t="str">
        <f t="shared" si="221"/>
        <v/>
      </c>
    </row>
    <row r="425" spans="1:20" x14ac:dyDescent="0.2">
      <c r="A425">
        <v>424</v>
      </c>
      <c r="B425" t="s">
        <v>173</v>
      </c>
      <c r="C425" t="s">
        <v>173</v>
      </c>
      <c r="D425" t="s">
        <v>5</v>
      </c>
      <c r="E425" t="s">
        <v>9</v>
      </c>
      <c r="G425" t="s">
        <v>12</v>
      </c>
      <c r="H425">
        <v>44</v>
      </c>
      <c r="I425">
        <v>37</v>
      </c>
      <c r="J425">
        <v>5.64</v>
      </c>
      <c r="K425">
        <v>4.74</v>
      </c>
      <c r="L425">
        <v>0.97</v>
      </c>
      <c r="M425">
        <v>0.63100000000000001</v>
      </c>
      <c r="N425">
        <v>0.152</v>
      </c>
      <c r="O425" s="21">
        <f t="shared" si="223"/>
        <v>3.4260481099656364</v>
      </c>
      <c r="P425" s="21">
        <f t="shared" si="224"/>
        <v>2.7177090492554408</v>
      </c>
      <c r="Q425" s="23" t="str">
        <f t="shared" si="219"/>
        <v/>
      </c>
      <c r="R425" s="23">
        <f t="shared" si="220"/>
        <v>3.4260481099656364</v>
      </c>
      <c r="T425" t="str">
        <f t="shared" si="221"/>
        <v/>
      </c>
    </row>
    <row r="426" spans="1:20" x14ac:dyDescent="0.2">
      <c r="A426">
        <v>425</v>
      </c>
      <c r="B426" t="s">
        <v>173</v>
      </c>
      <c r="C426" t="s">
        <v>173</v>
      </c>
      <c r="D426" t="s">
        <v>5</v>
      </c>
      <c r="E426" t="s">
        <v>9</v>
      </c>
      <c r="G426" t="s">
        <v>14</v>
      </c>
      <c r="H426">
        <v>43</v>
      </c>
      <c r="I426">
        <v>36</v>
      </c>
      <c r="J426">
        <v>4.43</v>
      </c>
      <c r="K426">
        <v>4.8</v>
      </c>
      <c r="L426">
        <f t="shared" ref="L426:N426" si="241">L425</f>
        <v>0.97</v>
      </c>
      <c r="M426">
        <f t="shared" si="241"/>
        <v>0.63100000000000001</v>
      </c>
      <c r="N426">
        <f t="shared" si="241"/>
        <v>0.152</v>
      </c>
      <c r="O426" s="21">
        <f t="shared" si="223"/>
        <v>3.469415807560138</v>
      </c>
      <c r="P426" s="21">
        <f t="shared" si="224"/>
        <v>2.1346544482626957</v>
      </c>
      <c r="Q426" s="23" t="str">
        <f t="shared" si="219"/>
        <v/>
      </c>
      <c r="R426" s="23">
        <f t="shared" si="220"/>
        <v>3.469415807560138</v>
      </c>
      <c r="T426" t="str">
        <f t="shared" si="221"/>
        <v/>
      </c>
    </row>
    <row r="427" spans="1:20" x14ac:dyDescent="0.2">
      <c r="A427">
        <v>426</v>
      </c>
      <c r="B427" t="s">
        <v>174</v>
      </c>
      <c r="C427" t="s">
        <v>174</v>
      </c>
      <c r="D427" t="s">
        <v>5</v>
      </c>
      <c r="E427" t="s">
        <v>9</v>
      </c>
      <c r="G427" t="s">
        <v>10</v>
      </c>
      <c r="H427">
        <v>42</v>
      </c>
      <c r="I427">
        <v>40</v>
      </c>
      <c r="J427">
        <v>8.5299999999999994</v>
      </c>
      <c r="K427">
        <v>8.6199999999999992</v>
      </c>
      <c r="L427">
        <v>0.8</v>
      </c>
      <c r="M427">
        <v>0.56000000000000005</v>
      </c>
      <c r="N427">
        <v>0.11899999999999999</v>
      </c>
      <c r="O427" s="21">
        <f t="shared" si="223"/>
        <v>6.7044444444444444</v>
      </c>
      <c r="P427" s="21">
        <f t="shared" si="224"/>
        <v>4.4229629629629628</v>
      </c>
      <c r="Q427" s="23">
        <f t="shared" si="219"/>
        <v>6.7044444444444444</v>
      </c>
      <c r="R427" s="23" t="str">
        <f t="shared" si="220"/>
        <v/>
      </c>
      <c r="T427" t="str">
        <f t="shared" si="221"/>
        <v/>
      </c>
    </row>
    <row r="428" spans="1:20" x14ac:dyDescent="0.2">
      <c r="A428">
        <v>427</v>
      </c>
      <c r="B428" t="s">
        <v>174</v>
      </c>
      <c r="C428" t="s">
        <v>174</v>
      </c>
      <c r="D428" t="s">
        <v>5</v>
      </c>
      <c r="E428" t="s">
        <v>9</v>
      </c>
      <c r="G428" t="s">
        <v>11</v>
      </c>
      <c r="H428">
        <v>35</v>
      </c>
      <c r="I428">
        <v>34</v>
      </c>
      <c r="J428">
        <v>5.18</v>
      </c>
      <c r="K428">
        <v>5.8</v>
      </c>
      <c r="L428">
        <f t="shared" ref="L428:N428" si="242">L427</f>
        <v>0.8</v>
      </c>
      <c r="M428">
        <f t="shared" si="242"/>
        <v>0.56000000000000005</v>
      </c>
      <c r="N428">
        <f t="shared" si="242"/>
        <v>0.11899999999999999</v>
      </c>
      <c r="O428" s="21">
        <f t="shared" si="223"/>
        <v>4.511111111111112</v>
      </c>
      <c r="P428" s="21">
        <f t="shared" si="224"/>
        <v>2.6859259259259258</v>
      </c>
      <c r="Q428" s="23">
        <f t="shared" si="219"/>
        <v>4.511111111111112</v>
      </c>
      <c r="R428" s="23" t="str">
        <f t="shared" si="220"/>
        <v/>
      </c>
      <c r="T428" t="str">
        <f t="shared" si="221"/>
        <v/>
      </c>
    </row>
    <row r="429" spans="1:20" x14ac:dyDescent="0.2">
      <c r="A429">
        <v>428</v>
      </c>
      <c r="B429" t="s">
        <v>174</v>
      </c>
      <c r="C429" t="s">
        <v>174</v>
      </c>
      <c r="D429" t="s">
        <v>5</v>
      </c>
      <c r="E429" t="s">
        <v>9</v>
      </c>
      <c r="G429" t="s">
        <v>12</v>
      </c>
      <c r="H429">
        <v>32</v>
      </c>
      <c r="I429">
        <v>28</v>
      </c>
      <c r="J429">
        <v>5.3</v>
      </c>
      <c r="K429">
        <v>4.9000000000000004</v>
      </c>
      <c r="L429">
        <v>0.81</v>
      </c>
      <c r="M429">
        <v>0.61799999999999999</v>
      </c>
      <c r="N429">
        <v>0.11600000000000001</v>
      </c>
      <c r="O429" s="21">
        <f t="shared" si="223"/>
        <v>4.1539094650205763</v>
      </c>
      <c r="P429" s="21">
        <f t="shared" si="224"/>
        <v>2.9953360768175581</v>
      </c>
      <c r="Q429" s="23" t="str">
        <f t="shared" si="219"/>
        <v/>
      </c>
      <c r="R429" s="23">
        <f t="shared" si="220"/>
        <v>4.1539094650205763</v>
      </c>
      <c r="T429" t="str">
        <f t="shared" si="221"/>
        <v/>
      </c>
    </row>
    <row r="430" spans="1:20" x14ac:dyDescent="0.2">
      <c r="A430">
        <v>429</v>
      </c>
      <c r="B430" t="s">
        <v>174</v>
      </c>
      <c r="C430" t="s">
        <v>174</v>
      </c>
      <c r="D430" t="s">
        <v>5</v>
      </c>
      <c r="E430" t="s">
        <v>9</v>
      </c>
      <c r="G430" t="s">
        <v>14</v>
      </c>
      <c r="H430">
        <v>35</v>
      </c>
      <c r="I430">
        <v>32</v>
      </c>
      <c r="J430">
        <v>5.9</v>
      </c>
      <c r="K430">
        <v>5.42</v>
      </c>
      <c r="L430">
        <f t="shared" ref="L430:N430" si="243">L429</f>
        <v>0.81</v>
      </c>
      <c r="M430">
        <f t="shared" si="243"/>
        <v>0.61799999999999999</v>
      </c>
      <c r="N430">
        <f t="shared" si="243"/>
        <v>0.11600000000000001</v>
      </c>
      <c r="O430" s="21">
        <f t="shared" si="223"/>
        <v>4.5947325102880656</v>
      </c>
      <c r="P430" s="21">
        <f t="shared" si="224"/>
        <v>3.33443072702332</v>
      </c>
      <c r="Q430" s="23" t="str">
        <f t="shared" si="219"/>
        <v/>
      </c>
      <c r="R430" s="23">
        <f t="shared" si="220"/>
        <v>4.5947325102880656</v>
      </c>
      <c r="T430" t="str">
        <f t="shared" si="221"/>
        <v/>
      </c>
    </row>
    <row r="431" spans="1:20" x14ac:dyDescent="0.2">
      <c r="A431">
        <v>430</v>
      </c>
      <c r="B431" t="s">
        <v>175</v>
      </c>
      <c r="C431" t="s">
        <v>175</v>
      </c>
      <c r="D431" t="s">
        <v>5</v>
      </c>
      <c r="E431" t="s">
        <v>9</v>
      </c>
      <c r="G431" t="s">
        <v>10</v>
      </c>
      <c r="H431">
        <v>42</v>
      </c>
      <c r="I431">
        <v>41</v>
      </c>
      <c r="J431">
        <v>7.69</v>
      </c>
      <c r="K431">
        <v>9.11</v>
      </c>
      <c r="L431">
        <v>1.35</v>
      </c>
      <c r="M431">
        <v>0.92</v>
      </c>
      <c r="N431">
        <v>0.18</v>
      </c>
      <c r="O431" s="21">
        <f t="shared" si="223"/>
        <v>6.8981069958847732</v>
      </c>
      <c r="P431" s="21">
        <f t="shared" si="224"/>
        <v>3.8819204389574757</v>
      </c>
      <c r="Q431" s="23">
        <f t="shared" si="219"/>
        <v>6.8981069958847732</v>
      </c>
      <c r="R431" s="23" t="str">
        <f t="shared" si="220"/>
        <v/>
      </c>
      <c r="T431" t="str">
        <f t="shared" si="221"/>
        <v/>
      </c>
    </row>
    <row r="432" spans="1:20" x14ac:dyDescent="0.2">
      <c r="A432">
        <v>431</v>
      </c>
      <c r="B432" t="s">
        <v>175</v>
      </c>
      <c r="C432" t="s">
        <v>175</v>
      </c>
      <c r="D432" t="s">
        <v>5</v>
      </c>
      <c r="E432" t="s">
        <v>9</v>
      </c>
      <c r="G432" t="s">
        <v>11</v>
      </c>
      <c r="H432">
        <v>43</v>
      </c>
      <c r="I432">
        <v>43</v>
      </c>
      <c r="J432">
        <v>7.36</v>
      </c>
      <c r="K432">
        <v>8.74</v>
      </c>
      <c r="L432">
        <f t="shared" ref="L432:M432" si="244">L431</f>
        <v>1.35</v>
      </c>
      <c r="M432">
        <f t="shared" si="244"/>
        <v>0.92</v>
      </c>
      <c r="N432">
        <f t="shared" ref="N432" si="245">N431</f>
        <v>0.18</v>
      </c>
      <c r="O432" s="21">
        <f t="shared" si="223"/>
        <v>6.6179423868312757</v>
      </c>
      <c r="P432" s="21">
        <f t="shared" si="224"/>
        <v>3.7153360768175583</v>
      </c>
      <c r="Q432" s="23">
        <f t="shared" si="219"/>
        <v>6.6179423868312757</v>
      </c>
      <c r="R432" s="23" t="str">
        <f t="shared" si="220"/>
        <v/>
      </c>
      <c r="T432" t="str">
        <f t="shared" si="221"/>
        <v/>
      </c>
    </row>
    <row r="433" spans="1:20" x14ac:dyDescent="0.2">
      <c r="A433">
        <v>432</v>
      </c>
      <c r="B433" t="s">
        <v>175</v>
      </c>
      <c r="C433" t="s">
        <v>175</v>
      </c>
      <c r="D433" t="s">
        <v>5</v>
      </c>
      <c r="E433" t="s">
        <v>9</v>
      </c>
      <c r="G433" t="s">
        <v>12</v>
      </c>
      <c r="H433">
        <v>34</v>
      </c>
      <c r="I433">
        <v>40</v>
      </c>
      <c r="J433">
        <v>6.35</v>
      </c>
      <c r="K433">
        <v>8.01</v>
      </c>
      <c r="L433">
        <v>1.1200000000000001</v>
      </c>
      <c r="M433">
        <v>0.76600000000000001</v>
      </c>
      <c r="N433" s="15"/>
      <c r="O433" s="21">
        <f t="shared" si="223"/>
        <v>6.0869642857142852</v>
      </c>
      <c r="P433" s="21">
        <f t="shared" si="224"/>
        <v>3.2169973544973542</v>
      </c>
      <c r="Q433" s="23" t="str">
        <f t="shared" si="219"/>
        <v/>
      </c>
      <c r="R433" s="23">
        <f t="shared" si="220"/>
        <v>6.0869642857142852</v>
      </c>
      <c r="T433" t="str">
        <f t="shared" si="221"/>
        <v/>
      </c>
    </row>
    <row r="434" spans="1:20" x14ac:dyDescent="0.2">
      <c r="A434">
        <v>433</v>
      </c>
      <c r="B434" t="s">
        <v>175</v>
      </c>
      <c r="C434" t="s">
        <v>175</v>
      </c>
      <c r="D434" t="s">
        <v>5</v>
      </c>
      <c r="E434" t="s">
        <v>9</v>
      </c>
      <c r="G434" t="s">
        <v>14</v>
      </c>
      <c r="H434">
        <v>37</v>
      </c>
      <c r="I434">
        <v>35</v>
      </c>
      <c r="J434">
        <v>5.64</v>
      </c>
      <c r="K434">
        <v>7.28</v>
      </c>
      <c r="L434">
        <f t="shared" ref="L434:M434" si="246">L433</f>
        <v>1.1200000000000001</v>
      </c>
      <c r="M434">
        <f t="shared" si="246"/>
        <v>0.76600000000000001</v>
      </c>
      <c r="O434" s="21">
        <f t="shared" si="223"/>
        <v>5.5322222222222219</v>
      </c>
      <c r="P434" s="21">
        <f t="shared" si="224"/>
        <v>2.857301587301587</v>
      </c>
      <c r="Q434" s="23" t="str">
        <f t="shared" si="219"/>
        <v/>
      </c>
      <c r="R434" s="23">
        <f t="shared" si="220"/>
        <v>5.5322222222222219</v>
      </c>
      <c r="T434" t="str">
        <f t="shared" si="221"/>
        <v/>
      </c>
    </row>
    <row r="435" spans="1:20" x14ac:dyDescent="0.2">
      <c r="A435">
        <v>434</v>
      </c>
      <c r="B435" t="s">
        <v>176</v>
      </c>
      <c r="C435" t="s">
        <v>357</v>
      </c>
      <c r="D435" t="s">
        <v>5</v>
      </c>
      <c r="E435" t="s">
        <v>9</v>
      </c>
      <c r="G435" t="s">
        <v>10</v>
      </c>
      <c r="H435">
        <v>56</v>
      </c>
      <c r="I435">
        <v>50</v>
      </c>
      <c r="J435">
        <v>11.05</v>
      </c>
      <c r="K435">
        <v>8.84</v>
      </c>
      <c r="L435">
        <v>0.74</v>
      </c>
      <c r="M435">
        <v>0.42899999999999999</v>
      </c>
      <c r="N435">
        <v>0.10299999999999999</v>
      </c>
      <c r="O435" s="21">
        <f t="shared" si="223"/>
        <v>5.6942342342342345</v>
      </c>
      <c r="P435" s="21">
        <f t="shared" si="224"/>
        <v>4.7451951951951958</v>
      </c>
      <c r="Q435" s="23">
        <f t="shared" si="219"/>
        <v>5.6942342342342345</v>
      </c>
      <c r="R435" s="23" t="str">
        <f t="shared" si="220"/>
        <v/>
      </c>
      <c r="T435" t="str">
        <f t="shared" si="221"/>
        <v/>
      </c>
    </row>
    <row r="436" spans="1:20" x14ac:dyDescent="0.2">
      <c r="A436">
        <v>435</v>
      </c>
      <c r="B436" t="s">
        <v>176</v>
      </c>
      <c r="C436" t="s">
        <v>357</v>
      </c>
      <c r="D436" t="s">
        <v>5</v>
      </c>
      <c r="E436" t="s">
        <v>9</v>
      </c>
      <c r="G436" t="s">
        <v>11</v>
      </c>
      <c r="H436">
        <v>38</v>
      </c>
      <c r="I436">
        <v>55</v>
      </c>
      <c r="J436">
        <v>5.13</v>
      </c>
      <c r="K436">
        <v>7.43</v>
      </c>
      <c r="L436">
        <f t="shared" ref="L436:N436" si="247">L435</f>
        <v>0.74</v>
      </c>
      <c r="M436">
        <f t="shared" si="247"/>
        <v>0.42899999999999999</v>
      </c>
      <c r="N436">
        <f t="shared" si="247"/>
        <v>0.10299999999999999</v>
      </c>
      <c r="O436" s="21">
        <f t="shared" si="223"/>
        <v>4.7859909909909915</v>
      </c>
      <c r="P436" s="21">
        <f t="shared" si="224"/>
        <v>2.2029729729729732</v>
      </c>
      <c r="Q436" s="23">
        <f t="shared" si="219"/>
        <v>4.7859909909909915</v>
      </c>
      <c r="R436" s="23" t="str">
        <f t="shared" si="220"/>
        <v/>
      </c>
      <c r="T436" t="str">
        <f t="shared" si="221"/>
        <v/>
      </c>
    </row>
    <row r="437" spans="1:20" x14ac:dyDescent="0.2">
      <c r="A437">
        <v>436</v>
      </c>
      <c r="B437" t="s">
        <v>176</v>
      </c>
      <c r="C437" t="s">
        <v>357</v>
      </c>
      <c r="D437" t="s">
        <v>5</v>
      </c>
      <c r="E437" t="s">
        <v>9</v>
      </c>
      <c r="G437" t="s">
        <v>12</v>
      </c>
      <c r="H437">
        <v>59</v>
      </c>
      <c r="I437">
        <v>63</v>
      </c>
      <c r="J437">
        <v>5.76</v>
      </c>
      <c r="K437">
        <v>8.3699999999999992</v>
      </c>
      <c r="L437">
        <v>0.78</v>
      </c>
      <c r="M437">
        <v>0.55300000000000005</v>
      </c>
      <c r="N437">
        <v>8.5000000000000006E-2</v>
      </c>
      <c r="O437" s="21">
        <f t="shared" si="223"/>
        <v>6.593461538461538</v>
      </c>
      <c r="P437" s="21">
        <f t="shared" si="224"/>
        <v>3.0249572649572651</v>
      </c>
      <c r="Q437" s="23" t="str">
        <f t="shared" si="219"/>
        <v/>
      </c>
      <c r="R437" s="23">
        <f t="shared" si="220"/>
        <v>6.593461538461538</v>
      </c>
      <c r="T437" t="str">
        <f t="shared" si="221"/>
        <v/>
      </c>
    </row>
    <row r="438" spans="1:20" x14ac:dyDescent="0.2">
      <c r="A438">
        <v>437</v>
      </c>
      <c r="B438" t="s">
        <v>176</v>
      </c>
      <c r="C438" t="s">
        <v>357</v>
      </c>
      <c r="D438" t="s">
        <v>5</v>
      </c>
      <c r="E438" t="s">
        <v>9</v>
      </c>
      <c r="G438" t="s">
        <v>14</v>
      </c>
      <c r="H438">
        <v>54</v>
      </c>
      <c r="I438">
        <v>53</v>
      </c>
      <c r="J438">
        <v>4.97</v>
      </c>
      <c r="K438">
        <v>8.9499999999999993</v>
      </c>
      <c r="L438">
        <f t="shared" ref="L438:N438" si="248">L437</f>
        <v>0.78</v>
      </c>
      <c r="M438">
        <f t="shared" si="248"/>
        <v>0.55300000000000005</v>
      </c>
      <c r="N438">
        <f t="shared" si="248"/>
        <v>8.5000000000000006E-2</v>
      </c>
      <c r="O438" s="21">
        <f t="shared" si="223"/>
        <v>7.0503561253561253</v>
      </c>
      <c r="P438" s="21">
        <f t="shared" si="224"/>
        <v>2.6100759734093071</v>
      </c>
      <c r="Q438" s="23" t="str">
        <f t="shared" si="219"/>
        <v/>
      </c>
      <c r="R438" s="23">
        <f t="shared" si="220"/>
        <v>7.0503561253561253</v>
      </c>
      <c r="T438" t="str">
        <f t="shared" si="221"/>
        <v/>
      </c>
    </row>
    <row r="439" spans="1:20" x14ac:dyDescent="0.2">
      <c r="A439">
        <v>438</v>
      </c>
      <c r="B439" t="s">
        <v>177</v>
      </c>
      <c r="C439" t="s">
        <v>358</v>
      </c>
      <c r="D439" t="s">
        <v>5</v>
      </c>
      <c r="E439" t="s">
        <v>9</v>
      </c>
      <c r="G439" t="s">
        <v>10</v>
      </c>
      <c r="H439">
        <v>41</v>
      </c>
      <c r="I439">
        <v>41</v>
      </c>
      <c r="J439">
        <v>4.46</v>
      </c>
      <c r="K439">
        <v>4.42</v>
      </c>
      <c r="L439">
        <v>0.69</v>
      </c>
      <c r="M439">
        <v>0.45600000000000002</v>
      </c>
      <c r="N439">
        <v>9.1999999999999998E-2</v>
      </c>
      <c r="O439" s="21">
        <f t="shared" si="223"/>
        <v>3.2456038647342997</v>
      </c>
      <c r="P439" s="21">
        <f t="shared" si="224"/>
        <v>2.1833172302737522</v>
      </c>
      <c r="Q439" s="23">
        <f t="shared" si="219"/>
        <v>3.2456038647342997</v>
      </c>
      <c r="R439" s="23" t="str">
        <f t="shared" si="220"/>
        <v/>
      </c>
      <c r="T439" t="str">
        <f t="shared" si="221"/>
        <v/>
      </c>
    </row>
    <row r="440" spans="1:20" x14ac:dyDescent="0.2">
      <c r="A440">
        <v>439</v>
      </c>
      <c r="B440" t="s">
        <v>177</v>
      </c>
      <c r="C440" t="s">
        <v>358</v>
      </c>
      <c r="D440" t="s">
        <v>5</v>
      </c>
      <c r="E440" t="s">
        <v>9</v>
      </c>
      <c r="G440" t="s">
        <v>11</v>
      </c>
      <c r="H440">
        <v>27</v>
      </c>
      <c r="I440">
        <v>28</v>
      </c>
      <c r="J440">
        <v>3.76</v>
      </c>
      <c r="K440">
        <v>2.27</v>
      </c>
      <c r="L440">
        <f t="shared" ref="L440:N440" si="249">L439</f>
        <v>0.69</v>
      </c>
      <c r="M440">
        <f t="shared" si="249"/>
        <v>0.45600000000000002</v>
      </c>
      <c r="N440">
        <f t="shared" si="249"/>
        <v>9.1999999999999998E-2</v>
      </c>
      <c r="O440" s="21">
        <f t="shared" si="223"/>
        <v>1.6668599033816427</v>
      </c>
      <c r="P440" s="21">
        <f t="shared" si="224"/>
        <v>1.8406441223832528</v>
      </c>
      <c r="Q440" s="23">
        <f t="shared" si="219"/>
        <v>1.6668599033816427</v>
      </c>
      <c r="R440" s="23" t="str">
        <f t="shared" si="220"/>
        <v/>
      </c>
      <c r="T440" t="str">
        <f t="shared" si="221"/>
        <v/>
      </c>
    </row>
    <row r="441" spans="1:20" x14ac:dyDescent="0.2">
      <c r="A441">
        <v>440</v>
      </c>
      <c r="B441" t="s">
        <v>177</v>
      </c>
      <c r="C441" t="s">
        <v>358</v>
      </c>
      <c r="D441" t="s">
        <v>5</v>
      </c>
      <c r="E441" t="s">
        <v>9</v>
      </c>
      <c r="G441" t="s">
        <v>12</v>
      </c>
      <c r="H441">
        <v>51</v>
      </c>
      <c r="I441">
        <v>47</v>
      </c>
      <c r="J441">
        <v>4.62</v>
      </c>
      <c r="K441">
        <v>2.57</v>
      </c>
      <c r="L441">
        <v>0.65</v>
      </c>
      <c r="M441">
        <v>0.378</v>
      </c>
      <c r="N441">
        <v>8.2000000000000003E-2</v>
      </c>
      <c r="O441" s="21">
        <f t="shared" si="223"/>
        <v>1.6606153846153846</v>
      </c>
      <c r="P441" s="21">
        <f t="shared" si="224"/>
        <v>1.9901538461538464</v>
      </c>
      <c r="Q441" s="23" t="str">
        <f t="shared" si="219"/>
        <v/>
      </c>
      <c r="R441" s="23">
        <f t="shared" si="220"/>
        <v>1.6606153846153846</v>
      </c>
      <c r="T441" t="str">
        <f t="shared" si="221"/>
        <v/>
      </c>
    </row>
    <row r="442" spans="1:20" x14ac:dyDescent="0.2">
      <c r="A442">
        <v>441</v>
      </c>
      <c r="B442" t="s">
        <v>177</v>
      </c>
      <c r="C442" t="s">
        <v>358</v>
      </c>
      <c r="D442" t="s">
        <v>5</v>
      </c>
      <c r="E442" t="s">
        <v>9</v>
      </c>
      <c r="G442" t="s">
        <v>14</v>
      </c>
      <c r="H442">
        <v>45</v>
      </c>
      <c r="I442">
        <v>43</v>
      </c>
      <c r="J442">
        <v>5.91</v>
      </c>
      <c r="K442">
        <v>6.64</v>
      </c>
      <c r="L442">
        <f t="shared" ref="L442:N442" si="250">L441</f>
        <v>0.65</v>
      </c>
      <c r="M442">
        <f t="shared" si="250"/>
        <v>0.378</v>
      </c>
      <c r="N442">
        <f t="shared" si="250"/>
        <v>8.2000000000000003E-2</v>
      </c>
      <c r="O442" s="21">
        <f t="shared" si="223"/>
        <v>4.2904615384615381</v>
      </c>
      <c r="P442" s="21">
        <f t="shared" si="224"/>
        <v>2.5458461538461541</v>
      </c>
      <c r="Q442" s="23" t="str">
        <f t="shared" si="219"/>
        <v/>
      </c>
      <c r="R442" s="23">
        <f t="shared" si="220"/>
        <v>4.2904615384615381</v>
      </c>
      <c r="T442" t="str">
        <f t="shared" si="221"/>
        <v/>
      </c>
    </row>
    <row r="443" spans="1:20" x14ac:dyDescent="0.2">
      <c r="A443">
        <v>442</v>
      </c>
      <c r="B443" t="s">
        <v>178</v>
      </c>
      <c r="C443" t="s">
        <v>178</v>
      </c>
      <c r="D443" t="s">
        <v>5</v>
      </c>
      <c r="E443" t="s">
        <v>9</v>
      </c>
      <c r="G443" t="s">
        <v>10</v>
      </c>
      <c r="H443">
        <v>33</v>
      </c>
      <c r="I443">
        <v>31</v>
      </c>
      <c r="J443">
        <v>5.16</v>
      </c>
      <c r="K443">
        <v>4.2</v>
      </c>
      <c r="L443">
        <v>0.71</v>
      </c>
      <c r="M443">
        <v>0.40600000000000003</v>
      </c>
      <c r="N443">
        <v>0.08</v>
      </c>
      <c r="O443" s="21">
        <f t="shared" si="223"/>
        <v>2.6685446009389673</v>
      </c>
      <c r="P443" s="21">
        <f t="shared" si="224"/>
        <v>2.1856651017214399</v>
      </c>
      <c r="Q443" s="23">
        <f t="shared" si="219"/>
        <v>2.6685446009389673</v>
      </c>
      <c r="R443" s="23" t="str">
        <f t="shared" si="220"/>
        <v/>
      </c>
      <c r="T443" t="str">
        <f t="shared" si="221"/>
        <v/>
      </c>
    </row>
    <row r="444" spans="1:20" x14ac:dyDescent="0.2">
      <c r="A444">
        <v>443</v>
      </c>
      <c r="B444" t="s">
        <v>178</v>
      </c>
      <c r="C444" t="s">
        <v>178</v>
      </c>
      <c r="D444" t="s">
        <v>5</v>
      </c>
      <c r="E444" t="s">
        <v>9</v>
      </c>
      <c r="G444" t="s">
        <v>11</v>
      </c>
      <c r="H444">
        <v>57</v>
      </c>
      <c r="I444">
        <v>56</v>
      </c>
      <c r="J444">
        <v>7.9</v>
      </c>
      <c r="K444">
        <v>7.2</v>
      </c>
      <c r="L444">
        <f>L443</f>
        <v>0.71</v>
      </c>
      <c r="M444">
        <f t="shared" ref="M444:N444" si="251">M443</f>
        <v>0.40600000000000003</v>
      </c>
      <c r="N444">
        <f t="shared" si="251"/>
        <v>0.08</v>
      </c>
      <c r="O444" s="21">
        <f t="shared" si="223"/>
        <v>4.5746478873239447</v>
      </c>
      <c r="P444" s="21">
        <f t="shared" si="224"/>
        <v>3.3462702138758482</v>
      </c>
      <c r="Q444" s="23">
        <f t="shared" si="219"/>
        <v>4.5746478873239447</v>
      </c>
      <c r="R444" s="23" t="str">
        <f t="shared" si="220"/>
        <v/>
      </c>
      <c r="T444" t="str">
        <f t="shared" si="221"/>
        <v/>
      </c>
    </row>
    <row r="445" spans="1:20" x14ac:dyDescent="0.2">
      <c r="A445">
        <v>444</v>
      </c>
      <c r="B445" s="15" t="s">
        <v>178</v>
      </c>
      <c r="C445" t="s">
        <v>178</v>
      </c>
      <c r="D445" s="15" t="s">
        <v>5</v>
      </c>
      <c r="E445" s="15" t="s">
        <v>9</v>
      </c>
      <c r="F445" s="15"/>
      <c r="G445" s="15" t="s">
        <v>12</v>
      </c>
      <c r="H445" s="15">
        <v>43</v>
      </c>
      <c r="I445" s="15">
        <v>44</v>
      </c>
      <c r="J445" s="15">
        <v>8.6300000000000008</v>
      </c>
      <c r="K445" s="15">
        <v>8.6300000000000008</v>
      </c>
      <c r="L445" s="15">
        <v>0.96</v>
      </c>
      <c r="M445" s="15">
        <v>0.54700000000000004</v>
      </c>
      <c r="N445" s="15"/>
      <c r="O445" s="21">
        <f t="shared" si="223"/>
        <v>5.4636689814814829</v>
      </c>
      <c r="P445" s="21">
        <f t="shared" si="224"/>
        <v>3.6424459876543218</v>
      </c>
      <c r="Q445" s="23" t="str">
        <f t="shared" si="219"/>
        <v/>
      </c>
      <c r="R445" s="23">
        <f t="shared" si="220"/>
        <v>5.4636689814814829</v>
      </c>
      <c r="S445" s="15"/>
      <c r="T445" t="str">
        <f t="shared" si="221"/>
        <v/>
      </c>
    </row>
    <row r="446" spans="1:20" x14ac:dyDescent="0.2">
      <c r="A446">
        <v>445</v>
      </c>
      <c r="B446" t="s">
        <v>178</v>
      </c>
      <c r="C446" t="s">
        <v>178</v>
      </c>
      <c r="D446" t="s">
        <v>5</v>
      </c>
      <c r="E446" t="s">
        <v>9</v>
      </c>
      <c r="G446" t="s">
        <v>14</v>
      </c>
      <c r="H446">
        <v>41</v>
      </c>
      <c r="I446">
        <v>39</v>
      </c>
      <c r="J446">
        <v>8.48</v>
      </c>
      <c r="K446">
        <v>7.96</v>
      </c>
      <c r="L446">
        <f t="shared" ref="L446" si="252">L445</f>
        <v>0.96</v>
      </c>
      <c r="M446">
        <v>0.54700000000000004</v>
      </c>
      <c r="O446" s="21">
        <f t="shared" si="223"/>
        <v>5.0394907407407414</v>
      </c>
      <c r="P446" s="21">
        <f t="shared" si="224"/>
        <v>3.5791358024691369</v>
      </c>
      <c r="Q446" s="23" t="str">
        <f t="shared" si="219"/>
        <v/>
      </c>
      <c r="R446" s="23">
        <f t="shared" si="220"/>
        <v>5.0394907407407414</v>
      </c>
      <c r="T446" t="str">
        <f t="shared" si="221"/>
        <v/>
      </c>
    </row>
    <row r="447" spans="1:20" x14ac:dyDescent="0.2">
      <c r="A447">
        <v>446</v>
      </c>
      <c r="B447" t="s">
        <v>179</v>
      </c>
      <c r="C447" t="s">
        <v>179</v>
      </c>
      <c r="D447" t="s">
        <v>5</v>
      </c>
      <c r="E447" t="s">
        <v>9</v>
      </c>
      <c r="G447" t="s">
        <v>10</v>
      </c>
      <c r="H447">
        <v>27</v>
      </c>
      <c r="I447">
        <v>26</v>
      </c>
      <c r="J447">
        <v>5.0999999999999996</v>
      </c>
      <c r="K447">
        <v>6.28</v>
      </c>
      <c r="L447">
        <v>1.22</v>
      </c>
      <c r="M447">
        <v>0.86</v>
      </c>
      <c r="N447">
        <v>0.113</v>
      </c>
      <c r="O447" s="21">
        <f t="shared" si="223"/>
        <v>4.9187613843351556</v>
      </c>
      <c r="P447" s="21">
        <f t="shared" si="224"/>
        <v>2.6630236794171216</v>
      </c>
      <c r="Q447" s="23">
        <f t="shared" si="219"/>
        <v>4.9187613843351556</v>
      </c>
      <c r="R447" s="23" t="str">
        <f t="shared" si="220"/>
        <v/>
      </c>
      <c r="T447" t="str">
        <f t="shared" si="221"/>
        <v/>
      </c>
    </row>
    <row r="448" spans="1:20" x14ac:dyDescent="0.2">
      <c r="A448">
        <v>447</v>
      </c>
      <c r="B448" t="s">
        <v>179</v>
      </c>
      <c r="C448" t="s">
        <v>179</v>
      </c>
      <c r="D448" t="s">
        <v>5</v>
      </c>
      <c r="E448" t="s">
        <v>9</v>
      </c>
      <c r="G448" t="s">
        <v>11</v>
      </c>
      <c r="H448">
        <v>23</v>
      </c>
      <c r="I448">
        <v>28</v>
      </c>
      <c r="J448">
        <v>5.48</v>
      </c>
      <c r="K448">
        <v>6.5</v>
      </c>
      <c r="L448">
        <f>L447</f>
        <v>1.22</v>
      </c>
      <c r="M448">
        <f t="shared" ref="M448:N448" si="253">M447</f>
        <v>0.86</v>
      </c>
      <c r="N448">
        <f t="shared" si="253"/>
        <v>0.113</v>
      </c>
      <c r="O448" s="21">
        <f t="shared" si="223"/>
        <v>5.0910746812386156</v>
      </c>
      <c r="P448" s="21">
        <f t="shared" si="224"/>
        <v>2.8614450516089862</v>
      </c>
      <c r="Q448" s="23">
        <f t="shared" si="219"/>
        <v>5.0910746812386156</v>
      </c>
      <c r="R448" s="23" t="str">
        <f t="shared" si="220"/>
        <v/>
      </c>
      <c r="T448" t="str">
        <f t="shared" si="221"/>
        <v/>
      </c>
    </row>
    <row r="449" spans="1:20" x14ac:dyDescent="0.2">
      <c r="A449">
        <v>448</v>
      </c>
      <c r="B449" s="16" t="s">
        <v>179</v>
      </c>
      <c r="C449" t="s">
        <v>179</v>
      </c>
      <c r="D449" s="16" t="s">
        <v>5</v>
      </c>
      <c r="E449" s="16" t="s">
        <v>9</v>
      </c>
      <c r="F449" s="16"/>
      <c r="G449" s="16" t="s">
        <v>12</v>
      </c>
      <c r="H449" s="16">
        <v>24</v>
      </c>
      <c r="I449" s="16">
        <v>28</v>
      </c>
      <c r="J449" s="16">
        <v>2.2599999999999998</v>
      </c>
      <c r="K449" s="16">
        <v>2.34</v>
      </c>
      <c r="L449" s="16">
        <v>0.64</v>
      </c>
      <c r="M449" s="16">
        <v>0.45</v>
      </c>
      <c r="N449" s="16"/>
      <c r="O449" s="21">
        <f t="shared" si="223"/>
        <v>1.828125</v>
      </c>
      <c r="P449" s="21">
        <f t="shared" si="224"/>
        <v>1.1770833333333333</v>
      </c>
      <c r="Q449" s="23" t="str">
        <f t="shared" si="219"/>
        <v/>
      </c>
      <c r="R449" s="23">
        <f t="shared" si="220"/>
        <v>1.828125</v>
      </c>
      <c r="S449" s="16"/>
      <c r="T449" t="str">
        <f t="shared" si="221"/>
        <v/>
      </c>
    </row>
    <row r="450" spans="1:20" x14ac:dyDescent="0.2">
      <c r="A450">
        <v>449</v>
      </c>
      <c r="B450" t="s">
        <v>179</v>
      </c>
      <c r="C450" t="s">
        <v>179</v>
      </c>
      <c r="D450" t="s">
        <v>5</v>
      </c>
      <c r="E450" t="s">
        <v>9</v>
      </c>
      <c r="G450" t="s">
        <v>14</v>
      </c>
      <c r="H450">
        <v>21</v>
      </c>
      <c r="I450">
        <v>23</v>
      </c>
      <c r="J450">
        <v>1.98</v>
      </c>
      <c r="K450">
        <v>2.1</v>
      </c>
      <c r="L450">
        <f t="shared" ref="L450" si="254">L449</f>
        <v>0.64</v>
      </c>
      <c r="M450">
        <v>0.45</v>
      </c>
      <c r="O450" s="21">
        <f t="shared" si="223"/>
        <v>1.640625</v>
      </c>
      <c r="P450" s="21">
        <f t="shared" si="224"/>
        <v>1.0312500000000002</v>
      </c>
      <c r="Q450" s="23" t="str">
        <f t="shared" si="219"/>
        <v/>
      </c>
      <c r="R450" s="23">
        <f t="shared" si="220"/>
        <v>1.640625</v>
      </c>
      <c r="T450" t="str">
        <f t="shared" si="221"/>
        <v/>
      </c>
    </row>
    <row r="451" spans="1:20" x14ac:dyDescent="0.2">
      <c r="A451">
        <v>450</v>
      </c>
      <c r="B451" s="18" t="s">
        <v>180</v>
      </c>
      <c r="C451" s="18" t="s">
        <v>180</v>
      </c>
      <c r="D451" t="s">
        <v>5</v>
      </c>
      <c r="E451" t="s">
        <v>9</v>
      </c>
      <c r="G451" t="s">
        <v>11</v>
      </c>
      <c r="H451">
        <v>23</v>
      </c>
      <c r="I451">
        <v>27</v>
      </c>
      <c r="J451">
        <v>6.62</v>
      </c>
      <c r="K451">
        <v>4.55</v>
      </c>
      <c r="L451">
        <v>0.67</v>
      </c>
      <c r="M451">
        <v>0.46500000000000002</v>
      </c>
      <c r="N451">
        <v>0.13200000000000001</v>
      </c>
      <c r="O451" s="21">
        <f t="shared" si="223"/>
        <v>3.5087064676616913</v>
      </c>
      <c r="P451" s="21">
        <f t="shared" si="224"/>
        <v>3.403316749585406</v>
      </c>
      <c r="Q451" s="23">
        <f t="shared" ref="Q451:Q510" si="255">IF(LEFT(G451,7)="IMPROVE",O451,"")</f>
        <v>3.5087064676616913</v>
      </c>
      <c r="R451" s="23" t="str">
        <f t="shared" ref="R451:R510" si="256">IF(LEFT(G451,7)="FARMER ",O451,"")</f>
        <v/>
      </c>
      <c r="T451" t="str">
        <f t="shared" ref="T451:T510" si="257">IF(O451&gt;14,"VVVVVVVV","")</f>
        <v/>
      </c>
    </row>
    <row r="452" spans="1:20" x14ac:dyDescent="0.2">
      <c r="A452">
        <v>451</v>
      </c>
      <c r="B452" s="18" t="s">
        <v>180</v>
      </c>
      <c r="C452" s="18" t="s">
        <v>180</v>
      </c>
      <c r="D452" t="s">
        <v>5</v>
      </c>
      <c r="E452" t="s">
        <v>9</v>
      </c>
      <c r="G452" t="s">
        <v>10</v>
      </c>
      <c r="H452">
        <v>33</v>
      </c>
      <c r="I452">
        <v>33</v>
      </c>
      <c r="J452">
        <v>6.94</v>
      </c>
      <c r="K452">
        <v>5.8</v>
      </c>
      <c r="L452">
        <f t="shared" ref="L452:N452" si="258">L451</f>
        <v>0.67</v>
      </c>
      <c r="M452">
        <f t="shared" si="258"/>
        <v>0.46500000000000002</v>
      </c>
      <c r="N452">
        <f t="shared" si="258"/>
        <v>0.13200000000000001</v>
      </c>
      <c r="O452" s="21">
        <f t="shared" si="223"/>
        <v>4.4726368159203984</v>
      </c>
      <c r="P452" s="21">
        <f t="shared" si="224"/>
        <v>3.5678275290215589</v>
      </c>
      <c r="Q452" s="23">
        <f t="shared" si="255"/>
        <v>4.4726368159203984</v>
      </c>
      <c r="R452" s="23" t="str">
        <f t="shared" si="256"/>
        <v/>
      </c>
      <c r="T452" t="str">
        <f t="shared" si="257"/>
        <v/>
      </c>
    </row>
    <row r="453" spans="1:20" x14ac:dyDescent="0.2">
      <c r="A453">
        <v>452</v>
      </c>
      <c r="B453" s="18" t="s">
        <v>180</v>
      </c>
      <c r="C453" s="18" t="s">
        <v>180</v>
      </c>
      <c r="D453" t="s">
        <v>5</v>
      </c>
      <c r="E453" t="s">
        <v>9</v>
      </c>
      <c r="G453" t="s">
        <v>14</v>
      </c>
      <c r="H453">
        <v>27</v>
      </c>
      <c r="I453">
        <v>25</v>
      </c>
      <c r="J453">
        <v>4.95</v>
      </c>
      <c r="K453">
        <v>5.81</v>
      </c>
      <c r="L453">
        <v>1.33</v>
      </c>
      <c r="M453">
        <v>0.85</v>
      </c>
      <c r="N453">
        <v>0.14299999999999999</v>
      </c>
      <c r="O453" s="21">
        <f t="shared" si="223"/>
        <v>4.1257309941520459</v>
      </c>
      <c r="P453" s="21">
        <f t="shared" si="224"/>
        <v>2.3433583959899749</v>
      </c>
      <c r="Q453" s="23" t="str">
        <f t="shared" si="255"/>
        <v/>
      </c>
      <c r="R453" s="23">
        <f t="shared" si="256"/>
        <v>4.1257309941520459</v>
      </c>
      <c r="T453" t="str">
        <f t="shared" si="257"/>
        <v/>
      </c>
    </row>
    <row r="454" spans="1:20" x14ac:dyDescent="0.2">
      <c r="A454">
        <v>453</v>
      </c>
      <c r="B454" s="18" t="s">
        <v>180</v>
      </c>
      <c r="C454" s="18" t="s">
        <v>180</v>
      </c>
      <c r="D454" t="s">
        <v>5</v>
      </c>
      <c r="E454" t="s">
        <v>9</v>
      </c>
      <c r="G454" t="s">
        <v>12</v>
      </c>
      <c r="H454">
        <v>26</v>
      </c>
      <c r="I454">
        <v>26</v>
      </c>
      <c r="J454">
        <v>5.2</v>
      </c>
      <c r="K454">
        <v>5.91</v>
      </c>
      <c r="L454">
        <f t="shared" ref="L454:N454" si="259">L453</f>
        <v>1.33</v>
      </c>
      <c r="M454">
        <f t="shared" si="259"/>
        <v>0.85</v>
      </c>
      <c r="N454">
        <f t="shared" si="259"/>
        <v>0.14299999999999999</v>
      </c>
      <c r="O454" s="21">
        <f t="shared" ref="O454:O513" si="260">K454*(M454/L454)*(10/9)</f>
        <v>4.1967418546365911</v>
      </c>
      <c r="P454" s="21">
        <f t="shared" ref="P454:P513" si="261">J454*(M454/(L454*1.5))*(10/9)</f>
        <v>2.4617098301308831</v>
      </c>
      <c r="Q454" s="23" t="str">
        <f t="shared" si="255"/>
        <v/>
      </c>
      <c r="R454" s="23">
        <f t="shared" si="256"/>
        <v>4.1967418546365911</v>
      </c>
      <c r="T454" t="str">
        <f t="shared" si="257"/>
        <v/>
      </c>
    </row>
    <row r="455" spans="1:20" x14ac:dyDescent="0.2">
      <c r="A455">
        <v>454</v>
      </c>
      <c r="B455" t="s">
        <v>181</v>
      </c>
      <c r="C455" t="s">
        <v>181</v>
      </c>
      <c r="D455" t="s">
        <v>5</v>
      </c>
      <c r="E455" t="s">
        <v>9</v>
      </c>
      <c r="G455" t="s">
        <v>10</v>
      </c>
      <c r="H455">
        <v>43</v>
      </c>
      <c r="I455">
        <v>43</v>
      </c>
      <c r="J455">
        <v>6.04</v>
      </c>
      <c r="K455">
        <v>7.76</v>
      </c>
      <c r="L455">
        <v>0.99</v>
      </c>
      <c r="M455">
        <v>0.60199999999999998</v>
      </c>
      <c r="N455">
        <v>0.105</v>
      </c>
      <c r="O455" s="21">
        <f t="shared" si="260"/>
        <v>5.2430078563411895</v>
      </c>
      <c r="P455" s="21">
        <f t="shared" si="261"/>
        <v>2.7205985783763564</v>
      </c>
      <c r="Q455" s="23">
        <f t="shared" si="255"/>
        <v>5.2430078563411895</v>
      </c>
      <c r="R455" s="23" t="str">
        <f t="shared" si="256"/>
        <v/>
      </c>
      <c r="T455" t="str">
        <f t="shared" si="257"/>
        <v/>
      </c>
    </row>
    <row r="456" spans="1:20" x14ac:dyDescent="0.2">
      <c r="A456">
        <v>455</v>
      </c>
      <c r="B456" t="s">
        <v>181</v>
      </c>
      <c r="C456" t="s">
        <v>181</v>
      </c>
      <c r="D456" t="s">
        <v>5</v>
      </c>
      <c r="E456" t="s">
        <v>9</v>
      </c>
      <c r="G456" t="s">
        <v>11</v>
      </c>
      <c r="H456">
        <v>40</v>
      </c>
      <c r="I456">
        <v>41</v>
      </c>
      <c r="J456">
        <v>5.91</v>
      </c>
      <c r="K456" s="5">
        <v>7.09</v>
      </c>
      <c r="L456">
        <f t="shared" ref="L456:N456" si="262">L455</f>
        <v>0.99</v>
      </c>
      <c r="M456">
        <f t="shared" si="262"/>
        <v>0.60199999999999998</v>
      </c>
      <c r="N456">
        <f t="shared" si="262"/>
        <v>0.105</v>
      </c>
      <c r="O456" s="21">
        <f>K456*(M456/L456)*(10/9)</f>
        <v>4.7903254769921446</v>
      </c>
      <c r="P456" s="21">
        <f t="shared" si="261"/>
        <v>2.6620426487093156</v>
      </c>
      <c r="Q456" s="23">
        <f t="shared" si="255"/>
        <v>4.7903254769921446</v>
      </c>
      <c r="R456" s="23" t="str">
        <f t="shared" si="256"/>
        <v/>
      </c>
      <c r="T456" t="str">
        <f t="shared" si="257"/>
        <v/>
      </c>
    </row>
    <row r="457" spans="1:20" x14ac:dyDescent="0.2">
      <c r="A457">
        <v>456</v>
      </c>
      <c r="B457" t="s">
        <v>181</v>
      </c>
      <c r="C457" t="s">
        <v>181</v>
      </c>
      <c r="D457" t="s">
        <v>5</v>
      </c>
      <c r="E457" t="s">
        <v>9</v>
      </c>
      <c r="G457" t="s">
        <v>12</v>
      </c>
      <c r="H457">
        <v>36</v>
      </c>
      <c r="I457">
        <v>37</v>
      </c>
      <c r="J457">
        <v>6.54</v>
      </c>
      <c r="K457">
        <v>7.18</v>
      </c>
      <c r="L457">
        <v>0.9</v>
      </c>
      <c r="M457">
        <v>0.55200000000000005</v>
      </c>
      <c r="N457">
        <v>0.127</v>
      </c>
      <c r="O457" s="21">
        <f t="shared" si="260"/>
        <v>4.8930370370370371</v>
      </c>
      <c r="P457" s="21">
        <f t="shared" si="261"/>
        <v>2.9712592592592597</v>
      </c>
      <c r="Q457" s="23" t="str">
        <f t="shared" si="255"/>
        <v/>
      </c>
      <c r="R457" s="23">
        <f t="shared" si="256"/>
        <v>4.8930370370370371</v>
      </c>
      <c r="T457" t="str">
        <f t="shared" si="257"/>
        <v/>
      </c>
    </row>
    <row r="458" spans="1:20" x14ac:dyDescent="0.2">
      <c r="A458">
        <v>457</v>
      </c>
      <c r="B458" t="s">
        <v>181</v>
      </c>
      <c r="C458" t="s">
        <v>181</v>
      </c>
      <c r="D458" t="s">
        <v>5</v>
      </c>
      <c r="E458" t="s">
        <v>9</v>
      </c>
      <c r="G458" t="s">
        <v>14</v>
      </c>
      <c r="H458">
        <v>37</v>
      </c>
      <c r="I458">
        <v>45</v>
      </c>
      <c r="J458">
        <v>8.24</v>
      </c>
      <c r="K458">
        <v>9.07</v>
      </c>
      <c r="L458">
        <f t="shared" ref="L458:N458" si="263">L457</f>
        <v>0.9</v>
      </c>
      <c r="M458">
        <f t="shared" si="263"/>
        <v>0.55200000000000005</v>
      </c>
      <c r="N458">
        <f t="shared" si="263"/>
        <v>0.127</v>
      </c>
      <c r="O458" s="21">
        <f t="shared" si="260"/>
        <v>6.1810370370370382</v>
      </c>
      <c r="P458" s="21">
        <f t="shared" si="261"/>
        <v>3.7436049382716057</v>
      </c>
      <c r="Q458" s="23" t="str">
        <f t="shared" si="255"/>
        <v/>
      </c>
      <c r="R458" s="23">
        <f t="shared" si="256"/>
        <v>6.1810370370370382</v>
      </c>
      <c r="T458" t="str">
        <f t="shared" si="257"/>
        <v/>
      </c>
    </row>
    <row r="459" spans="1:20" x14ac:dyDescent="0.2">
      <c r="A459">
        <v>458</v>
      </c>
      <c r="B459" t="s">
        <v>182</v>
      </c>
      <c r="C459" t="s">
        <v>359</v>
      </c>
      <c r="D459" t="s">
        <v>5</v>
      </c>
      <c r="E459" t="s">
        <v>9</v>
      </c>
      <c r="G459" t="s">
        <v>10</v>
      </c>
      <c r="H459">
        <v>29</v>
      </c>
      <c r="I459">
        <v>30</v>
      </c>
      <c r="J459">
        <v>4.2300000000000004</v>
      </c>
      <c r="K459">
        <v>4.08</v>
      </c>
      <c r="L459">
        <v>0.78</v>
      </c>
      <c r="M459">
        <v>0.38200000000000001</v>
      </c>
      <c r="N459">
        <v>0.111</v>
      </c>
      <c r="O459" s="21">
        <f t="shared" si="260"/>
        <v>2.2201709401709402</v>
      </c>
      <c r="P459" s="21">
        <f t="shared" si="261"/>
        <v>1.5345299145299149</v>
      </c>
      <c r="Q459" s="23">
        <f t="shared" si="255"/>
        <v>2.2201709401709402</v>
      </c>
      <c r="R459" s="23" t="str">
        <f t="shared" si="256"/>
        <v/>
      </c>
      <c r="T459" t="str">
        <f t="shared" si="257"/>
        <v/>
      </c>
    </row>
    <row r="460" spans="1:20" x14ac:dyDescent="0.2">
      <c r="A460">
        <v>459</v>
      </c>
      <c r="B460" t="s">
        <v>182</v>
      </c>
      <c r="C460" t="s">
        <v>359</v>
      </c>
      <c r="D460" t="s">
        <v>5</v>
      </c>
      <c r="E460" t="s">
        <v>9</v>
      </c>
      <c r="G460" t="s">
        <v>11</v>
      </c>
      <c r="H460">
        <v>21</v>
      </c>
      <c r="I460">
        <v>22</v>
      </c>
      <c r="J460">
        <v>3.16</v>
      </c>
      <c r="K460">
        <v>3.21</v>
      </c>
      <c r="L460">
        <f>L459</f>
        <v>0.78</v>
      </c>
      <c r="M460">
        <f t="shared" ref="M460:N460" si="264">M459</f>
        <v>0.38200000000000001</v>
      </c>
      <c r="N460">
        <f t="shared" si="264"/>
        <v>0.111</v>
      </c>
      <c r="O460" s="21">
        <f t="shared" si="260"/>
        <v>1.7467521367521366</v>
      </c>
      <c r="P460" s="21">
        <f t="shared" si="261"/>
        <v>1.1463627730294399</v>
      </c>
      <c r="Q460" s="23">
        <f t="shared" si="255"/>
        <v>1.7467521367521366</v>
      </c>
      <c r="R460" s="23" t="str">
        <f t="shared" si="256"/>
        <v/>
      </c>
      <c r="T460" t="str">
        <f t="shared" si="257"/>
        <v/>
      </c>
    </row>
    <row r="461" spans="1:20" x14ac:dyDescent="0.2">
      <c r="A461">
        <v>460</v>
      </c>
      <c r="B461" s="15" t="s">
        <v>182</v>
      </c>
      <c r="C461" t="s">
        <v>359</v>
      </c>
      <c r="D461" s="15" t="s">
        <v>5</v>
      </c>
      <c r="E461" s="15" t="s">
        <v>9</v>
      </c>
      <c r="F461" s="15"/>
      <c r="G461" s="15" t="s">
        <v>12</v>
      </c>
      <c r="H461" s="15">
        <v>36</v>
      </c>
      <c r="I461" s="15">
        <v>36</v>
      </c>
      <c r="J461" s="15">
        <v>4.67</v>
      </c>
      <c r="K461" s="15">
        <v>5.3</v>
      </c>
      <c r="L461" s="15">
        <v>0.63</v>
      </c>
      <c r="M461" s="15">
        <v>0.308</v>
      </c>
      <c r="N461" s="15"/>
      <c r="O461" s="21">
        <f t="shared" si="260"/>
        <v>2.8790123456790124</v>
      </c>
      <c r="P461" s="21">
        <f t="shared" si="261"/>
        <v>1.6911934156378601</v>
      </c>
      <c r="Q461" s="23" t="str">
        <f t="shared" si="255"/>
        <v/>
      </c>
      <c r="R461" s="23">
        <f t="shared" si="256"/>
        <v>2.8790123456790124</v>
      </c>
      <c r="S461" s="15"/>
      <c r="T461" t="str">
        <f t="shared" si="257"/>
        <v/>
      </c>
    </row>
    <row r="462" spans="1:20" x14ac:dyDescent="0.2">
      <c r="A462">
        <v>461</v>
      </c>
      <c r="B462" t="s">
        <v>182</v>
      </c>
      <c r="C462" t="s">
        <v>359</v>
      </c>
      <c r="D462" t="s">
        <v>5</v>
      </c>
      <c r="E462" t="s">
        <v>9</v>
      </c>
      <c r="G462" t="s">
        <v>14</v>
      </c>
      <c r="L462">
        <f t="shared" ref="L462" si="265">L461</f>
        <v>0.63</v>
      </c>
      <c r="O462" s="21"/>
      <c r="P462" s="21"/>
      <c r="Q462" s="23" t="str">
        <f t="shared" si="255"/>
        <v/>
      </c>
      <c r="R462" s="23">
        <f t="shared" si="256"/>
        <v>0</v>
      </c>
      <c r="T462" t="str">
        <f t="shared" si="257"/>
        <v/>
      </c>
    </row>
    <row r="463" spans="1:20" x14ac:dyDescent="0.2">
      <c r="A463">
        <v>462</v>
      </c>
      <c r="B463" t="s">
        <v>183</v>
      </c>
      <c r="C463" t="s">
        <v>183</v>
      </c>
      <c r="D463" t="s">
        <v>5</v>
      </c>
      <c r="E463" t="s">
        <v>9</v>
      </c>
      <c r="G463" t="s">
        <v>10</v>
      </c>
      <c r="H463">
        <v>38</v>
      </c>
      <c r="I463">
        <v>41</v>
      </c>
      <c r="J463">
        <v>7.62</v>
      </c>
      <c r="K463">
        <v>7.87</v>
      </c>
      <c r="L463">
        <v>0.91</v>
      </c>
      <c r="M463">
        <v>0.54200000000000004</v>
      </c>
      <c r="N463">
        <v>0.111</v>
      </c>
      <c r="O463" s="21">
        <f t="shared" si="260"/>
        <v>5.2082295482295482</v>
      </c>
      <c r="P463" s="21">
        <f t="shared" si="261"/>
        <v>3.3618559218559225</v>
      </c>
      <c r="Q463" s="23">
        <f t="shared" si="255"/>
        <v>5.2082295482295482</v>
      </c>
      <c r="R463" s="23" t="str">
        <f t="shared" si="256"/>
        <v/>
      </c>
      <c r="T463" t="str">
        <f t="shared" si="257"/>
        <v/>
      </c>
    </row>
    <row r="464" spans="1:20" x14ac:dyDescent="0.2">
      <c r="A464">
        <v>463</v>
      </c>
      <c r="B464" t="s">
        <v>183</v>
      </c>
      <c r="C464" t="s">
        <v>183</v>
      </c>
      <c r="D464" t="s">
        <v>5</v>
      </c>
      <c r="E464" t="s">
        <v>9</v>
      </c>
      <c r="G464" t="s">
        <v>11</v>
      </c>
      <c r="H464">
        <v>43</v>
      </c>
      <c r="I464">
        <v>44</v>
      </c>
      <c r="J464">
        <v>8.3699999999999992</v>
      </c>
      <c r="K464">
        <v>5.93</v>
      </c>
      <c r="L464">
        <f t="shared" ref="L464:N464" si="266">L463</f>
        <v>0.91</v>
      </c>
      <c r="M464">
        <f t="shared" si="266"/>
        <v>0.54200000000000004</v>
      </c>
      <c r="N464">
        <f t="shared" si="266"/>
        <v>0.111</v>
      </c>
      <c r="O464" s="21">
        <f t="shared" si="260"/>
        <v>3.9243711843711844</v>
      </c>
      <c r="P464" s="21">
        <f t="shared" si="261"/>
        <v>3.6927472527472531</v>
      </c>
      <c r="Q464" s="23">
        <f t="shared" si="255"/>
        <v>3.9243711843711844</v>
      </c>
      <c r="R464" s="23" t="str">
        <f t="shared" si="256"/>
        <v/>
      </c>
      <c r="T464" t="str">
        <f t="shared" si="257"/>
        <v/>
      </c>
    </row>
    <row r="465" spans="1:20" x14ac:dyDescent="0.2">
      <c r="A465">
        <v>464</v>
      </c>
      <c r="B465" t="s">
        <v>183</v>
      </c>
      <c r="C465" t="s">
        <v>183</v>
      </c>
      <c r="D465" t="s">
        <v>5</v>
      </c>
      <c r="E465" t="s">
        <v>9</v>
      </c>
      <c r="G465" t="s">
        <v>12</v>
      </c>
      <c r="H465">
        <v>31</v>
      </c>
      <c r="I465">
        <v>30</v>
      </c>
      <c r="J465">
        <v>6.86</v>
      </c>
      <c r="K465">
        <v>7.47</v>
      </c>
      <c r="L465">
        <v>1.1000000000000001</v>
      </c>
      <c r="M465">
        <v>0.38400000000000001</v>
      </c>
      <c r="N465">
        <v>6.5000000000000002E-2</v>
      </c>
      <c r="O465" s="21">
        <f t="shared" si="260"/>
        <v>2.8974545454545453</v>
      </c>
      <c r="P465" s="21">
        <f t="shared" si="261"/>
        <v>1.7738989898989899</v>
      </c>
      <c r="Q465" s="23" t="str">
        <f t="shared" si="255"/>
        <v/>
      </c>
      <c r="R465" s="23">
        <f t="shared" si="256"/>
        <v>2.8974545454545453</v>
      </c>
      <c r="T465" t="str">
        <f t="shared" si="257"/>
        <v/>
      </c>
    </row>
    <row r="466" spans="1:20" x14ac:dyDescent="0.2">
      <c r="A466">
        <v>465</v>
      </c>
      <c r="B466" t="s">
        <v>183</v>
      </c>
      <c r="C466" t="s">
        <v>183</v>
      </c>
      <c r="D466" t="s">
        <v>5</v>
      </c>
      <c r="E466" t="s">
        <v>9</v>
      </c>
      <c r="G466" t="s">
        <v>14</v>
      </c>
      <c r="H466">
        <v>41</v>
      </c>
      <c r="I466">
        <v>42</v>
      </c>
      <c r="J466">
        <v>8.5500000000000007</v>
      </c>
      <c r="K466">
        <v>8.26</v>
      </c>
      <c r="L466">
        <f t="shared" ref="L466:N466" si="267">L465</f>
        <v>1.1000000000000001</v>
      </c>
      <c r="M466">
        <f t="shared" si="267"/>
        <v>0.38400000000000001</v>
      </c>
      <c r="N466">
        <f t="shared" si="267"/>
        <v>6.5000000000000002E-2</v>
      </c>
      <c r="O466" s="21">
        <f t="shared" si="260"/>
        <v>3.203878787878788</v>
      </c>
      <c r="P466" s="21">
        <f t="shared" si="261"/>
        <v>2.2109090909090909</v>
      </c>
      <c r="Q466" s="23" t="str">
        <f t="shared" si="255"/>
        <v/>
      </c>
      <c r="R466" s="23">
        <f t="shared" si="256"/>
        <v>3.203878787878788</v>
      </c>
      <c r="T466" t="str">
        <f t="shared" si="257"/>
        <v/>
      </c>
    </row>
    <row r="467" spans="1:20" x14ac:dyDescent="0.2">
      <c r="A467">
        <v>466</v>
      </c>
      <c r="B467" t="s">
        <v>184</v>
      </c>
      <c r="C467" t="s">
        <v>184</v>
      </c>
      <c r="D467" t="s">
        <v>5</v>
      </c>
      <c r="E467" t="s">
        <v>9</v>
      </c>
      <c r="G467" t="s">
        <v>10</v>
      </c>
      <c r="H467">
        <v>49</v>
      </c>
      <c r="I467">
        <v>50</v>
      </c>
      <c r="J467">
        <v>20.03</v>
      </c>
      <c r="K467">
        <v>11.75</v>
      </c>
      <c r="L467">
        <v>1.4</v>
      </c>
      <c r="M467" s="14">
        <v>0.67100000000000004</v>
      </c>
      <c r="N467" s="14">
        <v>0.14099999999999999</v>
      </c>
      <c r="O467" s="21">
        <f t="shared" si="260"/>
        <v>6.2573412698412714</v>
      </c>
      <c r="P467" s="21">
        <f t="shared" si="261"/>
        <v>7.1111798941798963</v>
      </c>
      <c r="Q467" s="23">
        <f t="shared" si="255"/>
        <v>6.2573412698412714</v>
      </c>
      <c r="R467" s="23" t="str">
        <f t="shared" si="256"/>
        <v/>
      </c>
      <c r="T467" t="str">
        <f t="shared" si="257"/>
        <v/>
      </c>
    </row>
    <row r="468" spans="1:20" x14ac:dyDescent="0.2">
      <c r="A468">
        <v>467</v>
      </c>
      <c r="B468" t="s">
        <v>184</v>
      </c>
      <c r="C468" t="s">
        <v>184</v>
      </c>
      <c r="D468" t="s">
        <v>5</v>
      </c>
      <c r="E468" t="s">
        <v>9</v>
      </c>
      <c r="G468" t="s">
        <v>11</v>
      </c>
      <c r="H468">
        <v>38</v>
      </c>
      <c r="I468">
        <v>37</v>
      </c>
      <c r="J468">
        <v>14.2</v>
      </c>
      <c r="K468">
        <v>9.1</v>
      </c>
      <c r="L468">
        <f t="shared" ref="L468:N468" si="268">L467</f>
        <v>1.4</v>
      </c>
      <c r="M468">
        <f t="shared" si="268"/>
        <v>0.67100000000000004</v>
      </c>
      <c r="N468">
        <f t="shared" si="268"/>
        <v>0.14099999999999999</v>
      </c>
      <c r="O468" s="21">
        <f t="shared" si="260"/>
        <v>4.8461111111111119</v>
      </c>
      <c r="P468" s="21">
        <f t="shared" si="261"/>
        <v>5.0413756613756622</v>
      </c>
      <c r="Q468" s="23">
        <f t="shared" si="255"/>
        <v>4.8461111111111119</v>
      </c>
      <c r="R468" s="23" t="str">
        <f t="shared" si="256"/>
        <v/>
      </c>
      <c r="T468" t="str">
        <f t="shared" si="257"/>
        <v/>
      </c>
    </row>
    <row r="469" spans="1:20" x14ac:dyDescent="0.2">
      <c r="A469">
        <v>468</v>
      </c>
      <c r="B469" t="s">
        <v>184</v>
      </c>
      <c r="C469" t="s">
        <v>184</v>
      </c>
      <c r="D469" t="s">
        <v>5</v>
      </c>
      <c r="E469" t="s">
        <v>9</v>
      </c>
      <c r="G469" t="s">
        <v>12</v>
      </c>
      <c r="H469">
        <v>44</v>
      </c>
      <c r="I469">
        <v>44</v>
      </c>
      <c r="J469">
        <v>28.09</v>
      </c>
      <c r="K469">
        <v>9.27</v>
      </c>
      <c r="L469">
        <v>0.96</v>
      </c>
      <c r="M469" s="14">
        <v>0.47899999999999998</v>
      </c>
      <c r="N469" s="14">
        <v>0.11600000000000001</v>
      </c>
      <c r="O469" s="21">
        <f t="shared" si="260"/>
        <v>5.1392708333333337</v>
      </c>
      <c r="P469" s="21">
        <f t="shared" si="261"/>
        <v>10.382029320987655</v>
      </c>
      <c r="Q469" s="23" t="str">
        <f t="shared" si="255"/>
        <v/>
      </c>
      <c r="R469" s="23">
        <f t="shared" si="256"/>
        <v>5.1392708333333337</v>
      </c>
      <c r="T469" t="str">
        <f t="shared" si="257"/>
        <v/>
      </c>
    </row>
    <row r="470" spans="1:20" x14ac:dyDescent="0.2">
      <c r="A470">
        <v>469</v>
      </c>
      <c r="B470" t="s">
        <v>184</v>
      </c>
      <c r="C470" t="s">
        <v>184</v>
      </c>
      <c r="D470" t="s">
        <v>5</v>
      </c>
      <c r="E470" t="s">
        <v>9</v>
      </c>
      <c r="G470" t="s">
        <v>14</v>
      </c>
      <c r="H470">
        <v>30</v>
      </c>
      <c r="I470">
        <v>30</v>
      </c>
      <c r="J470">
        <v>19.09</v>
      </c>
      <c r="K470">
        <v>7.5</v>
      </c>
      <c r="L470">
        <f>L469</f>
        <v>0.96</v>
      </c>
      <c r="M470">
        <f t="shared" ref="M470:N470" si="269">M469</f>
        <v>0.47899999999999998</v>
      </c>
      <c r="N470">
        <f t="shared" si="269"/>
        <v>0.11600000000000001</v>
      </c>
      <c r="O470" s="21">
        <f t="shared" si="260"/>
        <v>4.1579861111111116</v>
      </c>
      <c r="P470" s="21">
        <f t="shared" si="261"/>
        <v>7.0556404320987651</v>
      </c>
      <c r="Q470" s="23" t="str">
        <f t="shared" si="255"/>
        <v/>
      </c>
      <c r="R470" s="23">
        <f t="shared" si="256"/>
        <v>4.1579861111111116</v>
      </c>
      <c r="T470" t="str">
        <f t="shared" si="257"/>
        <v/>
      </c>
    </row>
    <row r="471" spans="1:20" x14ac:dyDescent="0.2">
      <c r="A471">
        <v>474</v>
      </c>
      <c r="B471" s="15" t="s">
        <v>185</v>
      </c>
      <c r="C471" s="28" t="s">
        <v>425</v>
      </c>
      <c r="D471" s="15" t="s">
        <v>5</v>
      </c>
      <c r="E471" s="15" t="s">
        <v>9</v>
      </c>
      <c r="F471" s="15"/>
      <c r="G471" s="15" t="s">
        <v>10</v>
      </c>
      <c r="H471" s="15">
        <v>26</v>
      </c>
      <c r="I471" s="15">
        <v>32</v>
      </c>
      <c r="J471" s="15">
        <v>7.57</v>
      </c>
      <c r="K471" s="15"/>
      <c r="L471" s="15">
        <v>1.21</v>
      </c>
      <c r="M471" s="15"/>
      <c r="N471" s="15"/>
      <c r="O471" s="21"/>
      <c r="P471" s="21">
        <f t="shared" ref="P471:P473" si="270">J471*(0.55/(0.964*1.5))*(10/9)</f>
        <v>3.1992469648071316</v>
      </c>
      <c r="Q471" s="23">
        <f t="shared" si="255"/>
        <v>0</v>
      </c>
      <c r="R471" s="23" t="str">
        <f t="shared" si="256"/>
        <v/>
      </c>
      <c r="S471" s="15" t="s">
        <v>54</v>
      </c>
      <c r="T471" t="str">
        <f t="shared" si="257"/>
        <v/>
      </c>
    </row>
    <row r="472" spans="1:20" x14ac:dyDescent="0.2">
      <c r="A472">
        <v>475</v>
      </c>
      <c r="B472" s="15" t="s">
        <v>185</v>
      </c>
      <c r="C472" s="28" t="s">
        <v>425</v>
      </c>
      <c r="D472" s="15" t="s">
        <v>5</v>
      </c>
      <c r="E472" s="15" t="s">
        <v>9</v>
      </c>
      <c r="F472" s="15"/>
      <c r="G472" s="15" t="s">
        <v>11</v>
      </c>
      <c r="H472" s="15">
        <v>16</v>
      </c>
      <c r="I472" s="15">
        <v>25</v>
      </c>
      <c r="J472" s="15">
        <v>5.45</v>
      </c>
      <c r="K472" s="15"/>
      <c r="L472" s="15">
        <f>L471</f>
        <v>1.21</v>
      </c>
      <c r="M472" s="15"/>
      <c r="N472" s="15"/>
      <c r="O472" s="21"/>
      <c r="P472" s="21">
        <f t="shared" si="270"/>
        <v>2.3032887659443677</v>
      </c>
      <c r="Q472" s="23">
        <f t="shared" si="255"/>
        <v>0</v>
      </c>
      <c r="R472" s="23" t="str">
        <f t="shared" si="256"/>
        <v/>
      </c>
      <c r="S472" s="15"/>
      <c r="T472" t="str">
        <f t="shared" si="257"/>
        <v/>
      </c>
    </row>
    <row r="473" spans="1:20" x14ac:dyDescent="0.2">
      <c r="A473">
        <v>476</v>
      </c>
      <c r="B473" s="15" t="s">
        <v>185</v>
      </c>
      <c r="C473" s="28" t="s">
        <v>425</v>
      </c>
      <c r="D473" s="15" t="s">
        <v>5</v>
      </c>
      <c r="E473" s="15" t="s">
        <v>9</v>
      </c>
      <c r="F473" s="15"/>
      <c r="G473" s="15" t="s">
        <v>12</v>
      </c>
      <c r="H473" s="15">
        <v>36</v>
      </c>
      <c r="I473" s="15">
        <v>36</v>
      </c>
      <c r="J473" s="15">
        <v>5.3</v>
      </c>
      <c r="K473" s="15"/>
      <c r="L473" s="15">
        <v>0.53</v>
      </c>
      <c r="M473" s="15"/>
      <c r="N473" s="15"/>
      <c r="O473" s="21"/>
      <c r="P473" s="21">
        <f t="shared" si="270"/>
        <v>2.2398954971569078</v>
      </c>
      <c r="Q473" s="23" t="str">
        <f t="shared" si="255"/>
        <v/>
      </c>
      <c r="R473" s="23">
        <f t="shared" si="256"/>
        <v>0</v>
      </c>
      <c r="S473" s="15"/>
      <c r="T473" t="str">
        <f t="shared" si="257"/>
        <v/>
      </c>
    </row>
    <row r="474" spans="1:20" x14ac:dyDescent="0.2">
      <c r="A474">
        <v>477</v>
      </c>
      <c r="B474" t="s">
        <v>186</v>
      </c>
      <c r="C474" t="s">
        <v>186</v>
      </c>
      <c r="D474" t="s">
        <v>5</v>
      </c>
      <c r="E474" t="s">
        <v>9</v>
      </c>
      <c r="G474" t="s">
        <v>10</v>
      </c>
      <c r="H474">
        <v>36</v>
      </c>
      <c r="I474">
        <v>37</v>
      </c>
      <c r="J474">
        <v>8.31</v>
      </c>
      <c r="K474">
        <v>6.29</v>
      </c>
      <c r="L474">
        <v>0.9</v>
      </c>
      <c r="M474">
        <v>0.45800000000000002</v>
      </c>
      <c r="N474">
        <v>0.107</v>
      </c>
      <c r="O474" s="21">
        <f t="shared" si="260"/>
        <v>3.5565679012345686</v>
      </c>
      <c r="P474" s="21">
        <f t="shared" si="261"/>
        <v>3.1324938271604941</v>
      </c>
      <c r="Q474" s="23">
        <f t="shared" si="255"/>
        <v>3.5565679012345686</v>
      </c>
      <c r="R474" s="23" t="str">
        <f t="shared" si="256"/>
        <v/>
      </c>
      <c r="T474" t="str">
        <f t="shared" si="257"/>
        <v/>
      </c>
    </row>
    <row r="475" spans="1:20" x14ac:dyDescent="0.2">
      <c r="A475">
        <v>478</v>
      </c>
      <c r="B475" t="s">
        <v>186</v>
      </c>
      <c r="C475" t="s">
        <v>186</v>
      </c>
      <c r="D475" t="s">
        <v>5</v>
      </c>
      <c r="E475" t="s">
        <v>9</v>
      </c>
      <c r="G475" t="s">
        <v>11</v>
      </c>
      <c r="H475">
        <v>35</v>
      </c>
      <c r="I475">
        <v>46</v>
      </c>
      <c r="J475">
        <v>14.17</v>
      </c>
      <c r="K475">
        <v>10.44</v>
      </c>
      <c r="L475">
        <f t="shared" ref="L475:N475" si="271">L474</f>
        <v>0.9</v>
      </c>
      <c r="M475">
        <f t="shared" si="271"/>
        <v>0.45800000000000002</v>
      </c>
      <c r="N475">
        <f t="shared" si="271"/>
        <v>0.107</v>
      </c>
      <c r="O475" s="21">
        <f t="shared" si="260"/>
        <v>5.9031111111111114</v>
      </c>
      <c r="P475" s="21">
        <f t="shared" si="261"/>
        <v>5.3414485596707815</v>
      </c>
      <c r="Q475" s="23">
        <f t="shared" si="255"/>
        <v>5.9031111111111114</v>
      </c>
      <c r="R475" s="23" t="str">
        <f t="shared" si="256"/>
        <v/>
      </c>
      <c r="T475" t="str">
        <f t="shared" si="257"/>
        <v/>
      </c>
    </row>
    <row r="476" spans="1:20" x14ac:dyDescent="0.2">
      <c r="A476">
        <v>479</v>
      </c>
      <c r="B476" t="s">
        <v>186</v>
      </c>
      <c r="C476" t="s">
        <v>186</v>
      </c>
      <c r="D476" t="s">
        <v>5</v>
      </c>
      <c r="E476" t="s">
        <v>9</v>
      </c>
      <c r="G476" t="s">
        <v>12</v>
      </c>
      <c r="H476">
        <v>44</v>
      </c>
      <c r="I476">
        <v>44</v>
      </c>
      <c r="J476">
        <v>7.7</v>
      </c>
      <c r="K476">
        <v>6.01</v>
      </c>
      <c r="L476">
        <v>0.8</v>
      </c>
      <c r="M476">
        <v>0.47299999999999998</v>
      </c>
      <c r="N476">
        <v>8.2000000000000003E-2</v>
      </c>
      <c r="O476" s="21">
        <f t="shared" si="260"/>
        <v>3.9482361111111106</v>
      </c>
      <c r="P476" s="21">
        <f t="shared" si="261"/>
        <v>3.3723148148148145</v>
      </c>
      <c r="Q476" s="23" t="str">
        <f t="shared" si="255"/>
        <v/>
      </c>
      <c r="R476" s="23">
        <f t="shared" si="256"/>
        <v>3.9482361111111106</v>
      </c>
      <c r="T476" t="str">
        <f t="shared" si="257"/>
        <v/>
      </c>
    </row>
    <row r="477" spans="1:20" x14ac:dyDescent="0.2">
      <c r="A477">
        <v>480</v>
      </c>
      <c r="B477" t="s">
        <v>186</v>
      </c>
      <c r="C477" t="s">
        <v>186</v>
      </c>
      <c r="D477" t="s">
        <v>5</v>
      </c>
      <c r="E477" t="s">
        <v>9</v>
      </c>
      <c r="G477" t="s">
        <v>14</v>
      </c>
      <c r="H477">
        <v>45</v>
      </c>
      <c r="I477">
        <v>46</v>
      </c>
      <c r="J477">
        <v>7.9</v>
      </c>
      <c r="K477">
        <v>6.5</v>
      </c>
      <c r="L477">
        <f t="shared" ref="L477:N477" si="272">L476</f>
        <v>0.8</v>
      </c>
      <c r="M477">
        <f t="shared" si="272"/>
        <v>0.47299999999999998</v>
      </c>
      <c r="N477">
        <f t="shared" si="272"/>
        <v>8.2000000000000003E-2</v>
      </c>
      <c r="O477" s="21">
        <f t="shared" si="260"/>
        <v>4.2701388888888889</v>
      </c>
      <c r="P477" s="21">
        <f t="shared" si="261"/>
        <v>3.4599074074074072</v>
      </c>
      <c r="Q477" s="23" t="str">
        <f t="shared" si="255"/>
        <v/>
      </c>
      <c r="R477" s="23">
        <f t="shared" si="256"/>
        <v>4.2701388888888889</v>
      </c>
      <c r="T477" t="str">
        <f t="shared" si="257"/>
        <v/>
      </c>
    </row>
    <row r="478" spans="1:20" x14ac:dyDescent="0.2">
      <c r="A478">
        <v>481</v>
      </c>
      <c r="B478" t="s">
        <v>187</v>
      </c>
      <c r="C478" t="s">
        <v>360</v>
      </c>
      <c r="D478" t="s">
        <v>5</v>
      </c>
      <c r="E478" t="s">
        <v>9</v>
      </c>
      <c r="G478" t="s">
        <v>10</v>
      </c>
      <c r="H478">
        <v>30</v>
      </c>
      <c r="I478">
        <v>33</v>
      </c>
      <c r="J478">
        <v>5.58</v>
      </c>
      <c r="K478">
        <v>5.81</v>
      </c>
      <c r="L478">
        <v>0.54</v>
      </c>
      <c r="M478">
        <v>0.57999999999999996</v>
      </c>
      <c r="N478">
        <v>0.127</v>
      </c>
      <c r="O478" s="21">
        <f t="shared" si="260"/>
        <v>6.9337448559670776</v>
      </c>
      <c r="P478" s="21">
        <f t="shared" si="261"/>
        <v>4.439506172839506</v>
      </c>
      <c r="Q478" s="23">
        <f t="shared" si="255"/>
        <v>6.9337448559670776</v>
      </c>
      <c r="R478" s="23" t="str">
        <f t="shared" si="256"/>
        <v/>
      </c>
      <c r="T478" t="str">
        <f t="shared" si="257"/>
        <v/>
      </c>
    </row>
    <row r="479" spans="1:20" x14ac:dyDescent="0.2">
      <c r="A479">
        <v>482</v>
      </c>
      <c r="B479" t="s">
        <v>187</v>
      </c>
      <c r="C479" t="s">
        <v>360</v>
      </c>
      <c r="D479" t="s">
        <v>5</v>
      </c>
      <c r="E479" t="s">
        <v>9</v>
      </c>
      <c r="G479" t="s">
        <v>11</v>
      </c>
      <c r="H479">
        <v>32</v>
      </c>
      <c r="I479">
        <v>40</v>
      </c>
      <c r="J479">
        <v>8.84</v>
      </c>
      <c r="K479">
        <v>9.1199999999999992</v>
      </c>
      <c r="L479">
        <f t="shared" ref="L479:N479" si="273">L478</f>
        <v>0.54</v>
      </c>
      <c r="M479">
        <f t="shared" si="273"/>
        <v>0.57999999999999996</v>
      </c>
      <c r="N479">
        <f t="shared" si="273"/>
        <v>0.127</v>
      </c>
      <c r="O479" s="21">
        <f t="shared" si="260"/>
        <v>10.883950617283949</v>
      </c>
      <c r="P479" s="21">
        <f t="shared" si="261"/>
        <v>7.0331961591220837</v>
      </c>
      <c r="Q479" s="23">
        <f t="shared" si="255"/>
        <v>10.883950617283949</v>
      </c>
      <c r="R479" s="23" t="str">
        <f t="shared" si="256"/>
        <v/>
      </c>
      <c r="T479" t="str">
        <f t="shared" si="257"/>
        <v/>
      </c>
    </row>
    <row r="480" spans="1:20" x14ac:dyDescent="0.2">
      <c r="A480">
        <v>483</v>
      </c>
      <c r="B480" t="s">
        <v>187</v>
      </c>
      <c r="C480" t="s">
        <v>360</v>
      </c>
      <c r="D480" t="s">
        <v>5</v>
      </c>
      <c r="E480" t="s">
        <v>9</v>
      </c>
      <c r="G480" t="s">
        <v>12</v>
      </c>
      <c r="H480">
        <v>37</v>
      </c>
      <c r="I480">
        <v>35</v>
      </c>
      <c r="J480">
        <v>3.83</v>
      </c>
      <c r="K480">
        <v>3.87</v>
      </c>
      <c r="L480">
        <v>0.31</v>
      </c>
      <c r="M480" s="4">
        <v>0.35699999999999998</v>
      </c>
      <c r="N480" s="4">
        <v>6.2E-2</v>
      </c>
      <c r="O480" s="21">
        <f t="shared" si="260"/>
        <v>4.9519354838709679</v>
      </c>
      <c r="P480" s="21">
        <f t="shared" si="261"/>
        <v>3.2671684587813621</v>
      </c>
      <c r="Q480" s="23" t="str">
        <f t="shared" si="255"/>
        <v/>
      </c>
      <c r="R480" s="23">
        <f t="shared" si="256"/>
        <v>4.9519354838709679</v>
      </c>
      <c r="T480" t="str">
        <f t="shared" si="257"/>
        <v/>
      </c>
    </row>
    <row r="481" spans="1:20" x14ac:dyDescent="0.2">
      <c r="A481">
        <v>484</v>
      </c>
      <c r="B481" t="s">
        <v>187</v>
      </c>
      <c r="C481" t="s">
        <v>360</v>
      </c>
      <c r="D481" t="s">
        <v>5</v>
      </c>
      <c r="E481" t="s">
        <v>9</v>
      </c>
      <c r="G481" t="s">
        <v>14</v>
      </c>
      <c r="H481">
        <v>42</v>
      </c>
      <c r="I481">
        <v>39</v>
      </c>
      <c r="J481">
        <v>3.75</v>
      </c>
      <c r="K481">
        <v>3.75</v>
      </c>
      <c r="L481">
        <f t="shared" ref="L481:N481" si="274">L480</f>
        <v>0.31</v>
      </c>
      <c r="M481">
        <f t="shared" si="274"/>
        <v>0.35699999999999998</v>
      </c>
      <c r="N481">
        <f t="shared" si="274"/>
        <v>6.2E-2</v>
      </c>
      <c r="O481" s="21">
        <f t="shared" si="260"/>
        <v>4.7983870967741939</v>
      </c>
      <c r="P481" s="21">
        <f t="shared" si="261"/>
        <v>3.1989247311827955</v>
      </c>
      <c r="Q481" s="23" t="str">
        <f t="shared" si="255"/>
        <v/>
      </c>
      <c r="R481" s="23">
        <f t="shared" si="256"/>
        <v>4.7983870967741939</v>
      </c>
      <c r="T481" t="str">
        <f t="shared" si="257"/>
        <v/>
      </c>
    </row>
    <row r="482" spans="1:20" x14ac:dyDescent="0.2">
      <c r="A482">
        <v>485</v>
      </c>
      <c r="B482" t="s">
        <v>188</v>
      </c>
      <c r="C482" t="s">
        <v>361</v>
      </c>
      <c r="D482" t="s">
        <v>5</v>
      </c>
      <c r="E482" t="s">
        <v>9</v>
      </c>
      <c r="G482" t="s">
        <v>10</v>
      </c>
      <c r="H482">
        <v>46</v>
      </c>
      <c r="I482">
        <v>47</v>
      </c>
      <c r="J482">
        <v>6.22</v>
      </c>
      <c r="K482">
        <v>5.57</v>
      </c>
      <c r="L482">
        <v>0.71</v>
      </c>
      <c r="M482">
        <v>0.56000000000000005</v>
      </c>
      <c r="N482">
        <v>0.153</v>
      </c>
      <c r="O482" s="21">
        <f t="shared" si="260"/>
        <v>4.8813771517996871</v>
      </c>
      <c r="P482" s="21">
        <f t="shared" si="261"/>
        <v>3.6340114762649978</v>
      </c>
      <c r="Q482" s="23">
        <f t="shared" si="255"/>
        <v>4.8813771517996871</v>
      </c>
      <c r="R482" s="23" t="str">
        <f t="shared" si="256"/>
        <v/>
      </c>
      <c r="T482" t="str">
        <f t="shared" si="257"/>
        <v/>
      </c>
    </row>
    <row r="483" spans="1:20" x14ac:dyDescent="0.2">
      <c r="A483">
        <v>486</v>
      </c>
      <c r="B483" t="s">
        <v>188</v>
      </c>
      <c r="C483" t="s">
        <v>361</v>
      </c>
      <c r="D483" t="s">
        <v>5</v>
      </c>
      <c r="E483" t="s">
        <v>9</v>
      </c>
      <c r="G483" t="s">
        <v>11</v>
      </c>
      <c r="H483">
        <v>48</v>
      </c>
      <c r="I483">
        <v>50</v>
      </c>
      <c r="J483">
        <v>5.84</v>
      </c>
      <c r="K483">
        <v>5.75</v>
      </c>
      <c r="L483">
        <f t="shared" ref="L483:N483" si="275">L482</f>
        <v>0.71</v>
      </c>
      <c r="M483">
        <f t="shared" si="275"/>
        <v>0.56000000000000005</v>
      </c>
      <c r="N483">
        <f t="shared" si="275"/>
        <v>0.153</v>
      </c>
      <c r="O483" s="21">
        <f t="shared" si="260"/>
        <v>5.0391236306729272</v>
      </c>
      <c r="P483" s="21">
        <f t="shared" si="261"/>
        <v>3.4119979134063643</v>
      </c>
      <c r="Q483" s="23">
        <f t="shared" si="255"/>
        <v>5.0391236306729272</v>
      </c>
      <c r="R483" s="23" t="str">
        <f t="shared" si="256"/>
        <v/>
      </c>
      <c r="T483" t="str">
        <f t="shared" si="257"/>
        <v/>
      </c>
    </row>
    <row r="484" spans="1:20" x14ac:dyDescent="0.2">
      <c r="A484">
        <v>487</v>
      </c>
      <c r="B484" t="s">
        <v>188</v>
      </c>
      <c r="C484" t="s">
        <v>361</v>
      </c>
      <c r="D484" t="s">
        <v>5</v>
      </c>
      <c r="E484" t="s">
        <v>9</v>
      </c>
      <c r="G484" t="s">
        <v>12</v>
      </c>
      <c r="H484">
        <v>37</v>
      </c>
      <c r="I484">
        <v>37</v>
      </c>
      <c r="J484">
        <v>9.5</v>
      </c>
      <c r="K484">
        <v>6.21</v>
      </c>
      <c r="L484">
        <v>0.91</v>
      </c>
      <c r="M484">
        <v>0.496</v>
      </c>
      <c r="N484">
        <v>9.1999999999999998E-2</v>
      </c>
      <c r="O484" s="21">
        <f t="shared" si="260"/>
        <v>3.760879120879121</v>
      </c>
      <c r="P484" s="21">
        <f t="shared" si="261"/>
        <v>3.8355718355718356</v>
      </c>
      <c r="Q484" s="23" t="str">
        <f t="shared" si="255"/>
        <v/>
      </c>
      <c r="R484" s="23">
        <f t="shared" si="256"/>
        <v>3.760879120879121</v>
      </c>
      <c r="T484" t="str">
        <f t="shared" si="257"/>
        <v/>
      </c>
    </row>
    <row r="485" spans="1:20" x14ac:dyDescent="0.2">
      <c r="A485">
        <v>488</v>
      </c>
      <c r="B485" t="s">
        <v>188</v>
      </c>
      <c r="C485" t="s">
        <v>361</v>
      </c>
      <c r="D485" t="s">
        <v>5</v>
      </c>
      <c r="E485" t="s">
        <v>9</v>
      </c>
      <c r="G485" t="s">
        <v>14</v>
      </c>
      <c r="H485">
        <v>39</v>
      </c>
      <c r="I485">
        <v>36</v>
      </c>
      <c r="J485">
        <v>9.02</v>
      </c>
      <c r="K485">
        <v>6.01</v>
      </c>
      <c r="L485">
        <f>L484</f>
        <v>0.91</v>
      </c>
      <c r="M485">
        <f t="shared" ref="M485:N485" si="276">M484</f>
        <v>0.496</v>
      </c>
      <c r="N485">
        <f t="shared" si="276"/>
        <v>9.1999999999999998E-2</v>
      </c>
      <c r="O485" s="21">
        <f t="shared" si="260"/>
        <v>3.6397557997557994</v>
      </c>
      <c r="P485" s="21">
        <f t="shared" si="261"/>
        <v>3.6417745217745217</v>
      </c>
      <c r="Q485" s="23" t="str">
        <f t="shared" si="255"/>
        <v/>
      </c>
      <c r="R485" s="23">
        <f t="shared" si="256"/>
        <v>3.6397557997557994</v>
      </c>
      <c r="T485" t="str">
        <f t="shared" si="257"/>
        <v/>
      </c>
    </row>
    <row r="486" spans="1:20" x14ac:dyDescent="0.2">
      <c r="A486">
        <v>489</v>
      </c>
      <c r="B486" s="1" t="s">
        <v>189</v>
      </c>
      <c r="C486" s="1"/>
      <c r="D486" s="1" t="s">
        <v>5</v>
      </c>
      <c r="E486" s="1" t="s">
        <v>9</v>
      </c>
      <c r="F486" s="1"/>
      <c r="G486" s="1" t="s">
        <v>10</v>
      </c>
      <c r="H486" s="1">
        <v>58</v>
      </c>
      <c r="I486" s="1">
        <v>60</v>
      </c>
      <c r="J486" s="1">
        <v>8.0399999999999991</v>
      </c>
      <c r="K486" s="1">
        <v>8.68</v>
      </c>
      <c r="L486" s="1">
        <v>0.88</v>
      </c>
      <c r="M486" s="1"/>
      <c r="N486" s="1"/>
      <c r="O486" s="21">
        <f t="shared" ref="O486:O489" si="277">K486*(0.55/0.964)*(10/9)</f>
        <v>5.5025357307514984</v>
      </c>
      <c r="P486" s="21">
        <f t="shared" ref="P486:P489" si="278">J486*(0.55/(0.964*1.5))*(10/9)</f>
        <v>3.3978792070078376</v>
      </c>
      <c r="Q486" s="23">
        <f t="shared" si="255"/>
        <v>5.5025357307514984</v>
      </c>
      <c r="R486" s="23" t="str">
        <f t="shared" si="256"/>
        <v/>
      </c>
      <c r="T486" t="str">
        <f t="shared" si="257"/>
        <v/>
      </c>
    </row>
    <row r="487" spans="1:20" x14ac:dyDescent="0.2">
      <c r="A487">
        <v>490</v>
      </c>
      <c r="B487" s="1" t="s">
        <v>189</v>
      </c>
      <c r="C487" s="1"/>
      <c r="D487" s="1" t="s">
        <v>5</v>
      </c>
      <c r="E487" s="1" t="s">
        <v>9</v>
      </c>
      <c r="F487" s="1"/>
      <c r="G487" s="1" t="s">
        <v>11</v>
      </c>
      <c r="H487" s="1">
        <v>56</v>
      </c>
      <c r="I487" s="1">
        <v>59</v>
      </c>
      <c r="J487" s="1">
        <v>9.5299999999999994</v>
      </c>
      <c r="K487" s="1">
        <v>9.6199999999999992</v>
      </c>
      <c r="L487" s="1">
        <f>L486</f>
        <v>0.88</v>
      </c>
      <c r="M487" s="1"/>
      <c r="N487" s="1"/>
      <c r="O487" s="21">
        <f t="shared" si="277"/>
        <v>6.0984324573536197</v>
      </c>
      <c r="P487" s="21">
        <f t="shared" si="278"/>
        <v>4.0275856769632705</v>
      </c>
      <c r="Q487" s="23">
        <f t="shared" si="255"/>
        <v>6.0984324573536197</v>
      </c>
      <c r="R487" s="23" t="str">
        <f t="shared" si="256"/>
        <v/>
      </c>
      <c r="T487" t="str">
        <f t="shared" si="257"/>
        <v/>
      </c>
    </row>
    <row r="488" spans="1:20" x14ac:dyDescent="0.2">
      <c r="A488">
        <v>491</v>
      </c>
      <c r="B488" s="1" t="s">
        <v>189</v>
      </c>
      <c r="C488" s="1"/>
      <c r="D488" s="1" t="s">
        <v>5</v>
      </c>
      <c r="E488" s="1" t="s">
        <v>9</v>
      </c>
      <c r="F488" s="1"/>
      <c r="G488" s="1" t="s">
        <v>12</v>
      </c>
      <c r="H488" s="1">
        <v>17</v>
      </c>
      <c r="I488" s="1">
        <v>16</v>
      </c>
      <c r="J488" s="1">
        <v>2.9</v>
      </c>
      <c r="K488" s="1">
        <v>2.64</v>
      </c>
      <c r="L488" s="1">
        <v>0.86</v>
      </c>
      <c r="M488" s="1"/>
      <c r="N488" s="1"/>
      <c r="O488" s="21">
        <f t="shared" si="277"/>
        <v>1.6735822959889353</v>
      </c>
      <c r="P488" s="21">
        <f t="shared" si="278"/>
        <v>1.2256031965575536</v>
      </c>
      <c r="Q488" s="23" t="str">
        <f t="shared" si="255"/>
        <v/>
      </c>
      <c r="R488" s="23">
        <f t="shared" si="256"/>
        <v>1.6735822959889353</v>
      </c>
      <c r="T488" t="str">
        <f t="shared" si="257"/>
        <v/>
      </c>
    </row>
    <row r="489" spans="1:20" x14ac:dyDescent="0.2">
      <c r="A489">
        <v>492</v>
      </c>
      <c r="B489" s="1" t="s">
        <v>189</v>
      </c>
      <c r="C489" s="1"/>
      <c r="D489" s="1" t="s">
        <v>5</v>
      </c>
      <c r="E489" s="1" t="s">
        <v>9</v>
      </c>
      <c r="F489" s="1"/>
      <c r="G489" s="1" t="s">
        <v>14</v>
      </c>
      <c r="H489" s="1">
        <v>36</v>
      </c>
      <c r="I489" s="1">
        <v>37</v>
      </c>
      <c r="J489" s="1">
        <v>4.46</v>
      </c>
      <c r="K489" s="1">
        <v>5.46</v>
      </c>
      <c r="L489" s="1">
        <f t="shared" ref="L489" si="279">L488</f>
        <v>0.86</v>
      </c>
      <c r="M489" s="1"/>
      <c r="N489" s="1"/>
      <c r="O489" s="21">
        <f t="shared" si="277"/>
        <v>3.461272475795298</v>
      </c>
      <c r="P489" s="21">
        <f t="shared" si="278"/>
        <v>1.8848931919471341</v>
      </c>
      <c r="Q489" s="23" t="str">
        <f t="shared" si="255"/>
        <v/>
      </c>
      <c r="R489" s="23">
        <f t="shared" si="256"/>
        <v>3.461272475795298</v>
      </c>
      <c r="T489" t="str">
        <f t="shared" si="257"/>
        <v/>
      </c>
    </row>
    <row r="490" spans="1:20" x14ac:dyDescent="0.2">
      <c r="A490">
        <v>493</v>
      </c>
      <c r="B490" t="s">
        <v>190</v>
      </c>
      <c r="C490" t="s">
        <v>190</v>
      </c>
      <c r="D490" t="s">
        <v>5</v>
      </c>
      <c r="E490" t="s">
        <v>9</v>
      </c>
      <c r="G490" t="s">
        <v>10</v>
      </c>
      <c r="H490">
        <v>39</v>
      </c>
      <c r="I490">
        <v>34</v>
      </c>
      <c r="J490">
        <v>10.27</v>
      </c>
      <c r="K490">
        <v>6.6</v>
      </c>
      <c r="L490">
        <v>1.17</v>
      </c>
      <c r="M490">
        <v>0.55000000000000004</v>
      </c>
      <c r="N490">
        <v>0.13</v>
      </c>
      <c r="O490" s="21">
        <f t="shared" si="260"/>
        <v>3.4472934472934473</v>
      </c>
      <c r="P490" s="21">
        <f t="shared" si="261"/>
        <v>3.5761316872427988</v>
      </c>
      <c r="Q490" s="23">
        <f t="shared" si="255"/>
        <v>3.4472934472934473</v>
      </c>
      <c r="R490" s="23" t="str">
        <f t="shared" si="256"/>
        <v/>
      </c>
      <c r="T490" t="str">
        <f t="shared" si="257"/>
        <v/>
      </c>
    </row>
    <row r="491" spans="1:20" x14ac:dyDescent="0.2">
      <c r="A491">
        <v>494</v>
      </c>
      <c r="B491" t="s">
        <v>190</v>
      </c>
      <c r="C491" t="s">
        <v>190</v>
      </c>
      <c r="D491" t="s">
        <v>5</v>
      </c>
      <c r="E491" t="s">
        <v>9</v>
      </c>
      <c r="G491" t="s">
        <v>11</v>
      </c>
      <c r="H491">
        <v>33</v>
      </c>
      <c r="I491">
        <v>36</v>
      </c>
      <c r="J491">
        <v>12.21</v>
      </c>
      <c r="K491">
        <v>8.01</v>
      </c>
      <c r="L491">
        <f>L490</f>
        <v>1.17</v>
      </c>
      <c r="M491">
        <f t="shared" ref="M491:N491" si="280">M490</f>
        <v>0.55000000000000004</v>
      </c>
      <c r="N491">
        <f t="shared" si="280"/>
        <v>0.13</v>
      </c>
      <c r="O491" s="21">
        <f t="shared" si="260"/>
        <v>4.183760683760684</v>
      </c>
      <c r="P491" s="21">
        <f t="shared" si="261"/>
        <v>4.251661918328586</v>
      </c>
      <c r="Q491" s="23">
        <f t="shared" si="255"/>
        <v>4.183760683760684</v>
      </c>
      <c r="R491" s="23" t="str">
        <f t="shared" si="256"/>
        <v/>
      </c>
      <c r="T491" t="str">
        <f t="shared" si="257"/>
        <v/>
      </c>
    </row>
    <row r="492" spans="1:20" x14ac:dyDescent="0.2">
      <c r="A492">
        <v>495</v>
      </c>
      <c r="B492" s="15" t="s">
        <v>190</v>
      </c>
      <c r="C492" t="s">
        <v>190</v>
      </c>
      <c r="D492" s="15" t="s">
        <v>5</v>
      </c>
      <c r="E492" s="15" t="s">
        <v>9</v>
      </c>
      <c r="F492" s="15"/>
      <c r="G492" s="15" t="s">
        <v>12</v>
      </c>
      <c r="H492" s="15">
        <v>26</v>
      </c>
      <c r="I492" s="15">
        <v>26</v>
      </c>
      <c r="J492" s="15">
        <v>9.07</v>
      </c>
      <c r="K492" s="15">
        <v>5.78</v>
      </c>
      <c r="L492" s="15">
        <v>1.08</v>
      </c>
      <c r="M492" s="15">
        <v>0.51</v>
      </c>
      <c r="N492" s="15"/>
      <c r="O492" s="21">
        <f t="shared" si="260"/>
        <v>3.0327160493827159</v>
      </c>
      <c r="P492" s="21">
        <f t="shared" si="261"/>
        <v>3.1726337448559674</v>
      </c>
      <c r="Q492" s="23" t="str">
        <f t="shared" si="255"/>
        <v/>
      </c>
      <c r="R492" s="23">
        <f t="shared" si="256"/>
        <v>3.0327160493827159</v>
      </c>
      <c r="T492" t="str">
        <f t="shared" si="257"/>
        <v/>
      </c>
    </row>
    <row r="493" spans="1:20" x14ac:dyDescent="0.2">
      <c r="A493">
        <v>496</v>
      </c>
      <c r="B493" t="s">
        <v>190</v>
      </c>
      <c r="C493" t="s">
        <v>190</v>
      </c>
      <c r="D493" t="s">
        <v>5</v>
      </c>
      <c r="E493" t="s">
        <v>9</v>
      </c>
      <c r="G493" t="s">
        <v>14</v>
      </c>
      <c r="H493">
        <v>28</v>
      </c>
      <c r="I493">
        <v>25</v>
      </c>
      <c r="J493">
        <v>6.25</v>
      </c>
      <c r="K493">
        <v>4.5</v>
      </c>
      <c r="L493">
        <f>L492</f>
        <v>1.08</v>
      </c>
      <c r="M493">
        <v>0.51</v>
      </c>
      <c r="O493" s="21">
        <f t="shared" si="260"/>
        <v>2.3611111111111112</v>
      </c>
      <c r="P493" s="21">
        <f t="shared" si="261"/>
        <v>2.1862139917695473</v>
      </c>
      <c r="Q493" s="23" t="str">
        <f t="shared" si="255"/>
        <v/>
      </c>
      <c r="R493" s="23">
        <f t="shared" si="256"/>
        <v>2.3611111111111112</v>
      </c>
      <c r="T493" t="str">
        <f t="shared" si="257"/>
        <v/>
      </c>
    </row>
    <row r="494" spans="1:20" x14ac:dyDescent="0.2">
      <c r="A494">
        <v>497</v>
      </c>
      <c r="B494" s="15" t="s">
        <v>191</v>
      </c>
      <c r="C494" s="15"/>
      <c r="D494" s="15" t="s">
        <v>5</v>
      </c>
      <c r="E494" s="15" t="s">
        <v>9</v>
      </c>
      <c r="F494" s="15"/>
      <c r="G494" s="15" t="s">
        <v>10</v>
      </c>
      <c r="H494" s="15">
        <v>41</v>
      </c>
      <c r="I494" s="15">
        <v>43</v>
      </c>
      <c r="J494" s="15">
        <v>11.03</v>
      </c>
      <c r="K494" s="15">
        <v>8.25</v>
      </c>
      <c r="L494" s="15">
        <v>0.97</v>
      </c>
      <c r="M494" s="15"/>
      <c r="N494" s="15"/>
      <c r="O494" s="21">
        <f t="shared" ref="O494:O497" si="281">K494*(0.55/0.964)*(10/9)</f>
        <v>5.2299446749654228</v>
      </c>
      <c r="P494" s="21">
        <f t="shared" ref="P494:P497" si="282">J494*(0.55/(0.964*1.5))*(10/9)</f>
        <v>4.6615183648378675</v>
      </c>
      <c r="Q494" s="23">
        <f t="shared" si="255"/>
        <v>5.2299446749654228</v>
      </c>
      <c r="R494" s="23" t="str">
        <f t="shared" si="256"/>
        <v/>
      </c>
      <c r="T494" t="str">
        <f t="shared" si="257"/>
        <v/>
      </c>
    </row>
    <row r="495" spans="1:20" x14ac:dyDescent="0.2">
      <c r="A495">
        <v>498</v>
      </c>
      <c r="B495" s="15" t="s">
        <v>191</v>
      </c>
      <c r="C495" s="15"/>
      <c r="D495" s="15" t="s">
        <v>5</v>
      </c>
      <c r="E495" s="15" t="s">
        <v>9</v>
      </c>
      <c r="F495" s="15"/>
      <c r="G495" s="15" t="s">
        <v>11</v>
      </c>
      <c r="H495" s="15">
        <v>38</v>
      </c>
      <c r="I495" s="15">
        <v>38</v>
      </c>
      <c r="J495" s="15">
        <v>9.86</v>
      </c>
      <c r="K495" s="15">
        <v>8.57</v>
      </c>
      <c r="L495" s="15">
        <f>L494</f>
        <v>0.97</v>
      </c>
      <c r="M495" s="15"/>
      <c r="N495" s="15"/>
      <c r="O495" s="21">
        <f t="shared" si="281"/>
        <v>5.4328031350852939</v>
      </c>
      <c r="P495" s="21">
        <f t="shared" si="282"/>
        <v>4.1670508682956822</v>
      </c>
      <c r="Q495" s="23">
        <f t="shared" si="255"/>
        <v>5.4328031350852939</v>
      </c>
      <c r="R495" s="23" t="str">
        <f t="shared" si="256"/>
        <v/>
      </c>
      <c r="T495" t="str">
        <f t="shared" si="257"/>
        <v/>
      </c>
    </row>
    <row r="496" spans="1:20" x14ac:dyDescent="0.2">
      <c r="A496">
        <v>499</v>
      </c>
      <c r="B496" s="15" t="s">
        <v>191</v>
      </c>
      <c r="C496" s="15"/>
      <c r="D496" s="15" t="s">
        <v>5</v>
      </c>
      <c r="E496" s="15" t="s">
        <v>9</v>
      </c>
      <c r="F496" s="15"/>
      <c r="G496" s="15" t="s">
        <v>12</v>
      </c>
      <c r="H496" s="15">
        <v>20</v>
      </c>
      <c r="I496" s="15">
        <v>20</v>
      </c>
      <c r="J496" s="15">
        <v>4.12</v>
      </c>
      <c r="K496" s="15">
        <v>5.54</v>
      </c>
      <c r="L496" s="15">
        <v>1.22</v>
      </c>
      <c r="M496" s="15"/>
      <c r="N496" s="15"/>
      <c r="O496" s="21">
        <f t="shared" si="281"/>
        <v>3.5119870908252655</v>
      </c>
      <c r="P496" s="21">
        <f t="shared" si="282"/>
        <v>1.741201782695559</v>
      </c>
      <c r="Q496" s="23" t="str">
        <f t="shared" si="255"/>
        <v/>
      </c>
      <c r="R496" s="23">
        <f t="shared" si="256"/>
        <v>3.5119870908252655</v>
      </c>
      <c r="T496" t="str">
        <f t="shared" si="257"/>
        <v/>
      </c>
    </row>
    <row r="497" spans="1:20" x14ac:dyDescent="0.2">
      <c r="A497">
        <v>500</v>
      </c>
      <c r="B497" s="15" t="s">
        <v>191</v>
      </c>
      <c r="C497" s="15"/>
      <c r="D497" s="15" t="s">
        <v>5</v>
      </c>
      <c r="E497" s="15" t="s">
        <v>9</v>
      </c>
      <c r="F497" s="15"/>
      <c r="G497" s="15" t="s">
        <v>14</v>
      </c>
      <c r="H497" s="15">
        <v>25</v>
      </c>
      <c r="I497" s="15">
        <v>25</v>
      </c>
      <c r="J497" s="15">
        <v>4.47</v>
      </c>
      <c r="K497" s="15">
        <v>6.33</v>
      </c>
      <c r="L497" s="15">
        <f t="shared" ref="L497" si="283">L496</f>
        <v>1.22</v>
      </c>
      <c r="M497" s="15"/>
      <c r="N497" s="15"/>
      <c r="O497" s="21">
        <f t="shared" si="281"/>
        <v>4.0127939142461972</v>
      </c>
      <c r="P497" s="21">
        <f t="shared" si="282"/>
        <v>1.889119409866298</v>
      </c>
      <c r="Q497" s="23" t="str">
        <f t="shared" si="255"/>
        <v/>
      </c>
      <c r="R497" s="23">
        <f t="shared" si="256"/>
        <v>4.0127939142461972</v>
      </c>
      <c r="T497" t="str">
        <f t="shared" si="257"/>
        <v/>
      </c>
    </row>
    <row r="498" spans="1:20" x14ac:dyDescent="0.2">
      <c r="A498">
        <v>501</v>
      </c>
      <c r="B498" t="s">
        <v>192</v>
      </c>
      <c r="C498" t="s">
        <v>362</v>
      </c>
      <c r="D498" t="s">
        <v>5</v>
      </c>
      <c r="E498" t="s">
        <v>9</v>
      </c>
      <c r="G498" t="s">
        <v>10</v>
      </c>
      <c r="H498">
        <v>28</v>
      </c>
      <c r="I498">
        <v>29</v>
      </c>
      <c r="J498">
        <v>10.65</v>
      </c>
      <c r="K498">
        <v>6.51</v>
      </c>
      <c r="L498">
        <v>1.22</v>
      </c>
      <c r="M498">
        <v>0.69299999999999995</v>
      </c>
      <c r="N498">
        <v>0.13500000000000001</v>
      </c>
      <c r="O498" s="21">
        <f t="shared" si="260"/>
        <v>4.1087704918032788</v>
      </c>
      <c r="P498" s="21">
        <f t="shared" si="261"/>
        <v>4.4811475409836063</v>
      </c>
      <c r="Q498" s="23">
        <f t="shared" si="255"/>
        <v>4.1087704918032788</v>
      </c>
      <c r="R498" s="23" t="str">
        <f t="shared" si="256"/>
        <v/>
      </c>
      <c r="T498" t="str">
        <f t="shared" si="257"/>
        <v/>
      </c>
    </row>
    <row r="499" spans="1:20" x14ac:dyDescent="0.2">
      <c r="A499">
        <v>502</v>
      </c>
      <c r="B499" t="s">
        <v>192</v>
      </c>
      <c r="C499" t="s">
        <v>362</v>
      </c>
      <c r="D499" t="s">
        <v>5</v>
      </c>
      <c r="E499" t="s">
        <v>9</v>
      </c>
      <c r="G499" t="s">
        <v>11</v>
      </c>
      <c r="H499">
        <v>36</v>
      </c>
      <c r="I499">
        <v>35</v>
      </c>
      <c r="J499">
        <v>11.23</v>
      </c>
      <c r="K499">
        <v>8.0299999999999994</v>
      </c>
      <c r="L499">
        <f t="shared" ref="L499:N499" si="284">L498</f>
        <v>1.22</v>
      </c>
      <c r="M499">
        <f t="shared" si="284"/>
        <v>0.69299999999999995</v>
      </c>
      <c r="N499">
        <f t="shared" si="284"/>
        <v>0.13500000000000001</v>
      </c>
      <c r="O499" s="21">
        <f t="shared" si="260"/>
        <v>5.0681147540983593</v>
      </c>
      <c r="P499" s="21">
        <f t="shared" si="261"/>
        <v>4.7251912568306009</v>
      </c>
      <c r="Q499" s="23">
        <f t="shared" si="255"/>
        <v>5.0681147540983593</v>
      </c>
      <c r="R499" s="23" t="str">
        <f t="shared" si="256"/>
        <v/>
      </c>
      <c r="T499" t="str">
        <f t="shared" si="257"/>
        <v/>
      </c>
    </row>
    <row r="500" spans="1:20" x14ac:dyDescent="0.2">
      <c r="A500">
        <v>503</v>
      </c>
      <c r="B500" t="s">
        <v>192</v>
      </c>
      <c r="C500" t="s">
        <v>362</v>
      </c>
      <c r="D500" t="s">
        <v>5</v>
      </c>
      <c r="E500" t="s">
        <v>9</v>
      </c>
      <c r="G500" t="s">
        <v>12</v>
      </c>
      <c r="H500">
        <v>26</v>
      </c>
      <c r="I500">
        <v>27</v>
      </c>
      <c r="J500">
        <v>5.82</v>
      </c>
      <c r="K500">
        <v>4.9000000000000004</v>
      </c>
      <c r="L500">
        <v>1.08</v>
      </c>
      <c r="M500">
        <v>0.40699999999999997</v>
      </c>
      <c r="N500">
        <v>0.107</v>
      </c>
      <c r="O500" s="21">
        <f t="shared" si="260"/>
        <v>2.0517489711934158</v>
      </c>
      <c r="P500" s="21">
        <f t="shared" si="261"/>
        <v>1.624650205761317</v>
      </c>
      <c r="Q500" s="23" t="str">
        <f t="shared" si="255"/>
        <v/>
      </c>
      <c r="R500" s="23">
        <f t="shared" si="256"/>
        <v>2.0517489711934158</v>
      </c>
      <c r="T500" t="str">
        <f t="shared" si="257"/>
        <v/>
      </c>
    </row>
    <row r="501" spans="1:20" x14ac:dyDescent="0.2">
      <c r="A501">
        <v>504</v>
      </c>
      <c r="B501" t="s">
        <v>192</v>
      </c>
      <c r="C501" t="s">
        <v>362</v>
      </c>
      <c r="D501" t="s">
        <v>5</v>
      </c>
      <c r="E501" t="s">
        <v>9</v>
      </c>
      <c r="G501" t="s">
        <v>14</v>
      </c>
      <c r="H501">
        <v>25</v>
      </c>
      <c r="I501">
        <v>26</v>
      </c>
      <c r="J501">
        <v>5.72</v>
      </c>
      <c r="K501">
        <v>4.5</v>
      </c>
      <c r="L501">
        <f t="shared" ref="L501:N501" si="285">L500</f>
        <v>1.08</v>
      </c>
      <c r="M501">
        <f t="shared" si="285"/>
        <v>0.40699999999999997</v>
      </c>
      <c r="N501">
        <f t="shared" si="285"/>
        <v>0.107</v>
      </c>
      <c r="O501" s="21">
        <f t="shared" si="260"/>
        <v>1.8842592592592593</v>
      </c>
      <c r="P501" s="21">
        <f t="shared" si="261"/>
        <v>1.5967352537722908</v>
      </c>
      <c r="Q501" s="23" t="str">
        <f t="shared" si="255"/>
        <v/>
      </c>
      <c r="R501" s="23">
        <f t="shared" si="256"/>
        <v>1.8842592592592593</v>
      </c>
      <c r="T501" t="str">
        <f t="shared" si="257"/>
        <v/>
      </c>
    </row>
    <row r="502" spans="1:20" x14ac:dyDescent="0.2">
      <c r="A502">
        <v>505</v>
      </c>
      <c r="B502" t="s">
        <v>193</v>
      </c>
      <c r="C502" s="24" t="s">
        <v>193</v>
      </c>
      <c r="D502" t="s">
        <v>15</v>
      </c>
      <c r="E502" t="s">
        <v>9</v>
      </c>
      <c r="G502" t="s">
        <v>10</v>
      </c>
      <c r="H502">
        <v>19</v>
      </c>
      <c r="I502">
        <v>22</v>
      </c>
      <c r="J502">
        <v>7.5</v>
      </c>
      <c r="K502">
        <v>3.6</v>
      </c>
      <c r="L502">
        <v>0.7</v>
      </c>
      <c r="M502">
        <v>0.41299999999999998</v>
      </c>
      <c r="N502">
        <v>0.10299999999999999</v>
      </c>
      <c r="O502" s="21">
        <f t="shared" si="260"/>
        <v>2.3600000000000003</v>
      </c>
      <c r="P502" s="21">
        <f t="shared" si="261"/>
        <v>3.2777777777777781</v>
      </c>
      <c r="Q502" s="23">
        <f t="shared" si="255"/>
        <v>2.3600000000000003</v>
      </c>
      <c r="R502" s="23" t="str">
        <f t="shared" si="256"/>
        <v/>
      </c>
      <c r="T502" t="str">
        <f t="shared" si="257"/>
        <v/>
      </c>
    </row>
    <row r="503" spans="1:20" x14ac:dyDescent="0.2">
      <c r="A503">
        <v>506</v>
      </c>
      <c r="B503" t="s">
        <v>193</v>
      </c>
      <c r="C503" s="24" t="s">
        <v>193</v>
      </c>
      <c r="D503" t="s">
        <v>15</v>
      </c>
      <c r="E503" t="s">
        <v>9</v>
      </c>
      <c r="G503" t="s">
        <v>11</v>
      </c>
      <c r="H503">
        <v>17</v>
      </c>
      <c r="I503">
        <v>18</v>
      </c>
      <c r="J503">
        <v>9.4</v>
      </c>
      <c r="K503">
        <v>3.55</v>
      </c>
      <c r="L503">
        <f t="shared" ref="L503:N503" si="286">L502</f>
        <v>0.7</v>
      </c>
      <c r="M503">
        <f t="shared" si="286"/>
        <v>0.41299999999999998</v>
      </c>
      <c r="N503">
        <f t="shared" si="286"/>
        <v>0.10299999999999999</v>
      </c>
      <c r="O503" s="21">
        <f t="shared" si="260"/>
        <v>2.3272222222222219</v>
      </c>
      <c r="P503" s="21">
        <f t="shared" si="261"/>
        <v>4.1081481481481488</v>
      </c>
      <c r="Q503" s="23">
        <f t="shared" si="255"/>
        <v>2.3272222222222219</v>
      </c>
      <c r="R503" s="23" t="str">
        <f t="shared" si="256"/>
        <v/>
      </c>
      <c r="T503" t="str">
        <f t="shared" si="257"/>
        <v/>
      </c>
    </row>
    <row r="504" spans="1:20" x14ac:dyDescent="0.2">
      <c r="A504">
        <v>507</v>
      </c>
      <c r="B504" t="s">
        <v>193</v>
      </c>
      <c r="C504" s="24" t="s">
        <v>193</v>
      </c>
      <c r="D504" t="s">
        <v>15</v>
      </c>
      <c r="E504" t="s">
        <v>9</v>
      </c>
      <c r="G504" t="s">
        <v>12</v>
      </c>
      <c r="H504">
        <v>24</v>
      </c>
      <c r="I504">
        <v>22</v>
      </c>
      <c r="J504">
        <v>5.4</v>
      </c>
      <c r="K504">
        <v>2.2999999999999998</v>
      </c>
      <c r="L504">
        <v>0.7</v>
      </c>
      <c r="M504">
        <v>0.40100000000000002</v>
      </c>
      <c r="N504">
        <v>7.9000000000000001E-2</v>
      </c>
      <c r="O504" s="21">
        <f t="shared" si="260"/>
        <v>1.4639682539682541</v>
      </c>
      <c r="P504" s="21">
        <f t="shared" si="261"/>
        <v>2.2914285714285718</v>
      </c>
      <c r="Q504" s="23" t="str">
        <f t="shared" si="255"/>
        <v/>
      </c>
      <c r="R504" s="23">
        <f t="shared" si="256"/>
        <v>1.4639682539682541</v>
      </c>
      <c r="T504" t="str">
        <f t="shared" si="257"/>
        <v/>
      </c>
    </row>
    <row r="505" spans="1:20" x14ac:dyDescent="0.2">
      <c r="A505">
        <v>508</v>
      </c>
      <c r="B505" t="s">
        <v>193</v>
      </c>
      <c r="C505" s="24" t="s">
        <v>193</v>
      </c>
      <c r="D505" t="s">
        <v>15</v>
      </c>
      <c r="E505" t="s">
        <v>9</v>
      </c>
      <c r="G505" t="s">
        <v>14</v>
      </c>
      <c r="H505">
        <v>27</v>
      </c>
      <c r="I505">
        <v>22</v>
      </c>
      <c r="J505">
        <v>4.05</v>
      </c>
      <c r="K505">
        <v>3.03</v>
      </c>
      <c r="L505">
        <f t="shared" ref="L505:N505" si="287">L504</f>
        <v>0.7</v>
      </c>
      <c r="M505">
        <f t="shared" si="287"/>
        <v>0.40100000000000002</v>
      </c>
      <c r="N505">
        <f t="shared" si="287"/>
        <v>7.9000000000000001E-2</v>
      </c>
      <c r="O505" s="21">
        <f t="shared" si="260"/>
        <v>1.9286190476190479</v>
      </c>
      <c r="P505" s="21">
        <f t="shared" si="261"/>
        <v>1.7185714285714289</v>
      </c>
      <c r="Q505" s="23" t="str">
        <f t="shared" si="255"/>
        <v/>
      </c>
      <c r="R505" s="23">
        <f t="shared" si="256"/>
        <v>1.9286190476190479</v>
      </c>
      <c r="T505" t="str">
        <f t="shared" si="257"/>
        <v/>
      </c>
    </row>
    <row r="506" spans="1:20" x14ac:dyDescent="0.2">
      <c r="A506">
        <v>509</v>
      </c>
      <c r="B506" t="s">
        <v>194</v>
      </c>
      <c r="C506" t="s">
        <v>194</v>
      </c>
      <c r="D506" t="s">
        <v>15</v>
      </c>
      <c r="E506" t="s">
        <v>9</v>
      </c>
      <c r="G506" t="s">
        <v>10</v>
      </c>
      <c r="H506">
        <v>21</v>
      </c>
      <c r="I506">
        <v>26</v>
      </c>
      <c r="J506">
        <v>7.55</v>
      </c>
      <c r="K506">
        <v>5.2</v>
      </c>
      <c r="L506">
        <v>1.05</v>
      </c>
      <c r="M506">
        <v>0.63300000000000001</v>
      </c>
      <c r="N506">
        <v>0.14199999999999999</v>
      </c>
      <c r="O506" s="21">
        <f t="shared" si="260"/>
        <v>3.4831746031746036</v>
      </c>
      <c r="P506" s="21">
        <f t="shared" si="261"/>
        <v>3.3715343915343912</v>
      </c>
      <c r="Q506" s="23">
        <f t="shared" si="255"/>
        <v>3.4831746031746036</v>
      </c>
      <c r="R506" s="23" t="str">
        <f t="shared" si="256"/>
        <v/>
      </c>
      <c r="T506" t="str">
        <f t="shared" si="257"/>
        <v/>
      </c>
    </row>
    <row r="507" spans="1:20" x14ac:dyDescent="0.2">
      <c r="A507">
        <v>510</v>
      </c>
      <c r="B507" t="s">
        <v>194</v>
      </c>
      <c r="C507" t="s">
        <v>194</v>
      </c>
      <c r="D507" t="s">
        <v>15</v>
      </c>
      <c r="E507" t="s">
        <v>9</v>
      </c>
      <c r="G507" t="s">
        <v>11</v>
      </c>
      <c r="H507">
        <v>25</v>
      </c>
      <c r="I507">
        <v>22</v>
      </c>
      <c r="J507">
        <v>6.11</v>
      </c>
      <c r="K507">
        <v>3.75</v>
      </c>
      <c r="L507">
        <f t="shared" ref="L507:N507" si="288">L506</f>
        <v>1.05</v>
      </c>
      <c r="M507">
        <f t="shared" si="288"/>
        <v>0.63300000000000001</v>
      </c>
      <c r="N507">
        <f t="shared" si="288"/>
        <v>0.14199999999999999</v>
      </c>
      <c r="O507" s="21">
        <f t="shared" si="260"/>
        <v>2.5119047619047619</v>
      </c>
      <c r="P507" s="21">
        <f t="shared" si="261"/>
        <v>2.7284867724867725</v>
      </c>
      <c r="Q507" s="23">
        <f t="shared" si="255"/>
        <v>2.5119047619047619</v>
      </c>
      <c r="R507" s="23" t="str">
        <f t="shared" si="256"/>
        <v/>
      </c>
      <c r="T507" t="str">
        <f t="shared" si="257"/>
        <v/>
      </c>
    </row>
    <row r="508" spans="1:20" x14ac:dyDescent="0.2">
      <c r="A508">
        <v>511</v>
      </c>
      <c r="B508" t="s">
        <v>194</v>
      </c>
      <c r="C508" t="s">
        <v>194</v>
      </c>
      <c r="D508" t="s">
        <v>15</v>
      </c>
      <c r="E508" t="s">
        <v>9</v>
      </c>
      <c r="G508" t="s">
        <v>12</v>
      </c>
      <c r="H508">
        <v>46</v>
      </c>
      <c r="I508">
        <v>31</v>
      </c>
      <c r="J508">
        <v>10.55</v>
      </c>
      <c r="K508">
        <v>3.9</v>
      </c>
      <c r="L508">
        <v>0.7</v>
      </c>
      <c r="M508">
        <v>0.38700000000000001</v>
      </c>
      <c r="N508">
        <v>9.9000000000000005E-2</v>
      </c>
      <c r="O508" s="21">
        <f t="shared" si="260"/>
        <v>2.3957142857142864</v>
      </c>
      <c r="P508" s="21">
        <f t="shared" si="261"/>
        <v>4.3204761904761924</v>
      </c>
      <c r="Q508" s="23" t="str">
        <f t="shared" si="255"/>
        <v/>
      </c>
      <c r="R508" s="23">
        <f t="shared" si="256"/>
        <v>2.3957142857142864</v>
      </c>
      <c r="T508" t="str">
        <f t="shared" si="257"/>
        <v/>
      </c>
    </row>
    <row r="509" spans="1:20" x14ac:dyDescent="0.2">
      <c r="A509">
        <v>512</v>
      </c>
      <c r="B509" t="s">
        <v>194</v>
      </c>
      <c r="C509" t="s">
        <v>194</v>
      </c>
      <c r="D509" t="s">
        <v>15</v>
      </c>
      <c r="E509" t="s">
        <v>9</v>
      </c>
      <c r="G509" t="s">
        <v>14</v>
      </c>
      <c r="H509">
        <v>56</v>
      </c>
      <c r="I509">
        <v>35</v>
      </c>
      <c r="J509">
        <v>10.55</v>
      </c>
      <c r="K509">
        <v>3.55</v>
      </c>
      <c r="L509">
        <f t="shared" ref="L509:N509" si="289">L508</f>
        <v>0.7</v>
      </c>
      <c r="M509">
        <f t="shared" si="289"/>
        <v>0.38700000000000001</v>
      </c>
      <c r="N509">
        <f t="shared" si="289"/>
        <v>9.9000000000000005E-2</v>
      </c>
      <c r="O509" s="21">
        <f t="shared" si="260"/>
        <v>2.180714285714286</v>
      </c>
      <c r="P509" s="21">
        <f t="shared" si="261"/>
        <v>4.3204761904761924</v>
      </c>
      <c r="Q509" s="23" t="str">
        <f t="shared" si="255"/>
        <v/>
      </c>
      <c r="R509" s="23">
        <f t="shared" si="256"/>
        <v>2.180714285714286</v>
      </c>
      <c r="T509" t="str">
        <f t="shared" si="257"/>
        <v/>
      </c>
    </row>
    <row r="510" spans="1:20" x14ac:dyDescent="0.2">
      <c r="A510">
        <v>513</v>
      </c>
      <c r="B510" t="s">
        <v>195</v>
      </c>
      <c r="C510" s="24" t="s">
        <v>195</v>
      </c>
      <c r="D510" t="s">
        <v>15</v>
      </c>
      <c r="E510" t="s">
        <v>9</v>
      </c>
      <c r="G510" t="s">
        <v>10</v>
      </c>
      <c r="H510">
        <v>36</v>
      </c>
      <c r="I510">
        <v>34</v>
      </c>
      <c r="J510">
        <v>10.25</v>
      </c>
      <c r="K510">
        <v>5.4</v>
      </c>
      <c r="L510">
        <v>0.9</v>
      </c>
      <c r="M510">
        <v>0.48099999999999998</v>
      </c>
      <c r="N510">
        <v>0.122</v>
      </c>
      <c r="O510" s="21">
        <f>K510*(0.841/1.4)*(10/9)</f>
        <v>3.604285714285715</v>
      </c>
      <c r="P510" s="21">
        <f t="shared" si="261"/>
        <v>4.0578189300411527</v>
      </c>
      <c r="Q510" s="23">
        <f t="shared" si="255"/>
        <v>3.604285714285715</v>
      </c>
      <c r="R510" s="23" t="str">
        <f t="shared" si="256"/>
        <v/>
      </c>
      <c r="T510" t="str">
        <f t="shared" si="257"/>
        <v/>
      </c>
    </row>
    <row r="511" spans="1:20" x14ac:dyDescent="0.2">
      <c r="A511">
        <v>514</v>
      </c>
      <c r="B511" t="s">
        <v>195</v>
      </c>
      <c r="C511" s="24" t="s">
        <v>195</v>
      </c>
      <c r="D511" t="s">
        <v>15</v>
      </c>
      <c r="E511" t="s">
        <v>9</v>
      </c>
      <c r="G511" t="s">
        <v>11</v>
      </c>
      <c r="H511">
        <v>36</v>
      </c>
      <c r="I511">
        <v>29</v>
      </c>
      <c r="J511">
        <v>9.5500000000000007</v>
      </c>
      <c r="K511">
        <v>3.85</v>
      </c>
      <c r="L511">
        <f t="shared" ref="L511:N511" si="290">L510</f>
        <v>0.9</v>
      </c>
      <c r="M511">
        <f t="shared" si="290"/>
        <v>0.48099999999999998</v>
      </c>
      <c r="N511">
        <f t="shared" si="290"/>
        <v>0.122</v>
      </c>
      <c r="O511" s="21">
        <f>K511*(0.841/1.4)*(10/9)</f>
        <v>2.5697222222222225</v>
      </c>
      <c r="P511" s="21">
        <f t="shared" si="261"/>
        <v>3.7806995884773666</v>
      </c>
      <c r="Q511" s="23">
        <f t="shared" ref="Q511:Q574" si="291">IF(LEFT(G511,7)="IMPROVE",O511,"")</f>
        <v>2.5697222222222225</v>
      </c>
      <c r="R511" s="23" t="str">
        <f t="shared" ref="R511:R574" si="292">IF(LEFT(G511,7)="FARMER ",O511,"")</f>
        <v/>
      </c>
      <c r="T511" t="str">
        <f t="shared" ref="T511:T574" si="293">IF(O511&gt;14,"VVVVVVVV","")</f>
        <v/>
      </c>
    </row>
    <row r="512" spans="1:20" x14ac:dyDescent="0.2">
      <c r="A512">
        <v>515</v>
      </c>
      <c r="B512" t="s">
        <v>195</v>
      </c>
      <c r="C512" s="24" t="s">
        <v>195</v>
      </c>
      <c r="D512" t="s">
        <v>15</v>
      </c>
      <c r="E512" t="s">
        <v>9</v>
      </c>
      <c r="G512" t="s">
        <v>12</v>
      </c>
      <c r="H512">
        <v>26</v>
      </c>
      <c r="I512">
        <v>22</v>
      </c>
      <c r="J512">
        <v>6.15</v>
      </c>
      <c r="K512">
        <v>5.95</v>
      </c>
      <c r="L512">
        <v>1.4</v>
      </c>
      <c r="M512">
        <v>0.84099999999999997</v>
      </c>
      <c r="N512">
        <v>0.158</v>
      </c>
      <c r="O512" s="21">
        <f t="shared" si="260"/>
        <v>3.9713888888888893</v>
      </c>
      <c r="P512" s="21">
        <f t="shared" si="261"/>
        <v>2.7365873015873019</v>
      </c>
      <c r="Q512" s="23" t="str">
        <f t="shared" si="291"/>
        <v/>
      </c>
      <c r="R512" s="23">
        <f t="shared" si="292"/>
        <v>3.9713888888888893</v>
      </c>
      <c r="T512" t="str">
        <f t="shared" si="293"/>
        <v/>
      </c>
    </row>
    <row r="513" spans="1:20" x14ac:dyDescent="0.2">
      <c r="A513">
        <v>516</v>
      </c>
      <c r="B513" t="s">
        <v>195</v>
      </c>
      <c r="C513" s="24" t="s">
        <v>195</v>
      </c>
      <c r="D513" t="s">
        <v>15</v>
      </c>
      <c r="E513" t="s">
        <v>9</v>
      </c>
      <c r="G513" t="s">
        <v>14</v>
      </c>
      <c r="H513">
        <v>23</v>
      </c>
      <c r="I513">
        <v>23</v>
      </c>
      <c r="J513">
        <v>4.3</v>
      </c>
      <c r="K513">
        <v>3.9</v>
      </c>
      <c r="L513">
        <f t="shared" ref="L513:N513" si="294">L512</f>
        <v>1.4</v>
      </c>
      <c r="M513">
        <f t="shared" si="294"/>
        <v>0.84099999999999997</v>
      </c>
      <c r="N513">
        <f t="shared" si="294"/>
        <v>0.158</v>
      </c>
      <c r="O513" s="21">
        <f t="shared" si="260"/>
        <v>2.6030952380952384</v>
      </c>
      <c r="P513" s="21">
        <f t="shared" si="261"/>
        <v>1.9133862433862436</v>
      </c>
      <c r="Q513" s="23" t="str">
        <f t="shared" si="291"/>
        <v/>
      </c>
      <c r="R513" s="23">
        <f t="shared" si="292"/>
        <v>2.6030952380952384</v>
      </c>
      <c r="T513" t="str">
        <f t="shared" si="293"/>
        <v/>
      </c>
    </row>
    <row r="514" spans="1:20" x14ac:dyDescent="0.2">
      <c r="A514">
        <v>517</v>
      </c>
      <c r="B514" s="1" t="s">
        <v>196</v>
      </c>
      <c r="C514" s="1"/>
      <c r="D514" s="1" t="s">
        <v>15</v>
      </c>
      <c r="E514" s="1" t="s">
        <v>9</v>
      </c>
      <c r="F514" s="1"/>
      <c r="G514" s="1" t="s">
        <v>10</v>
      </c>
      <c r="H514" s="1">
        <v>27</v>
      </c>
      <c r="I514" s="1">
        <v>25</v>
      </c>
      <c r="J514" s="1">
        <v>4.55</v>
      </c>
      <c r="K514" s="1">
        <v>5.3</v>
      </c>
      <c r="L514" s="1">
        <v>0.6</v>
      </c>
      <c r="M514" s="1"/>
      <c r="N514" s="1"/>
      <c r="O514" s="21">
        <f t="shared" ref="O514:O577" si="295">K514*(M514/L514)*(10/9)</f>
        <v>0</v>
      </c>
      <c r="P514" s="21">
        <f t="shared" ref="P514:P577" si="296">J514*(M514/(L514*1.5))*(10/9)</f>
        <v>0</v>
      </c>
      <c r="Q514" s="23">
        <f t="shared" si="291"/>
        <v>0</v>
      </c>
      <c r="R514" s="23" t="str">
        <f t="shared" si="292"/>
        <v/>
      </c>
      <c r="S514" s="1"/>
      <c r="T514" t="str">
        <f t="shared" si="293"/>
        <v/>
      </c>
    </row>
    <row r="515" spans="1:20" x14ac:dyDescent="0.2">
      <c r="A515">
        <v>518</v>
      </c>
      <c r="B515" s="14" t="s">
        <v>196</v>
      </c>
      <c r="C515" s="14"/>
      <c r="D515" s="14" t="s">
        <v>15</v>
      </c>
      <c r="E515" s="14" t="s">
        <v>9</v>
      </c>
      <c r="F515" s="14"/>
      <c r="G515" s="14" t="s">
        <v>10</v>
      </c>
      <c r="H515" s="14">
        <v>27</v>
      </c>
      <c r="I515" s="14">
        <v>25</v>
      </c>
      <c r="J515" s="14">
        <v>4.55</v>
      </c>
      <c r="K515" s="14">
        <v>5.3</v>
      </c>
      <c r="L515" s="14">
        <v>0.6</v>
      </c>
      <c r="M515" s="14">
        <v>0.58199999999999996</v>
      </c>
      <c r="N515" s="14">
        <v>0.09</v>
      </c>
      <c r="O515" s="21">
        <f t="shared" si="295"/>
        <v>5.7122222222222225</v>
      </c>
      <c r="P515" s="21">
        <f t="shared" si="296"/>
        <v>3.2692592592592598</v>
      </c>
      <c r="Q515" s="23">
        <f t="shared" si="291"/>
        <v>5.7122222222222225</v>
      </c>
      <c r="R515" s="23" t="str">
        <f t="shared" si="292"/>
        <v/>
      </c>
      <c r="S515" s="14"/>
      <c r="T515" t="str">
        <f t="shared" si="293"/>
        <v/>
      </c>
    </row>
    <row r="516" spans="1:20" x14ac:dyDescent="0.2">
      <c r="A516">
        <v>519</v>
      </c>
      <c r="B516" t="s">
        <v>197</v>
      </c>
      <c r="C516" s="24" t="s">
        <v>363</v>
      </c>
      <c r="D516" t="s">
        <v>15</v>
      </c>
      <c r="E516" t="s">
        <v>9</v>
      </c>
      <c r="G516" t="s">
        <v>10</v>
      </c>
      <c r="H516">
        <v>30</v>
      </c>
      <c r="I516">
        <v>34</v>
      </c>
      <c r="J516">
        <v>7.3</v>
      </c>
      <c r="K516">
        <v>5.0999999999999996</v>
      </c>
      <c r="L516">
        <v>1.05</v>
      </c>
      <c r="M516">
        <v>0.56200000000000006</v>
      </c>
      <c r="N516">
        <v>0.09</v>
      </c>
      <c r="O516" s="21">
        <f t="shared" si="295"/>
        <v>3.0330158730158736</v>
      </c>
      <c r="P516" s="21">
        <f t="shared" si="296"/>
        <v>2.8942504409171077</v>
      </c>
      <c r="Q516" s="23">
        <f t="shared" si="291"/>
        <v>3.0330158730158736</v>
      </c>
      <c r="R516" s="23" t="str">
        <f t="shared" si="292"/>
        <v/>
      </c>
      <c r="T516" t="str">
        <f t="shared" si="293"/>
        <v/>
      </c>
    </row>
    <row r="517" spans="1:20" x14ac:dyDescent="0.2">
      <c r="A517">
        <v>520</v>
      </c>
      <c r="B517" t="s">
        <v>197</v>
      </c>
      <c r="C517" s="24" t="s">
        <v>363</v>
      </c>
      <c r="D517" t="s">
        <v>15</v>
      </c>
      <c r="E517" t="s">
        <v>9</v>
      </c>
      <c r="G517" t="s">
        <v>11</v>
      </c>
      <c r="H517">
        <v>24</v>
      </c>
      <c r="I517">
        <v>35</v>
      </c>
      <c r="J517">
        <v>6.65</v>
      </c>
      <c r="K517">
        <v>5.25</v>
      </c>
      <c r="L517">
        <f t="shared" ref="L517:N517" si="297">L516</f>
        <v>1.05</v>
      </c>
      <c r="M517">
        <f t="shared" si="297"/>
        <v>0.56200000000000006</v>
      </c>
      <c r="N517">
        <f t="shared" si="297"/>
        <v>0.09</v>
      </c>
      <c r="O517" s="21">
        <f t="shared" si="295"/>
        <v>3.1222222222222231</v>
      </c>
      <c r="P517" s="21">
        <f t="shared" si="296"/>
        <v>2.6365432098765433</v>
      </c>
      <c r="Q517" s="23">
        <f t="shared" si="291"/>
        <v>3.1222222222222231</v>
      </c>
      <c r="R517" s="23" t="str">
        <f t="shared" si="292"/>
        <v/>
      </c>
      <c r="T517" t="str">
        <f t="shared" si="293"/>
        <v/>
      </c>
    </row>
    <row r="518" spans="1:20" x14ac:dyDescent="0.2">
      <c r="A518">
        <v>521</v>
      </c>
      <c r="B518" t="s">
        <v>197</v>
      </c>
      <c r="C518" s="24" t="s">
        <v>363</v>
      </c>
      <c r="D518" t="s">
        <v>15</v>
      </c>
      <c r="E518" t="s">
        <v>9</v>
      </c>
      <c r="G518" t="s">
        <v>12</v>
      </c>
      <c r="H518">
        <v>36</v>
      </c>
      <c r="I518">
        <v>34</v>
      </c>
      <c r="J518">
        <v>8.5</v>
      </c>
      <c r="K518">
        <v>5</v>
      </c>
      <c r="L518">
        <v>0.75</v>
      </c>
      <c r="M518">
        <v>0.43</v>
      </c>
      <c r="N518">
        <v>8.1000000000000003E-2</v>
      </c>
      <c r="O518" s="21">
        <f t="shared" si="295"/>
        <v>3.1851851851851856</v>
      </c>
      <c r="P518" s="21">
        <f t="shared" si="296"/>
        <v>3.6098765432098769</v>
      </c>
      <c r="Q518" s="23" t="str">
        <f t="shared" si="291"/>
        <v/>
      </c>
      <c r="R518" s="23">
        <f t="shared" si="292"/>
        <v>3.1851851851851856</v>
      </c>
      <c r="T518" t="str">
        <f t="shared" si="293"/>
        <v/>
      </c>
    </row>
    <row r="519" spans="1:20" x14ac:dyDescent="0.2">
      <c r="A519">
        <v>522</v>
      </c>
      <c r="B519" t="s">
        <v>197</v>
      </c>
      <c r="C519" s="24" t="s">
        <v>363</v>
      </c>
      <c r="D519" t="s">
        <v>15</v>
      </c>
      <c r="E519" t="s">
        <v>9</v>
      </c>
      <c r="G519" t="s">
        <v>14</v>
      </c>
      <c r="H519">
        <v>38</v>
      </c>
      <c r="I519">
        <v>35</v>
      </c>
      <c r="J519">
        <v>6.35</v>
      </c>
      <c r="K519">
        <v>4.8</v>
      </c>
      <c r="L519">
        <f t="shared" ref="L519:N519" si="298">L518</f>
        <v>0.75</v>
      </c>
      <c r="M519">
        <f t="shared" si="298"/>
        <v>0.43</v>
      </c>
      <c r="N519">
        <f t="shared" si="298"/>
        <v>8.1000000000000003E-2</v>
      </c>
      <c r="O519" s="21">
        <f t="shared" si="295"/>
        <v>3.0577777777777784</v>
      </c>
      <c r="P519" s="21">
        <f t="shared" si="296"/>
        <v>2.6967901234567901</v>
      </c>
      <c r="Q519" s="23" t="str">
        <f t="shared" si="291"/>
        <v/>
      </c>
      <c r="R519" s="23">
        <f t="shared" si="292"/>
        <v>3.0577777777777784</v>
      </c>
      <c r="T519" t="str">
        <f t="shared" si="293"/>
        <v/>
      </c>
    </row>
    <row r="520" spans="1:20" x14ac:dyDescent="0.2">
      <c r="A520">
        <v>523</v>
      </c>
      <c r="B520" t="s">
        <v>198</v>
      </c>
      <c r="C520" s="24" t="s">
        <v>198</v>
      </c>
      <c r="D520" t="s">
        <v>15</v>
      </c>
      <c r="E520" t="s">
        <v>9</v>
      </c>
      <c r="G520" t="s">
        <v>10</v>
      </c>
      <c r="H520">
        <v>47</v>
      </c>
      <c r="I520">
        <v>49</v>
      </c>
      <c r="J520">
        <v>14.45</v>
      </c>
      <c r="K520">
        <v>7.6</v>
      </c>
      <c r="L520">
        <v>1</v>
      </c>
      <c r="M520">
        <v>0.57899999999999996</v>
      </c>
      <c r="N520">
        <v>8.8999999999999996E-2</v>
      </c>
      <c r="O520" s="21">
        <f t="shared" si="295"/>
        <v>4.8893333333333331</v>
      </c>
      <c r="P520" s="21">
        <f t="shared" si="296"/>
        <v>6.1974444444444439</v>
      </c>
      <c r="Q520" s="23">
        <f t="shared" si="291"/>
        <v>4.8893333333333331</v>
      </c>
      <c r="R520" s="23" t="str">
        <f t="shared" si="292"/>
        <v/>
      </c>
      <c r="T520" t="str">
        <f t="shared" si="293"/>
        <v/>
      </c>
    </row>
    <row r="521" spans="1:20" x14ac:dyDescent="0.2">
      <c r="A521">
        <v>524</v>
      </c>
      <c r="B521" t="s">
        <v>198</v>
      </c>
      <c r="C521" s="24" t="s">
        <v>198</v>
      </c>
      <c r="D521" t="s">
        <v>15</v>
      </c>
      <c r="E521" t="s">
        <v>9</v>
      </c>
      <c r="G521" t="s">
        <v>11</v>
      </c>
      <c r="H521">
        <v>32</v>
      </c>
      <c r="I521">
        <v>26</v>
      </c>
      <c r="J521">
        <v>12.65</v>
      </c>
      <c r="K521">
        <v>4.3</v>
      </c>
      <c r="L521">
        <f t="shared" ref="L521:N521" si="299">L520</f>
        <v>1</v>
      </c>
      <c r="M521">
        <f t="shared" si="299"/>
        <v>0.57899999999999996</v>
      </c>
      <c r="N521">
        <f t="shared" si="299"/>
        <v>8.8999999999999996E-2</v>
      </c>
      <c r="O521" s="21">
        <f t="shared" si="295"/>
        <v>2.7663333333333329</v>
      </c>
      <c r="P521" s="21">
        <f t="shared" si="296"/>
        <v>5.4254444444444436</v>
      </c>
      <c r="Q521" s="23">
        <f t="shared" si="291"/>
        <v>2.7663333333333329</v>
      </c>
      <c r="R521" s="23" t="str">
        <f t="shared" si="292"/>
        <v/>
      </c>
      <c r="T521" t="str">
        <f t="shared" si="293"/>
        <v/>
      </c>
    </row>
    <row r="522" spans="1:20" x14ac:dyDescent="0.2">
      <c r="A522">
        <v>525</v>
      </c>
      <c r="B522" t="s">
        <v>198</v>
      </c>
      <c r="C522" s="24" t="s">
        <v>198</v>
      </c>
      <c r="D522" t="s">
        <v>15</v>
      </c>
      <c r="E522" t="s">
        <v>9</v>
      </c>
      <c r="G522" t="s">
        <v>12</v>
      </c>
      <c r="H522">
        <v>44</v>
      </c>
      <c r="I522">
        <v>14</v>
      </c>
      <c r="J522">
        <v>13.5</v>
      </c>
      <c r="K522">
        <v>1.55</v>
      </c>
      <c r="L522">
        <v>0.45</v>
      </c>
      <c r="M522">
        <v>0.307</v>
      </c>
      <c r="N522">
        <v>4.9000000000000002E-2</v>
      </c>
      <c r="O522" s="21">
        <f t="shared" si="295"/>
        <v>1.1749382716049384</v>
      </c>
      <c r="P522" s="21">
        <f t="shared" si="296"/>
        <v>6.822222222222222</v>
      </c>
      <c r="Q522" s="23" t="str">
        <f t="shared" si="291"/>
        <v/>
      </c>
      <c r="R522" s="23">
        <f t="shared" si="292"/>
        <v>1.1749382716049384</v>
      </c>
      <c r="T522" t="str">
        <f t="shared" si="293"/>
        <v/>
      </c>
    </row>
    <row r="523" spans="1:20" x14ac:dyDescent="0.2">
      <c r="A523">
        <v>526</v>
      </c>
      <c r="B523" t="s">
        <v>198</v>
      </c>
      <c r="C523" s="24" t="s">
        <v>198</v>
      </c>
      <c r="D523" t="s">
        <v>15</v>
      </c>
      <c r="E523" t="s">
        <v>9</v>
      </c>
      <c r="G523" t="s">
        <v>14</v>
      </c>
      <c r="H523">
        <v>34</v>
      </c>
      <c r="I523">
        <v>22</v>
      </c>
      <c r="J523">
        <v>6.8</v>
      </c>
      <c r="K523">
        <v>1.75</v>
      </c>
      <c r="L523">
        <f t="shared" ref="L523:N523" si="300">L522</f>
        <v>0.45</v>
      </c>
      <c r="M523">
        <f t="shared" si="300"/>
        <v>0.307</v>
      </c>
      <c r="N523">
        <f t="shared" si="300"/>
        <v>4.9000000000000002E-2</v>
      </c>
      <c r="O523" s="21">
        <f t="shared" si="295"/>
        <v>1.3265432098765431</v>
      </c>
      <c r="P523" s="21">
        <f t="shared" si="296"/>
        <v>3.436378600823045</v>
      </c>
      <c r="Q523" s="23" t="str">
        <f t="shared" si="291"/>
        <v/>
      </c>
      <c r="R523" s="23">
        <f t="shared" si="292"/>
        <v>1.3265432098765431</v>
      </c>
      <c r="T523" t="str">
        <f t="shared" si="293"/>
        <v/>
      </c>
    </row>
    <row r="524" spans="1:20" x14ac:dyDescent="0.2">
      <c r="A524">
        <v>527</v>
      </c>
      <c r="B524" t="s">
        <v>199</v>
      </c>
      <c r="C524" s="24" t="s">
        <v>199</v>
      </c>
      <c r="D524" t="s">
        <v>15</v>
      </c>
      <c r="E524" t="s">
        <v>9</v>
      </c>
      <c r="G524" t="s">
        <v>10</v>
      </c>
      <c r="H524">
        <v>24</v>
      </c>
      <c r="I524">
        <v>22</v>
      </c>
      <c r="J524">
        <v>7.5</v>
      </c>
      <c r="K524">
        <v>4.05</v>
      </c>
      <c r="L524">
        <v>1</v>
      </c>
      <c r="M524">
        <v>0.58599999999999997</v>
      </c>
      <c r="N524">
        <v>0.113</v>
      </c>
      <c r="O524" s="21">
        <f>K524*(M524/L524)*(10/9)*36/H524</f>
        <v>3.9555000000000002</v>
      </c>
      <c r="P524" s="21">
        <f t="shared" si="296"/>
        <v>3.255555555555556</v>
      </c>
      <c r="Q524" s="23">
        <f t="shared" si="291"/>
        <v>3.9555000000000002</v>
      </c>
      <c r="R524" s="23" t="str">
        <f t="shared" si="292"/>
        <v/>
      </c>
      <c r="T524" t="str">
        <f t="shared" si="293"/>
        <v/>
      </c>
    </row>
    <row r="525" spans="1:20" x14ac:dyDescent="0.2">
      <c r="A525">
        <v>528</v>
      </c>
      <c r="B525" t="s">
        <v>199</v>
      </c>
      <c r="C525" s="24" t="s">
        <v>199</v>
      </c>
      <c r="D525" t="s">
        <v>15</v>
      </c>
      <c r="E525" t="s">
        <v>9</v>
      </c>
      <c r="G525" t="s">
        <v>11</v>
      </c>
      <c r="H525">
        <v>22</v>
      </c>
      <c r="I525">
        <v>22</v>
      </c>
      <c r="J525">
        <v>6.6</v>
      </c>
      <c r="K525">
        <v>4.2</v>
      </c>
      <c r="L525">
        <f t="shared" ref="L525:N525" si="301">L524</f>
        <v>1</v>
      </c>
      <c r="M525">
        <f t="shared" si="301"/>
        <v>0.58599999999999997</v>
      </c>
      <c r="N525">
        <f t="shared" si="301"/>
        <v>0.113</v>
      </c>
      <c r="O525" s="21">
        <f t="shared" ref="O525:O527" si="302">K525*(M525/L525)*(10/9)*36/H525</f>
        <v>4.4749090909090903</v>
      </c>
      <c r="P525" s="21">
        <f t="shared" si="296"/>
        <v>2.8648888888888888</v>
      </c>
      <c r="Q525" s="23">
        <f t="shared" si="291"/>
        <v>4.4749090909090903</v>
      </c>
      <c r="R525" s="23" t="str">
        <f t="shared" si="292"/>
        <v/>
      </c>
      <c r="T525" t="str">
        <f t="shared" si="293"/>
        <v/>
      </c>
    </row>
    <row r="526" spans="1:20" x14ac:dyDescent="0.2">
      <c r="A526">
        <v>529</v>
      </c>
      <c r="B526" t="s">
        <v>199</v>
      </c>
      <c r="C526" s="24" t="s">
        <v>199</v>
      </c>
      <c r="D526" t="s">
        <v>15</v>
      </c>
      <c r="E526" t="s">
        <v>9</v>
      </c>
      <c r="G526" t="s">
        <v>12</v>
      </c>
      <c r="H526">
        <v>23</v>
      </c>
      <c r="I526">
        <v>23</v>
      </c>
      <c r="J526">
        <v>6.35</v>
      </c>
      <c r="K526">
        <v>4</v>
      </c>
      <c r="L526">
        <v>0.85</v>
      </c>
      <c r="M526">
        <v>0.55900000000000005</v>
      </c>
      <c r="N526">
        <v>0.10199999999999999</v>
      </c>
      <c r="O526" s="21">
        <f t="shared" si="302"/>
        <v>4.5749360613810746</v>
      </c>
      <c r="P526" s="21">
        <f t="shared" si="296"/>
        <v>3.0933769063180834</v>
      </c>
      <c r="Q526" s="23" t="str">
        <f t="shared" si="291"/>
        <v/>
      </c>
      <c r="R526" s="23">
        <f t="shared" si="292"/>
        <v>4.5749360613810746</v>
      </c>
      <c r="T526" t="str">
        <f t="shared" si="293"/>
        <v/>
      </c>
    </row>
    <row r="527" spans="1:20" x14ac:dyDescent="0.2">
      <c r="A527">
        <v>530</v>
      </c>
      <c r="B527" t="s">
        <v>199</v>
      </c>
      <c r="C527" s="24" t="s">
        <v>199</v>
      </c>
      <c r="D527" t="s">
        <v>15</v>
      </c>
      <c r="E527" t="s">
        <v>9</v>
      </c>
      <c r="G527" t="s">
        <v>14</v>
      </c>
      <c r="H527">
        <v>31</v>
      </c>
      <c r="I527">
        <v>30</v>
      </c>
      <c r="J527">
        <v>7.65</v>
      </c>
      <c r="K527">
        <v>5.7</v>
      </c>
      <c r="L527">
        <f t="shared" ref="L527:N527" si="303">L526</f>
        <v>0.85</v>
      </c>
      <c r="M527">
        <f t="shared" si="303"/>
        <v>0.55900000000000005</v>
      </c>
      <c r="N527">
        <f t="shared" si="303"/>
        <v>0.10199999999999999</v>
      </c>
      <c r="O527" s="21">
        <f t="shared" si="302"/>
        <v>4.8368880455407979</v>
      </c>
      <c r="P527" s="21">
        <f t="shared" si="296"/>
        <v>3.7266666666666679</v>
      </c>
      <c r="Q527" s="23" t="str">
        <f t="shared" si="291"/>
        <v/>
      </c>
      <c r="R527" s="23">
        <f t="shared" si="292"/>
        <v>4.8368880455407979</v>
      </c>
      <c r="T527" t="str">
        <f t="shared" si="293"/>
        <v/>
      </c>
    </row>
    <row r="528" spans="1:20" x14ac:dyDescent="0.2">
      <c r="A528" s="14">
        <v>531</v>
      </c>
      <c r="B528" s="14" t="s">
        <v>200</v>
      </c>
      <c r="C528" s="14" t="s">
        <v>200</v>
      </c>
      <c r="D528" s="14" t="s">
        <v>15</v>
      </c>
      <c r="E528" s="14" t="s">
        <v>9</v>
      </c>
      <c r="F528" s="14"/>
      <c r="G528" s="14" t="s">
        <v>11</v>
      </c>
      <c r="H528" s="14">
        <v>38</v>
      </c>
      <c r="I528" s="14">
        <v>28</v>
      </c>
      <c r="J528" s="14">
        <v>4.3499999999999996</v>
      </c>
      <c r="K528" s="14">
        <v>5.05</v>
      </c>
      <c r="L528" s="9">
        <v>0.88</v>
      </c>
      <c r="M528" s="14">
        <v>0.58199999999999996</v>
      </c>
      <c r="N528" s="14">
        <v>0.09</v>
      </c>
      <c r="O528" s="42">
        <f>K528*(M528/L528)*(10/9)</f>
        <v>3.710984848484848</v>
      </c>
      <c r="P528" s="42">
        <f t="shared" si="296"/>
        <v>2.1310606060606059</v>
      </c>
      <c r="Q528" s="23">
        <f t="shared" si="291"/>
        <v>3.710984848484848</v>
      </c>
      <c r="R528" s="23" t="str">
        <f t="shared" si="292"/>
        <v/>
      </c>
      <c r="S528" t="s">
        <v>1532</v>
      </c>
      <c r="T528" t="str">
        <f t="shared" si="293"/>
        <v/>
      </c>
    </row>
    <row r="529" spans="1:20" x14ac:dyDescent="0.2">
      <c r="A529">
        <v>532</v>
      </c>
      <c r="B529" t="s">
        <v>200</v>
      </c>
      <c r="C529" t="s">
        <v>200</v>
      </c>
      <c r="D529" t="s">
        <v>15</v>
      </c>
      <c r="E529" t="s">
        <v>9</v>
      </c>
      <c r="G529" t="s">
        <v>11</v>
      </c>
      <c r="H529">
        <v>38</v>
      </c>
      <c r="I529">
        <v>28</v>
      </c>
      <c r="J529">
        <v>4.3499999999999996</v>
      </c>
      <c r="K529">
        <v>5.05</v>
      </c>
      <c r="L529">
        <v>0.88</v>
      </c>
      <c r="M529">
        <f t="shared" ref="M529:N529" si="304">M528</f>
        <v>0.58199999999999996</v>
      </c>
      <c r="N529">
        <f t="shared" si="304"/>
        <v>0.09</v>
      </c>
      <c r="O529" s="21">
        <f t="shared" si="295"/>
        <v>3.710984848484848</v>
      </c>
      <c r="P529" s="21">
        <f t="shared" si="296"/>
        <v>2.1310606060606059</v>
      </c>
      <c r="Q529" s="23">
        <f t="shared" si="291"/>
        <v>3.710984848484848</v>
      </c>
      <c r="R529" s="23" t="str">
        <f t="shared" si="292"/>
        <v/>
      </c>
      <c r="T529" t="str">
        <f t="shared" si="293"/>
        <v/>
      </c>
    </row>
    <row r="530" spans="1:20" x14ac:dyDescent="0.2">
      <c r="A530">
        <v>533</v>
      </c>
      <c r="B530" t="s">
        <v>200</v>
      </c>
      <c r="C530" t="s">
        <v>200</v>
      </c>
      <c r="D530" t="s">
        <v>15</v>
      </c>
      <c r="E530" t="s">
        <v>9</v>
      </c>
      <c r="G530" t="s">
        <v>12</v>
      </c>
      <c r="H530">
        <v>24</v>
      </c>
      <c r="I530">
        <v>25</v>
      </c>
      <c r="J530">
        <v>4.7</v>
      </c>
      <c r="K530">
        <v>2.5499999999999998</v>
      </c>
      <c r="L530">
        <v>0.9</v>
      </c>
      <c r="M530">
        <v>0.58899999999999997</v>
      </c>
      <c r="N530">
        <v>0.129</v>
      </c>
      <c r="O530" s="21">
        <f t="shared" si="295"/>
        <v>1.8542592592592591</v>
      </c>
      <c r="P530" s="21">
        <f t="shared" si="296"/>
        <v>2.2784362139917693</v>
      </c>
      <c r="Q530" s="23" t="str">
        <f t="shared" si="291"/>
        <v/>
      </c>
      <c r="R530" s="23">
        <f t="shared" si="292"/>
        <v>1.8542592592592591</v>
      </c>
      <c r="T530" t="str">
        <f t="shared" si="293"/>
        <v/>
      </c>
    </row>
    <row r="531" spans="1:20" x14ac:dyDescent="0.2">
      <c r="A531">
        <v>534</v>
      </c>
      <c r="B531" t="s">
        <v>200</v>
      </c>
      <c r="C531" t="s">
        <v>200</v>
      </c>
      <c r="D531" t="s">
        <v>15</v>
      </c>
      <c r="E531" t="s">
        <v>9</v>
      </c>
      <c r="G531" t="s">
        <v>14</v>
      </c>
      <c r="H531">
        <v>31</v>
      </c>
      <c r="I531">
        <v>29</v>
      </c>
      <c r="J531">
        <v>3.05</v>
      </c>
      <c r="K531">
        <v>2.35</v>
      </c>
      <c r="L531">
        <f t="shared" ref="L531:N531" si="305">L530</f>
        <v>0.9</v>
      </c>
      <c r="M531">
        <f t="shared" si="305"/>
        <v>0.58899999999999997</v>
      </c>
      <c r="N531">
        <f t="shared" si="305"/>
        <v>0.129</v>
      </c>
      <c r="O531" s="21">
        <f t="shared" si="295"/>
        <v>1.7088271604938272</v>
      </c>
      <c r="P531" s="21">
        <f t="shared" si="296"/>
        <v>1.4785596707818929</v>
      </c>
      <c r="Q531" s="23" t="str">
        <f t="shared" si="291"/>
        <v/>
      </c>
      <c r="R531" s="23">
        <f t="shared" si="292"/>
        <v>1.7088271604938272</v>
      </c>
      <c r="T531" t="str">
        <f t="shared" si="293"/>
        <v/>
      </c>
    </row>
    <row r="532" spans="1:20" x14ac:dyDescent="0.2">
      <c r="A532">
        <v>535</v>
      </c>
      <c r="B532" t="s">
        <v>201</v>
      </c>
      <c r="C532" s="24" t="s">
        <v>201</v>
      </c>
      <c r="D532" t="s">
        <v>15</v>
      </c>
      <c r="E532" t="s">
        <v>9</v>
      </c>
      <c r="G532" t="s">
        <v>10</v>
      </c>
      <c r="H532">
        <v>38</v>
      </c>
      <c r="I532">
        <v>34</v>
      </c>
      <c r="J532">
        <v>10.65</v>
      </c>
      <c r="K532">
        <v>5.3</v>
      </c>
      <c r="L532">
        <v>0.85</v>
      </c>
      <c r="M532">
        <v>0.41699999999999998</v>
      </c>
      <c r="N532">
        <v>9.4E-2</v>
      </c>
      <c r="O532" s="21">
        <f t="shared" si="295"/>
        <v>2.8890196078431374</v>
      </c>
      <c r="P532" s="21">
        <f t="shared" si="296"/>
        <v>3.8701960784313734</v>
      </c>
      <c r="Q532" s="23">
        <f t="shared" si="291"/>
        <v>2.8890196078431374</v>
      </c>
      <c r="R532" s="23" t="str">
        <f t="shared" si="292"/>
        <v/>
      </c>
      <c r="T532" t="str">
        <f t="shared" si="293"/>
        <v/>
      </c>
    </row>
    <row r="533" spans="1:20" x14ac:dyDescent="0.2">
      <c r="A533">
        <v>536</v>
      </c>
      <c r="B533" t="s">
        <v>201</v>
      </c>
      <c r="C533" s="24" t="s">
        <v>201</v>
      </c>
      <c r="D533" t="s">
        <v>15</v>
      </c>
      <c r="E533" t="s">
        <v>9</v>
      </c>
      <c r="G533" t="s">
        <v>11</v>
      </c>
      <c r="H533">
        <v>27</v>
      </c>
      <c r="I533">
        <v>23</v>
      </c>
      <c r="J533">
        <v>9.4</v>
      </c>
      <c r="K533">
        <v>2.75</v>
      </c>
      <c r="L533">
        <f t="shared" ref="L533:N533" si="306">L532</f>
        <v>0.85</v>
      </c>
      <c r="M533">
        <f t="shared" si="306"/>
        <v>0.41699999999999998</v>
      </c>
      <c r="N533">
        <f t="shared" si="306"/>
        <v>9.4E-2</v>
      </c>
      <c r="O533" s="21">
        <f t="shared" si="295"/>
        <v>1.4990196078431373</v>
      </c>
      <c r="P533" s="21">
        <f t="shared" si="296"/>
        <v>3.4159477124183009</v>
      </c>
      <c r="Q533" s="23">
        <f t="shared" si="291"/>
        <v>1.4990196078431373</v>
      </c>
      <c r="R533" s="23" t="str">
        <f t="shared" si="292"/>
        <v/>
      </c>
      <c r="T533" t="str">
        <f t="shared" si="293"/>
        <v/>
      </c>
    </row>
    <row r="534" spans="1:20" x14ac:dyDescent="0.2">
      <c r="A534">
        <v>537</v>
      </c>
      <c r="B534" t="s">
        <v>201</v>
      </c>
      <c r="C534" s="24" t="s">
        <v>201</v>
      </c>
      <c r="D534" t="s">
        <v>15</v>
      </c>
      <c r="E534" t="s">
        <v>9</v>
      </c>
      <c r="G534" t="s">
        <v>12</v>
      </c>
      <c r="H534">
        <v>38</v>
      </c>
      <c r="I534">
        <v>18</v>
      </c>
      <c r="J534">
        <v>12.35</v>
      </c>
      <c r="K534">
        <v>2.85</v>
      </c>
      <c r="L534">
        <v>0.8</v>
      </c>
      <c r="M534">
        <v>0.46200000000000002</v>
      </c>
      <c r="N534">
        <v>7.5999999999999998E-2</v>
      </c>
      <c r="O534" s="21">
        <f t="shared" si="295"/>
        <v>1.8287500000000003</v>
      </c>
      <c r="P534" s="21">
        <f t="shared" si="296"/>
        <v>5.2830555555555554</v>
      </c>
      <c r="Q534" s="23" t="str">
        <f t="shared" si="291"/>
        <v/>
      </c>
      <c r="R534" s="23">
        <f t="shared" si="292"/>
        <v>1.8287500000000003</v>
      </c>
      <c r="T534" t="str">
        <f t="shared" si="293"/>
        <v/>
      </c>
    </row>
    <row r="535" spans="1:20" x14ac:dyDescent="0.2">
      <c r="A535">
        <v>538</v>
      </c>
      <c r="B535" t="s">
        <v>201</v>
      </c>
      <c r="C535" s="24" t="s">
        <v>201</v>
      </c>
      <c r="D535" t="s">
        <v>15</v>
      </c>
      <c r="E535" t="s">
        <v>9</v>
      </c>
      <c r="G535" t="s">
        <v>14</v>
      </c>
      <c r="H535">
        <v>32</v>
      </c>
      <c r="I535">
        <v>24</v>
      </c>
      <c r="J535">
        <v>7.25</v>
      </c>
      <c r="K535">
        <v>4.4000000000000004</v>
      </c>
      <c r="L535">
        <f t="shared" ref="L535:N535" si="307">L534</f>
        <v>0.8</v>
      </c>
      <c r="M535">
        <f t="shared" si="307"/>
        <v>0.46200000000000002</v>
      </c>
      <c r="N535">
        <f t="shared" si="307"/>
        <v>7.5999999999999998E-2</v>
      </c>
      <c r="O535" s="21">
        <f t="shared" si="295"/>
        <v>2.8233333333333337</v>
      </c>
      <c r="P535" s="21">
        <f t="shared" si="296"/>
        <v>3.1013888888888888</v>
      </c>
      <c r="Q535" s="23" t="str">
        <f t="shared" si="291"/>
        <v/>
      </c>
      <c r="R535" s="23">
        <f t="shared" si="292"/>
        <v>2.8233333333333337</v>
      </c>
      <c r="T535" t="str">
        <f t="shared" si="293"/>
        <v/>
      </c>
    </row>
    <row r="536" spans="1:20" x14ac:dyDescent="0.2">
      <c r="A536">
        <v>539</v>
      </c>
      <c r="B536" t="s">
        <v>202</v>
      </c>
      <c r="C536" t="s">
        <v>364</v>
      </c>
      <c r="D536" t="s">
        <v>15</v>
      </c>
      <c r="E536" t="s">
        <v>9</v>
      </c>
      <c r="G536" t="s">
        <v>10</v>
      </c>
      <c r="H536">
        <v>24</v>
      </c>
      <c r="I536">
        <v>24</v>
      </c>
      <c r="J536">
        <v>4.2</v>
      </c>
      <c r="K536">
        <v>3.3</v>
      </c>
      <c r="L536">
        <v>0.8</v>
      </c>
      <c r="M536">
        <v>0.495</v>
      </c>
      <c r="N536">
        <v>0.10199999999999999</v>
      </c>
      <c r="O536" s="21">
        <f t="shared" si="295"/>
        <v>2.2687499999999998</v>
      </c>
      <c r="P536" s="21">
        <f t="shared" si="296"/>
        <v>1.9249999999999998</v>
      </c>
      <c r="Q536" s="23">
        <f t="shared" si="291"/>
        <v>2.2687499999999998</v>
      </c>
      <c r="R536" s="23" t="str">
        <f t="shared" si="292"/>
        <v/>
      </c>
      <c r="T536" t="str">
        <f t="shared" si="293"/>
        <v/>
      </c>
    </row>
    <row r="537" spans="1:20" x14ac:dyDescent="0.2">
      <c r="A537">
        <v>540</v>
      </c>
      <c r="B537" t="s">
        <v>202</v>
      </c>
      <c r="C537" t="s">
        <v>364</v>
      </c>
      <c r="D537" t="s">
        <v>15</v>
      </c>
      <c r="E537" t="s">
        <v>9</v>
      </c>
      <c r="G537" t="s">
        <v>11</v>
      </c>
      <c r="H537">
        <v>38</v>
      </c>
      <c r="I537">
        <v>21</v>
      </c>
      <c r="J537">
        <v>6.15</v>
      </c>
      <c r="K537">
        <v>4.8</v>
      </c>
      <c r="L537">
        <f>L536</f>
        <v>0.8</v>
      </c>
      <c r="M537">
        <f t="shared" ref="M537:N537" si="308">M536</f>
        <v>0.495</v>
      </c>
      <c r="N537">
        <f t="shared" si="308"/>
        <v>0.10199999999999999</v>
      </c>
      <c r="O537" s="21">
        <f t="shared" si="295"/>
        <v>3.2999999999999994</v>
      </c>
      <c r="P537" s="21">
        <f t="shared" si="296"/>
        <v>2.8187500000000001</v>
      </c>
      <c r="Q537" s="23">
        <f t="shared" si="291"/>
        <v>3.2999999999999994</v>
      </c>
      <c r="R537" s="23" t="str">
        <f t="shared" si="292"/>
        <v/>
      </c>
      <c r="T537" t="str">
        <f t="shared" si="293"/>
        <v/>
      </c>
    </row>
    <row r="538" spans="1:20" x14ac:dyDescent="0.2">
      <c r="A538">
        <v>541</v>
      </c>
      <c r="B538" s="16" t="s">
        <v>202</v>
      </c>
      <c r="C538" t="s">
        <v>364</v>
      </c>
      <c r="D538" s="16" t="s">
        <v>15</v>
      </c>
      <c r="E538" s="16" t="s">
        <v>9</v>
      </c>
      <c r="F538" s="16"/>
      <c r="G538" s="16" t="s">
        <v>12</v>
      </c>
      <c r="H538" s="16">
        <v>30</v>
      </c>
      <c r="I538" s="16">
        <v>28</v>
      </c>
      <c r="J538" s="16">
        <v>4.76</v>
      </c>
      <c r="K538" s="16">
        <v>3.9</v>
      </c>
      <c r="L538" s="16">
        <v>0.8</v>
      </c>
      <c r="M538">
        <f t="shared" ref="M538" si="309">M537</f>
        <v>0.495</v>
      </c>
      <c r="N538" s="16"/>
      <c r="O538" s="21">
        <f t="shared" si="295"/>
        <v>2.6812499999999995</v>
      </c>
      <c r="P538" s="21">
        <f t="shared" si="296"/>
        <v>2.1816666666666662</v>
      </c>
      <c r="Q538" s="23" t="str">
        <f t="shared" si="291"/>
        <v/>
      </c>
      <c r="R538" s="23">
        <f t="shared" si="292"/>
        <v>2.6812499999999995</v>
      </c>
      <c r="S538" s="16"/>
      <c r="T538" t="str">
        <f t="shared" si="293"/>
        <v/>
      </c>
    </row>
    <row r="539" spans="1:20" x14ac:dyDescent="0.2">
      <c r="A539">
        <v>542</v>
      </c>
      <c r="B539" t="s">
        <v>202</v>
      </c>
      <c r="C539" t="s">
        <v>364</v>
      </c>
      <c r="D539" t="s">
        <v>15</v>
      </c>
      <c r="E539" t="s">
        <v>9</v>
      </c>
      <c r="G539" t="s">
        <v>14</v>
      </c>
      <c r="H539">
        <v>27</v>
      </c>
      <c r="I539">
        <v>28</v>
      </c>
      <c r="J539">
        <v>4.7</v>
      </c>
      <c r="K539">
        <v>4.45</v>
      </c>
      <c r="L539">
        <f t="shared" ref="L539:M539" si="310">L538</f>
        <v>0.8</v>
      </c>
      <c r="M539">
        <f t="shared" si="310"/>
        <v>0.495</v>
      </c>
      <c r="O539" s="21">
        <f t="shared" si="295"/>
        <v>3.0593749999999997</v>
      </c>
      <c r="P539" s="21">
        <f t="shared" si="296"/>
        <v>2.1541666666666663</v>
      </c>
      <c r="Q539" s="23" t="str">
        <f t="shared" si="291"/>
        <v/>
      </c>
      <c r="R539" s="23">
        <f t="shared" si="292"/>
        <v>3.0593749999999997</v>
      </c>
      <c r="T539" t="str">
        <f t="shared" si="293"/>
        <v/>
      </c>
    </row>
    <row r="540" spans="1:20" x14ac:dyDescent="0.2">
      <c r="A540">
        <v>543</v>
      </c>
      <c r="B540" t="s">
        <v>203</v>
      </c>
      <c r="C540" s="24" t="s">
        <v>203</v>
      </c>
      <c r="D540" t="s">
        <v>15</v>
      </c>
      <c r="E540" t="s">
        <v>9</v>
      </c>
      <c r="G540" t="s">
        <v>10</v>
      </c>
      <c r="H540">
        <v>36</v>
      </c>
      <c r="I540">
        <v>32</v>
      </c>
      <c r="J540">
        <v>7.95</v>
      </c>
      <c r="K540">
        <v>4.5999999999999996</v>
      </c>
      <c r="L540">
        <v>0.95</v>
      </c>
      <c r="M540">
        <v>0.47599999999999998</v>
      </c>
      <c r="N540">
        <v>0.09</v>
      </c>
      <c r="O540" s="21">
        <f t="shared" si="295"/>
        <v>2.5609356725146202</v>
      </c>
      <c r="P540" s="21">
        <f t="shared" si="296"/>
        <v>2.9506432748538018</v>
      </c>
      <c r="Q540" s="23">
        <f t="shared" si="291"/>
        <v>2.5609356725146202</v>
      </c>
      <c r="R540" s="23" t="str">
        <f t="shared" si="292"/>
        <v/>
      </c>
      <c r="T540" t="str">
        <f t="shared" si="293"/>
        <v/>
      </c>
    </row>
    <row r="541" spans="1:20" x14ac:dyDescent="0.2">
      <c r="A541">
        <v>544</v>
      </c>
      <c r="B541" t="s">
        <v>203</v>
      </c>
      <c r="C541" s="24" t="s">
        <v>203</v>
      </c>
      <c r="D541" t="s">
        <v>15</v>
      </c>
      <c r="E541" t="s">
        <v>9</v>
      </c>
      <c r="G541" t="s">
        <v>11</v>
      </c>
      <c r="H541">
        <v>28</v>
      </c>
      <c r="I541">
        <v>28</v>
      </c>
      <c r="J541">
        <v>7.55</v>
      </c>
      <c r="K541">
        <v>4.8499999999999996</v>
      </c>
      <c r="L541">
        <f t="shared" ref="L541:N541" si="311">L540</f>
        <v>0.95</v>
      </c>
      <c r="M541">
        <f t="shared" si="311"/>
        <v>0.47599999999999998</v>
      </c>
      <c r="N541">
        <f t="shared" si="311"/>
        <v>0.09</v>
      </c>
      <c r="O541" s="21">
        <f t="shared" si="295"/>
        <v>2.7001169590643275</v>
      </c>
      <c r="P541" s="21">
        <f t="shared" si="296"/>
        <v>2.8021832358674472</v>
      </c>
      <c r="Q541" s="23">
        <f t="shared" si="291"/>
        <v>2.7001169590643275</v>
      </c>
      <c r="R541" s="23" t="str">
        <f t="shared" si="292"/>
        <v/>
      </c>
      <c r="T541" t="str">
        <f t="shared" si="293"/>
        <v/>
      </c>
    </row>
    <row r="542" spans="1:20" x14ac:dyDescent="0.2">
      <c r="A542">
        <v>545</v>
      </c>
      <c r="B542" t="s">
        <v>203</v>
      </c>
      <c r="C542" s="24" t="s">
        <v>203</v>
      </c>
      <c r="D542" t="s">
        <v>15</v>
      </c>
      <c r="E542" t="s">
        <v>9</v>
      </c>
      <c r="G542" t="s">
        <v>12</v>
      </c>
      <c r="H542">
        <v>26</v>
      </c>
      <c r="I542">
        <v>22</v>
      </c>
      <c r="J542">
        <v>6.6</v>
      </c>
      <c r="K542">
        <v>4.95</v>
      </c>
      <c r="L542">
        <v>1.1000000000000001</v>
      </c>
      <c r="M542">
        <v>0.58299999999999996</v>
      </c>
      <c r="N542">
        <v>0.114</v>
      </c>
      <c r="O542" s="21">
        <f t="shared" si="295"/>
        <v>2.9149999999999996</v>
      </c>
      <c r="P542" s="21">
        <f t="shared" si="296"/>
        <v>2.5911111111111107</v>
      </c>
      <c r="Q542" s="23" t="str">
        <f t="shared" si="291"/>
        <v/>
      </c>
      <c r="R542" s="23">
        <f t="shared" si="292"/>
        <v>2.9149999999999996</v>
      </c>
      <c r="T542" t="str">
        <f t="shared" si="293"/>
        <v/>
      </c>
    </row>
    <row r="543" spans="1:20" x14ac:dyDescent="0.2">
      <c r="A543">
        <v>546</v>
      </c>
      <c r="B543" t="s">
        <v>203</v>
      </c>
      <c r="C543" s="24" t="s">
        <v>203</v>
      </c>
      <c r="D543" t="s">
        <v>15</v>
      </c>
      <c r="E543" t="s">
        <v>9</v>
      </c>
      <c r="G543" t="s">
        <v>14</v>
      </c>
      <c r="H543">
        <v>30</v>
      </c>
      <c r="I543">
        <v>26</v>
      </c>
      <c r="J543">
        <v>6.1</v>
      </c>
      <c r="K543">
        <v>5.4</v>
      </c>
      <c r="L543">
        <f t="shared" ref="L543:N543" si="312">L542</f>
        <v>1.1000000000000001</v>
      </c>
      <c r="M543">
        <f t="shared" si="312"/>
        <v>0.58299999999999996</v>
      </c>
      <c r="N543">
        <f t="shared" si="312"/>
        <v>0.114</v>
      </c>
      <c r="O543" s="21">
        <f t="shared" si="295"/>
        <v>3.1799999999999997</v>
      </c>
      <c r="P543" s="21">
        <f t="shared" si="296"/>
        <v>2.3948148148148141</v>
      </c>
      <c r="Q543" s="23" t="str">
        <f t="shared" si="291"/>
        <v/>
      </c>
      <c r="R543" s="23">
        <f t="shared" si="292"/>
        <v>3.1799999999999997</v>
      </c>
      <c r="T543" t="str">
        <f t="shared" si="293"/>
        <v/>
      </c>
    </row>
    <row r="544" spans="1:20" x14ac:dyDescent="0.2">
      <c r="A544">
        <v>547</v>
      </c>
      <c r="B544" t="s">
        <v>204</v>
      </c>
      <c r="C544" s="24" t="s">
        <v>204</v>
      </c>
      <c r="D544" t="s">
        <v>15</v>
      </c>
      <c r="E544" t="s">
        <v>9</v>
      </c>
      <c r="G544" t="s">
        <v>10</v>
      </c>
      <c r="H544">
        <v>26</v>
      </c>
      <c r="I544">
        <v>24</v>
      </c>
      <c r="J544">
        <v>5.2</v>
      </c>
      <c r="K544">
        <v>3.9</v>
      </c>
      <c r="L544">
        <v>1</v>
      </c>
      <c r="M544">
        <v>0.60599999999999998</v>
      </c>
      <c r="N544">
        <v>9.5000000000000001E-2</v>
      </c>
      <c r="O544" s="21">
        <f>K544*(M544/L544)*(10/9)*36/H544</f>
        <v>3.6360000000000001</v>
      </c>
      <c r="P544" s="21">
        <f>J544*(M544/(L544*1.5))*(10/9)*36/H544</f>
        <v>3.2320000000000002</v>
      </c>
      <c r="Q544" s="23">
        <f t="shared" si="291"/>
        <v>3.6360000000000001</v>
      </c>
      <c r="R544" s="23" t="str">
        <f t="shared" si="292"/>
        <v/>
      </c>
      <c r="T544" t="str">
        <f t="shared" si="293"/>
        <v/>
      </c>
    </row>
    <row r="545" spans="1:20" x14ac:dyDescent="0.2">
      <c r="A545">
        <v>548</v>
      </c>
      <c r="B545" t="s">
        <v>204</v>
      </c>
      <c r="C545" s="24" t="s">
        <v>204</v>
      </c>
      <c r="D545" t="s">
        <v>15</v>
      </c>
      <c r="E545" t="s">
        <v>9</v>
      </c>
      <c r="G545" t="s">
        <v>11</v>
      </c>
      <c r="H545">
        <v>18</v>
      </c>
      <c r="I545">
        <v>18</v>
      </c>
      <c r="J545">
        <v>3.2</v>
      </c>
      <c r="K545">
        <v>2.65</v>
      </c>
      <c r="L545">
        <f t="shared" ref="L545:N545" si="313">L544</f>
        <v>1</v>
      </c>
      <c r="M545">
        <f t="shared" si="313"/>
        <v>0.60599999999999998</v>
      </c>
      <c r="N545">
        <f t="shared" si="313"/>
        <v>9.5000000000000001E-2</v>
      </c>
      <c r="O545" s="21">
        <f t="shared" ref="O545:O547" si="314">K545*(M545/L545)*(10/9)*36/H545</f>
        <v>3.5686666666666671</v>
      </c>
      <c r="P545" s="21">
        <f t="shared" ref="P545:P547" si="315">J545*(M545/(L545*1.5))*(10/9)*36/H545</f>
        <v>2.8728888888888888</v>
      </c>
      <c r="Q545" s="23">
        <f t="shared" si="291"/>
        <v>3.5686666666666671</v>
      </c>
      <c r="R545" s="23" t="str">
        <f t="shared" si="292"/>
        <v/>
      </c>
      <c r="T545" t="str">
        <f t="shared" si="293"/>
        <v/>
      </c>
    </row>
    <row r="546" spans="1:20" x14ac:dyDescent="0.2">
      <c r="A546">
        <v>549</v>
      </c>
      <c r="B546" t="s">
        <v>204</v>
      </c>
      <c r="C546" s="24" t="s">
        <v>204</v>
      </c>
      <c r="D546" t="s">
        <v>15</v>
      </c>
      <c r="E546" t="s">
        <v>9</v>
      </c>
      <c r="G546" t="s">
        <v>12</v>
      </c>
      <c r="H546">
        <v>30</v>
      </c>
      <c r="I546">
        <v>29</v>
      </c>
      <c r="J546">
        <v>3.75</v>
      </c>
      <c r="K546">
        <v>3.95</v>
      </c>
      <c r="L546">
        <v>0.7</v>
      </c>
      <c r="M546">
        <v>0.41399999999999998</v>
      </c>
      <c r="N546">
        <v>7.1999999999999995E-2</v>
      </c>
      <c r="O546" s="21">
        <f t="shared" si="314"/>
        <v>3.1148571428571432</v>
      </c>
      <c r="P546" s="21">
        <f t="shared" si="315"/>
        <v>1.9714285714285718</v>
      </c>
      <c r="Q546" s="23" t="str">
        <f t="shared" si="291"/>
        <v/>
      </c>
      <c r="R546" s="23">
        <f t="shared" si="292"/>
        <v>3.1148571428571432</v>
      </c>
      <c r="T546" t="str">
        <f t="shared" si="293"/>
        <v/>
      </c>
    </row>
    <row r="547" spans="1:20" x14ac:dyDescent="0.2">
      <c r="A547">
        <v>550</v>
      </c>
      <c r="B547" t="s">
        <v>204</v>
      </c>
      <c r="C547" s="24" t="s">
        <v>204</v>
      </c>
      <c r="D547" t="s">
        <v>15</v>
      </c>
      <c r="E547" t="s">
        <v>9</v>
      </c>
      <c r="G547" t="s">
        <v>14</v>
      </c>
      <c r="H547">
        <v>49</v>
      </c>
      <c r="I547">
        <v>29</v>
      </c>
      <c r="J547">
        <v>10.6</v>
      </c>
      <c r="K547">
        <v>4.4000000000000004</v>
      </c>
      <c r="L547">
        <f t="shared" ref="L547:N547" si="316">L546</f>
        <v>0.7</v>
      </c>
      <c r="M547">
        <f t="shared" si="316"/>
        <v>0.41399999999999998</v>
      </c>
      <c r="N547">
        <f t="shared" si="316"/>
        <v>7.1999999999999995E-2</v>
      </c>
      <c r="O547" s="21">
        <f t="shared" si="314"/>
        <v>2.1243148688046647</v>
      </c>
      <c r="P547" s="21">
        <f t="shared" si="315"/>
        <v>3.4117784256559771</v>
      </c>
      <c r="Q547" s="23" t="str">
        <f t="shared" si="291"/>
        <v/>
      </c>
      <c r="R547" s="23">
        <f t="shared" si="292"/>
        <v>2.1243148688046647</v>
      </c>
      <c r="T547" t="str">
        <f t="shared" si="293"/>
        <v/>
      </c>
    </row>
    <row r="548" spans="1:20" x14ac:dyDescent="0.2">
      <c r="A548">
        <v>551</v>
      </c>
      <c r="B548" t="s">
        <v>205</v>
      </c>
      <c r="C548" s="24" t="s">
        <v>205</v>
      </c>
      <c r="D548" t="s">
        <v>15</v>
      </c>
      <c r="E548" t="s">
        <v>9</v>
      </c>
      <c r="G548" t="s">
        <v>10</v>
      </c>
      <c r="H548">
        <v>35</v>
      </c>
      <c r="I548">
        <v>35</v>
      </c>
      <c r="J548">
        <v>6.3</v>
      </c>
      <c r="K548">
        <v>5.35</v>
      </c>
      <c r="L548">
        <v>0.85</v>
      </c>
      <c r="M548">
        <v>0.52</v>
      </c>
      <c r="N548">
        <v>7.5999999999999998E-2</v>
      </c>
      <c r="O548" s="21">
        <f t="shared" si="295"/>
        <v>3.6366013071895424</v>
      </c>
      <c r="P548" s="21">
        <f t="shared" si="296"/>
        <v>2.8549019607843142</v>
      </c>
      <c r="Q548" s="23">
        <f t="shared" si="291"/>
        <v>3.6366013071895424</v>
      </c>
      <c r="R548" s="23" t="str">
        <f t="shared" si="292"/>
        <v/>
      </c>
      <c r="T548" t="str">
        <f t="shared" si="293"/>
        <v/>
      </c>
    </row>
    <row r="549" spans="1:20" x14ac:dyDescent="0.2">
      <c r="A549">
        <v>552</v>
      </c>
      <c r="B549" t="s">
        <v>205</v>
      </c>
      <c r="C549" s="24" t="s">
        <v>205</v>
      </c>
      <c r="D549" t="s">
        <v>15</v>
      </c>
      <c r="E549" t="s">
        <v>9</v>
      </c>
      <c r="G549" t="s">
        <v>11</v>
      </c>
      <c r="H549">
        <v>31</v>
      </c>
      <c r="I549">
        <v>30</v>
      </c>
      <c r="J549">
        <v>5.3</v>
      </c>
      <c r="K549">
        <v>4.3499999999999996</v>
      </c>
      <c r="L549">
        <f t="shared" ref="L549:N549" si="317">L548</f>
        <v>0.85</v>
      </c>
      <c r="M549">
        <f t="shared" si="317"/>
        <v>0.52</v>
      </c>
      <c r="N549">
        <f t="shared" si="317"/>
        <v>7.5999999999999998E-2</v>
      </c>
      <c r="O549" s="21">
        <f t="shared" si="295"/>
        <v>2.9568627450980394</v>
      </c>
      <c r="P549" s="21">
        <f t="shared" si="296"/>
        <v>2.4017429193899784</v>
      </c>
      <c r="Q549" s="23">
        <f t="shared" si="291"/>
        <v>2.9568627450980394</v>
      </c>
      <c r="R549" s="23" t="str">
        <f t="shared" si="292"/>
        <v/>
      </c>
      <c r="T549" t="str">
        <f t="shared" si="293"/>
        <v/>
      </c>
    </row>
    <row r="550" spans="1:20" x14ac:dyDescent="0.2">
      <c r="A550">
        <v>553</v>
      </c>
      <c r="B550" t="s">
        <v>205</v>
      </c>
      <c r="C550" s="24" t="s">
        <v>205</v>
      </c>
      <c r="D550" t="s">
        <v>15</v>
      </c>
      <c r="E550" t="s">
        <v>9</v>
      </c>
      <c r="G550" t="s">
        <v>12</v>
      </c>
      <c r="H550">
        <v>35</v>
      </c>
      <c r="I550">
        <v>30</v>
      </c>
      <c r="J550">
        <v>6</v>
      </c>
      <c r="K550">
        <v>3.6</v>
      </c>
      <c r="L550">
        <v>0.8</v>
      </c>
      <c r="M550">
        <v>0.48199999999999998</v>
      </c>
      <c r="N550">
        <v>0.112</v>
      </c>
      <c r="O550" s="21">
        <f t="shared" si="295"/>
        <v>2.4099999999999997</v>
      </c>
      <c r="P550" s="21">
        <f t="shared" si="296"/>
        <v>2.6777777777777776</v>
      </c>
      <c r="Q550" s="23" t="str">
        <f t="shared" si="291"/>
        <v/>
      </c>
      <c r="R550" s="23">
        <f t="shared" si="292"/>
        <v>2.4099999999999997</v>
      </c>
      <c r="T550" t="str">
        <f t="shared" si="293"/>
        <v/>
      </c>
    </row>
    <row r="551" spans="1:20" x14ac:dyDescent="0.2">
      <c r="A551">
        <v>554</v>
      </c>
      <c r="B551" t="s">
        <v>205</v>
      </c>
      <c r="C551" s="24" t="s">
        <v>205</v>
      </c>
      <c r="D551" t="s">
        <v>15</v>
      </c>
      <c r="E551" t="s">
        <v>9</v>
      </c>
      <c r="G551" t="s">
        <v>14</v>
      </c>
      <c r="H551">
        <v>30</v>
      </c>
      <c r="I551">
        <v>23</v>
      </c>
      <c r="J551">
        <v>5.45</v>
      </c>
      <c r="K551">
        <v>2.95</v>
      </c>
      <c r="L551">
        <f t="shared" ref="L551:N551" si="318">L550</f>
        <v>0.8</v>
      </c>
      <c r="M551">
        <f t="shared" si="318"/>
        <v>0.48199999999999998</v>
      </c>
      <c r="N551">
        <f t="shared" si="318"/>
        <v>0.112</v>
      </c>
      <c r="O551" s="21">
        <f t="shared" si="295"/>
        <v>1.9748611111111112</v>
      </c>
      <c r="P551" s="21">
        <f t="shared" si="296"/>
        <v>2.4323148148148146</v>
      </c>
      <c r="Q551" s="23" t="str">
        <f t="shared" si="291"/>
        <v/>
      </c>
      <c r="R551" s="23">
        <f t="shared" si="292"/>
        <v>1.9748611111111112</v>
      </c>
      <c r="T551" t="str">
        <f t="shared" si="293"/>
        <v/>
      </c>
    </row>
    <row r="552" spans="1:20" x14ac:dyDescent="0.2">
      <c r="A552">
        <v>555</v>
      </c>
      <c r="B552" t="s">
        <v>206</v>
      </c>
      <c r="C552" s="24" t="s">
        <v>365</v>
      </c>
      <c r="D552" t="s">
        <v>15</v>
      </c>
      <c r="E552" t="s">
        <v>9</v>
      </c>
      <c r="G552" t="s">
        <v>10</v>
      </c>
      <c r="H552">
        <v>29</v>
      </c>
      <c r="I552">
        <v>22</v>
      </c>
      <c r="J552">
        <v>10.15</v>
      </c>
      <c r="K552">
        <v>4.3499999999999996</v>
      </c>
      <c r="L552">
        <v>1.1000000000000001</v>
      </c>
      <c r="M552">
        <v>0.67200000000000004</v>
      </c>
      <c r="N552">
        <v>0.85</v>
      </c>
      <c r="O552" s="21">
        <f t="shared" si="295"/>
        <v>2.9527272727272726</v>
      </c>
      <c r="P552" s="21">
        <f t="shared" si="296"/>
        <v>4.5931313131313143</v>
      </c>
      <c r="Q552" s="23">
        <f t="shared" si="291"/>
        <v>2.9527272727272726</v>
      </c>
      <c r="R552" s="23" t="str">
        <f t="shared" si="292"/>
        <v/>
      </c>
      <c r="T552" t="str">
        <f t="shared" si="293"/>
        <v/>
      </c>
    </row>
    <row r="553" spans="1:20" x14ac:dyDescent="0.2">
      <c r="A553">
        <v>556</v>
      </c>
      <c r="B553" t="s">
        <v>206</v>
      </c>
      <c r="C553" s="24" t="s">
        <v>365</v>
      </c>
      <c r="D553" t="s">
        <v>15</v>
      </c>
      <c r="E553" t="s">
        <v>9</v>
      </c>
      <c r="G553" t="s">
        <v>11</v>
      </c>
      <c r="H553">
        <v>28</v>
      </c>
      <c r="I553">
        <v>28</v>
      </c>
      <c r="J553">
        <v>10.6</v>
      </c>
      <c r="K553">
        <v>6.8</v>
      </c>
      <c r="L553">
        <f t="shared" ref="L553:N553" si="319">L552</f>
        <v>1.1000000000000001</v>
      </c>
      <c r="M553">
        <f t="shared" si="319"/>
        <v>0.67200000000000004</v>
      </c>
      <c r="N553">
        <f t="shared" si="319"/>
        <v>0.85</v>
      </c>
      <c r="O553" s="21">
        <f t="shared" si="295"/>
        <v>4.6157575757575753</v>
      </c>
      <c r="P553" s="21">
        <f t="shared" si="296"/>
        <v>4.7967676767676766</v>
      </c>
      <c r="Q553" s="23">
        <f t="shared" si="291"/>
        <v>4.6157575757575753</v>
      </c>
      <c r="R553" s="23" t="str">
        <f t="shared" si="292"/>
        <v/>
      </c>
      <c r="T553" t="str">
        <f t="shared" si="293"/>
        <v/>
      </c>
    </row>
    <row r="554" spans="1:20" x14ac:dyDescent="0.2">
      <c r="A554">
        <v>557</v>
      </c>
      <c r="B554" t="s">
        <v>206</v>
      </c>
      <c r="C554" s="24" t="s">
        <v>365</v>
      </c>
      <c r="D554" t="s">
        <v>15</v>
      </c>
      <c r="E554" t="s">
        <v>9</v>
      </c>
      <c r="G554" t="s">
        <v>12</v>
      </c>
      <c r="H554">
        <v>34</v>
      </c>
      <c r="I554">
        <v>19</v>
      </c>
      <c r="J554">
        <v>12.2</v>
      </c>
      <c r="K554">
        <v>2.1</v>
      </c>
      <c r="L554">
        <v>0.65</v>
      </c>
      <c r="M554">
        <v>0.47499999999999998</v>
      </c>
      <c r="N554">
        <v>6.5000000000000002E-2</v>
      </c>
      <c r="O554" s="21">
        <f t="shared" si="295"/>
        <v>1.7051282051282051</v>
      </c>
      <c r="P554" s="21">
        <f t="shared" si="296"/>
        <v>6.6039886039886024</v>
      </c>
      <c r="Q554" s="23" t="str">
        <f t="shared" si="291"/>
        <v/>
      </c>
      <c r="R554" s="23">
        <f t="shared" si="292"/>
        <v>1.7051282051282051</v>
      </c>
      <c r="T554" t="str">
        <f t="shared" si="293"/>
        <v/>
      </c>
    </row>
    <row r="555" spans="1:20" x14ac:dyDescent="0.2">
      <c r="A555">
        <v>558</v>
      </c>
      <c r="B555" t="s">
        <v>206</v>
      </c>
      <c r="C555" s="24" t="s">
        <v>365</v>
      </c>
      <c r="D555" t="s">
        <v>15</v>
      </c>
      <c r="E555" t="s">
        <v>9</v>
      </c>
      <c r="G555" t="s">
        <v>14</v>
      </c>
      <c r="H555">
        <v>25</v>
      </c>
      <c r="I555">
        <v>14</v>
      </c>
      <c r="J555">
        <v>8.1999999999999993</v>
      </c>
      <c r="K555">
        <v>2</v>
      </c>
      <c r="L555">
        <f t="shared" ref="L555:N555" si="320">L554</f>
        <v>0.65</v>
      </c>
      <c r="M555">
        <f t="shared" si="320"/>
        <v>0.47499999999999998</v>
      </c>
      <c r="N555">
        <f t="shared" si="320"/>
        <v>6.5000000000000002E-2</v>
      </c>
      <c r="O555" s="21">
        <f t="shared" si="295"/>
        <v>1.6239316239316239</v>
      </c>
      <c r="P555" s="21">
        <f t="shared" si="296"/>
        <v>4.4387464387464384</v>
      </c>
      <c r="Q555" s="23" t="str">
        <f t="shared" si="291"/>
        <v/>
      </c>
      <c r="R555" s="23">
        <f t="shared" si="292"/>
        <v>1.6239316239316239</v>
      </c>
      <c r="T555" t="str">
        <f t="shared" si="293"/>
        <v/>
      </c>
    </row>
    <row r="556" spans="1:20" x14ac:dyDescent="0.2">
      <c r="A556">
        <v>559</v>
      </c>
      <c r="B556" t="s">
        <v>207</v>
      </c>
      <c r="C556" t="s">
        <v>366</v>
      </c>
      <c r="D556" t="s">
        <v>15</v>
      </c>
      <c r="E556" t="s">
        <v>9</v>
      </c>
      <c r="G556" t="s">
        <v>10</v>
      </c>
      <c r="H556">
        <v>40</v>
      </c>
      <c r="I556">
        <v>17</v>
      </c>
      <c r="J556">
        <v>7.1</v>
      </c>
      <c r="K556">
        <v>1.45</v>
      </c>
      <c r="L556">
        <v>0.7</v>
      </c>
      <c r="M556">
        <v>0.38500000000000001</v>
      </c>
      <c r="N556">
        <v>6.8000000000000005E-2</v>
      </c>
      <c r="O556" s="21">
        <f t="shared" si="295"/>
        <v>0.88611111111111118</v>
      </c>
      <c r="P556" s="21">
        <f t="shared" si="296"/>
        <v>2.8925925925925933</v>
      </c>
      <c r="Q556" s="23">
        <f t="shared" si="291"/>
        <v>0.88611111111111118</v>
      </c>
      <c r="R556" s="23" t="str">
        <f t="shared" si="292"/>
        <v/>
      </c>
      <c r="T556" t="str">
        <f t="shared" si="293"/>
        <v/>
      </c>
    </row>
    <row r="557" spans="1:20" x14ac:dyDescent="0.2">
      <c r="A557">
        <v>560</v>
      </c>
      <c r="B557" t="s">
        <v>207</v>
      </c>
      <c r="C557" t="s">
        <v>366</v>
      </c>
      <c r="D557" t="s">
        <v>15</v>
      </c>
      <c r="E557" t="s">
        <v>9</v>
      </c>
      <c r="G557" t="s">
        <v>11</v>
      </c>
      <c r="H557">
        <v>42</v>
      </c>
      <c r="I557">
        <v>21</v>
      </c>
      <c r="J557">
        <v>7.45</v>
      </c>
      <c r="K557">
        <v>1.45</v>
      </c>
      <c r="L557">
        <f t="shared" ref="L557:N557" si="321">L556</f>
        <v>0.7</v>
      </c>
      <c r="M557">
        <f t="shared" si="321"/>
        <v>0.38500000000000001</v>
      </c>
      <c r="N557">
        <f t="shared" si="321"/>
        <v>6.8000000000000005E-2</v>
      </c>
      <c r="O557" s="21">
        <f t="shared" si="295"/>
        <v>0.88611111111111118</v>
      </c>
      <c r="P557" s="21">
        <f t="shared" si="296"/>
        <v>3.0351851851851861</v>
      </c>
      <c r="Q557" s="23">
        <f t="shared" si="291"/>
        <v>0.88611111111111118</v>
      </c>
      <c r="R557" s="23" t="str">
        <f t="shared" si="292"/>
        <v/>
      </c>
      <c r="T557" t="str">
        <f t="shared" si="293"/>
        <v/>
      </c>
    </row>
    <row r="558" spans="1:20" x14ac:dyDescent="0.2">
      <c r="A558">
        <v>561</v>
      </c>
      <c r="B558" t="s">
        <v>207</v>
      </c>
      <c r="C558" t="s">
        <v>366</v>
      </c>
      <c r="D558" t="s">
        <v>15</v>
      </c>
      <c r="E558" t="s">
        <v>9</v>
      </c>
      <c r="G558" t="s">
        <v>12</v>
      </c>
      <c r="H558">
        <v>20</v>
      </c>
      <c r="I558">
        <v>14</v>
      </c>
      <c r="J558">
        <v>5.8</v>
      </c>
      <c r="K558">
        <v>1.9</v>
      </c>
      <c r="L558">
        <v>0.6</v>
      </c>
      <c r="M558" s="14">
        <v>0.626</v>
      </c>
      <c r="N558" s="14">
        <v>0.11700000000000001</v>
      </c>
      <c r="O558" s="21">
        <f t="shared" si="295"/>
        <v>2.2025925925925929</v>
      </c>
      <c r="P558" s="21">
        <f t="shared" si="296"/>
        <v>4.4824691358024698</v>
      </c>
      <c r="Q558" s="23" t="str">
        <f t="shared" si="291"/>
        <v/>
      </c>
      <c r="R558" s="23">
        <f t="shared" si="292"/>
        <v>2.2025925925925929</v>
      </c>
      <c r="T558" t="str">
        <f t="shared" si="293"/>
        <v/>
      </c>
    </row>
    <row r="559" spans="1:20" x14ac:dyDescent="0.2">
      <c r="A559">
        <v>562</v>
      </c>
      <c r="B559" t="s">
        <v>207</v>
      </c>
      <c r="C559" t="s">
        <v>366</v>
      </c>
      <c r="D559" t="s">
        <v>15</v>
      </c>
      <c r="E559" t="s">
        <v>9</v>
      </c>
      <c r="G559" t="s">
        <v>14</v>
      </c>
      <c r="H559">
        <v>22</v>
      </c>
      <c r="I559">
        <v>11</v>
      </c>
      <c r="J559">
        <v>5.0999999999999996</v>
      </c>
      <c r="K559">
        <v>1.6</v>
      </c>
      <c r="L559">
        <f t="shared" ref="L559:N559" si="322">L558</f>
        <v>0.6</v>
      </c>
      <c r="M559">
        <f t="shared" si="322"/>
        <v>0.626</v>
      </c>
      <c r="N559">
        <f t="shared" si="322"/>
        <v>0.11700000000000001</v>
      </c>
      <c r="O559" s="21">
        <f t="shared" si="295"/>
        <v>1.8548148148148151</v>
      </c>
      <c r="P559" s="21">
        <f t="shared" si="296"/>
        <v>3.9414814814814818</v>
      </c>
      <c r="Q559" s="23" t="str">
        <f t="shared" si="291"/>
        <v/>
      </c>
      <c r="R559" s="23">
        <f t="shared" si="292"/>
        <v>1.8548148148148151</v>
      </c>
      <c r="T559" t="str">
        <f t="shared" si="293"/>
        <v/>
      </c>
    </row>
    <row r="560" spans="1:20" x14ac:dyDescent="0.2">
      <c r="A560">
        <v>563</v>
      </c>
      <c r="B560" t="s">
        <v>208</v>
      </c>
      <c r="D560" t="s">
        <v>15</v>
      </c>
      <c r="E560" t="s">
        <v>9</v>
      </c>
      <c r="G560" t="s">
        <v>10</v>
      </c>
      <c r="H560">
        <v>27</v>
      </c>
      <c r="I560">
        <v>20</v>
      </c>
      <c r="J560">
        <v>9.75</v>
      </c>
      <c r="K560">
        <v>1.25</v>
      </c>
      <c r="L560">
        <v>1</v>
      </c>
      <c r="M560">
        <v>0.41</v>
      </c>
      <c r="N560">
        <v>0.14699999999999999</v>
      </c>
      <c r="O560" s="21">
        <f t="shared" si="295"/>
        <v>0.56944444444444442</v>
      </c>
      <c r="P560" s="21">
        <f t="shared" si="296"/>
        <v>2.9611111111111112</v>
      </c>
      <c r="Q560" s="23">
        <f t="shared" si="291"/>
        <v>0.56944444444444442</v>
      </c>
      <c r="R560" s="23" t="str">
        <f t="shared" si="292"/>
        <v/>
      </c>
      <c r="T560" t="str">
        <f t="shared" si="293"/>
        <v/>
      </c>
    </row>
    <row r="561" spans="1:20" x14ac:dyDescent="0.2">
      <c r="A561">
        <v>564</v>
      </c>
      <c r="B561" t="s">
        <v>208</v>
      </c>
      <c r="D561" t="s">
        <v>15</v>
      </c>
      <c r="E561" t="s">
        <v>9</v>
      </c>
      <c r="G561" t="s">
        <v>11</v>
      </c>
      <c r="H561">
        <v>26</v>
      </c>
      <c r="I561">
        <v>44</v>
      </c>
      <c r="J561">
        <v>4.9000000000000004</v>
      </c>
      <c r="K561">
        <v>4.5999999999999996</v>
      </c>
      <c r="L561">
        <f t="shared" ref="L561:N561" si="323">L560</f>
        <v>1</v>
      </c>
      <c r="M561">
        <f t="shared" si="323"/>
        <v>0.41</v>
      </c>
      <c r="N561">
        <f t="shared" si="323"/>
        <v>0.14699999999999999</v>
      </c>
      <c r="O561" s="21">
        <f t="shared" si="295"/>
        <v>2.0955555555555554</v>
      </c>
      <c r="P561" s="21">
        <f t="shared" si="296"/>
        <v>1.4881481481481482</v>
      </c>
      <c r="Q561" s="23">
        <f t="shared" si="291"/>
        <v>2.0955555555555554</v>
      </c>
      <c r="R561" s="23" t="str">
        <f t="shared" si="292"/>
        <v/>
      </c>
      <c r="T561" t="str">
        <f t="shared" si="293"/>
        <v/>
      </c>
    </row>
    <row r="562" spans="1:20" x14ac:dyDescent="0.2">
      <c r="A562">
        <v>565</v>
      </c>
      <c r="B562" t="s">
        <v>208</v>
      </c>
      <c r="D562" t="s">
        <v>15</v>
      </c>
      <c r="E562" t="s">
        <v>9</v>
      </c>
      <c r="G562" t="s">
        <v>12</v>
      </c>
      <c r="H562">
        <v>31</v>
      </c>
      <c r="I562">
        <v>21</v>
      </c>
      <c r="J562">
        <v>4.95</v>
      </c>
      <c r="K562">
        <v>2.1</v>
      </c>
      <c r="L562">
        <v>0.65</v>
      </c>
      <c r="M562">
        <v>0.5</v>
      </c>
      <c r="N562">
        <v>0.115</v>
      </c>
      <c r="O562" s="21">
        <f t="shared" si="295"/>
        <v>1.7948717948717949</v>
      </c>
      <c r="P562" s="21">
        <f t="shared" si="296"/>
        <v>2.8205128205128207</v>
      </c>
      <c r="Q562" s="23" t="str">
        <f t="shared" si="291"/>
        <v/>
      </c>
      <c r="R562" s="23">
        <f t="shared" si="292"/>
        <v>1.7948717948717949</v>
      </c>
      <c r="T562" t="str">
        <f t="shared" si="293"/>
        <v/>
      </c>
    </row>
    <row r="563" spans="1:20" x14ac:dyDescent="0.2">
      <c r="A563">
        <v>566</v>
      </c>
      <c r="B563" t="s">
        <v>208</v>
      </c>
      <c r="D563" t="s">
        <v>15</v>
      </c>
      <c r="E563" t="s">
        <v>9</v>
      </c>
      <c r="G563" t="s">
        <v>14</v>
      </c>
      <c r="H563">
        <v>33</v>
      </c>
      <c r="I563">
        <v>33</v>
      </c>
      <c r="J563">
        <v>5.7</v>
      </c>
      <c r="K563">
        <v>6.7</v>
      </c>
      <c r="L563">
        <f t="shared" ref="L563:N563" si="324">L562</f>
        <v>0.65</v>
      </c>
      <c r="M563">
        <f t="shared" si="324"/>
        <v>0.5</v>
      </c>
      <c r="N563">
        <f t="shared" si="324"/>
        <v>0.115</v>
      </c>
      <c r="O563" s="21">
        <f t="shared" si="295"/>
        <v>5.7264957264957266</v>
      </c>
      <c r="P563" s="21">
        <f t="shared" si="296"/>
        <v>3.2478632478632479</v>
      </c>
      <c r="Q563" s="23" t="str">
        <f t="shared" si="291"/>
        <v/>
      </c>
      <c r="R563" s="23">
        <f t="shared" si="292"/>
        <v>5.7264957264957266</v>
      </c>
      <c r="T563" t="str">
        <f t="shared" si="293"/>
        <v/>
      </c>
    </row>
    <row r="564" spans="1:20" x14ac:dyDescent="0.2">
      <c r="A564">
        <v>567</v>
      </c>
      <c r="B564" t="s">
        <v>209</v>
      </c>
      <c r="C564" t="s">
        <v>209</v>
      </c>
      <c r="D564" t="s">
        <v>15</v>
      </c>
      <c r="E564" t="s">
        <v>9</v>
      </c>
      <c r="G564" t="s">
        <v>10</v>
      </c>
      <c r="H564">
        <v>34</v>
      </c>
      <c r="I564">
        <v>34</v>
      </c>
      <c r="J564">
        <v>5.65</v>
      </c>
      <c r="K564">
        <v>4.6500000000000004</v>
      </c>
      <c r="L564">
        <v>0.65</v>
      </c>
      <c r="M564">
        <v>0.48</v>
      </c>
      <c r="N564">
        <v>0.114</v>
      </c>
      <c r="O564" s="21">
        <f t="shared" si="295"/>
        <v>3.8153846153846156</v>
      </c>
      <c r="P564" s="21">
        <f t="shared" si="296"/>
        <v>3.0905982905982903</v>
      </c>
      <c r="Q564" s="23">
        <f t="shared" si="291"/>
        <v>3.8153846153846156</v>
      </c>
      <c r="R564" s="23" t="str">
        <f t="shared" si="292"/>
        <v/>
      </c>
      <c r="T564" t="str">
        <f t="shared" si="293"/>
        <v/>
      </c>
    </row>
    <row r="565" spans="1:20" x14ac:dyDescent="0.2">
      <c r="A565">
        <v>568</v>
      </c>
      <c r="B565" t="s">
        <v>209</v>
      </c>
      <c r="C565" t="s">
        <v>209</v>
      </c>
      <c r="D565" t="s">
        <v>15</v>
      </c>
      <c r="E565" t="s">
        <v>9</v>
      </c>
      <c r="G565" t="s">
        <v>11</v>
      </c>
      <c r="H565">
        <v>54</v>
      </c>
      <c r="I565">
        <v>54</v>
      </c>
      <c r="J565">
        <v>11.15</v>
      </c>
      <c r="K565">
        <v>6.55</v>
      </c>
      <c r="L565">
        <f t="shared" ref="L565:N565" si="325">L564</f>
        <v>0.65</v>
      </c>
      <c r="M565">
        <f t="shared" si="325"/>
        <v>0.48</v>
      </c>
      <c r="N565">
        <f t="shared" si="325"/>
        <v>0.114</v>
      </c>
      <c r="O565" s="21">
        <f t="shared" si="295"/>
        <v>5.3743589743589739</v>
      </c>
      <c r="P565" s="21">
        <f t="shared" si="296"/>
        <v>6.0991452991452988</v>
      </c>
      <c r="Q565" s="23">
        <f t="shared" si="291"/>
        <v>5.3743589743589739</v>
      </c>
      <c r="R565" s="23" t="str">
        <f t="shared" si="292"/>
        <v/>
      </c>
      <c r="T565" t="str">
        <f t="shared" si="293"/>
        <v/>
      </c>
    </row>
    <row r="566" spans="1:20" x14ac:dyDescent="0.2">
      <c r="A566">
        <v>569</v>
      </c>
      <c r="B566" t="s">
        <v>209</v>
      </c>
      <c r="C566" t="s">
        <v>209</v>
      </c>
      <c r="D566" t="s">
        <v>15</v>
      </c>
      <c r="E566" t="s">
        <v>9</v>
      </c>
      <c r="G566" t="s">
        <v>12</v>
      </c>
      <c r="H566">
        <v>43</v>
      </c>
      <c r="I566">
        <v>44</v>
      </c>
      <c r="J566">
        <v>9.0500000000000007</v>
      </c>
      <c r="K566">
        <v>6.4</v>
      </c>
      <c r="L566">
        <v>0.8</v>
      </c>
      <c r="M566">
        <v>0.45200000000000001</v>
      </c>
      <c r="N566">
        <v>0.10299999999999999</v>
      </c>
      <c r="O566" s="21">
        <f t="shared" si="295"/>
        <v>4.0177777777777779</v>
      </c>
      <c r="P566" s="21">
        <f t="shared" si="296"/>
        <v>3.7875925925925924</v>
      </c>
      <c r="Q566" s="23" t="str">
        <f t="shared" si="291"/>
        <v/>
      </c>
      <c r="R566" s="23">
        <f t="shared" si="292"/>
        <v>4.0177777777777779</v>
      </c>
      <c r="T566" t="str">
        <f t="shared" si="293"/>
        <v/>
      </c>
    </row>
    <row r="567" spans="1:20" x14ac:dyDescent="0.2">
      <c r="A567">
        <v>570</v>
      </c>
      <c r="B567" t="s">
        <v>209</v>
      </c>
      <c r="C567" t="s">
        <v>209</v>
      </c>
      <c r="D567" t="s">
        <v>15</v>
      </c>
      <c r="E567" t="s">
        <v>9</v>
      </c>
      <c r="G567" t="s">
        <v>14</v>
      </c>
      <c r="H567">
        <v>34</v>
      </c>
      <c r="I567">
        <v>27</v>
      </c>
      <c r="J567">
        <v>6.4</v>
      </c>
      <c r="K567">
        <v>4.45</v>
      </c>
      <c r="L567">
        <f t="shared" ref="L567:N567" si="326">L566</f>
        <v>0.8</v>
      </c>
      <c r="M567">
        <f t="shared" si="326"/>
        <v>0.45200000000000001</v>
      </c>
      <c r="N567">
        <f t="shared" si="326"/>
        <v>0.10299999999999999</v>
      </c>
      <c r="O567" s="21">
        <f t="shared" si="295"/>
        <v>2.7936111111111108</v>
      </c>
      <c r="P567" s="21">
        <f t="shared" si="296"/>
        <v>2.6785185185185183</v>
      </c>
      <c r="Q567" s="23" t="str">
        <f t="shared" si="291"/>
        <v/>
      </c>
      <c r="R567" s="23">
        <f t="shared" si="292"/>
        <v>2.7936111111111108</v>
      </c>
      <c r="T567" t="str">
        <f t="shared" si="293"/>
        <v/>
      </c>
    </row>
    <row r="568" spans="1:20" x14ac:dyDescent="0.2">
      <c r="A568">
        <v>571</v>
      </c>
      <c r="B568" t="s">
        <v>210</v>
      </c>
      <c r="C568" t="s">
        <v>210</v>
      </c>
      <c r="D568" t="s">
        <v>15</v>
      </c>
      <c r="E568" t="s">
        <v>9</v>
      </c>
      <c r="G568" t="s">
        <v>10</v>
      </c>
      <c r="H568">
        <v>46</v>
      </c>
      <c r="I568">
        <v>22</v>
      </c>
      <c r="J568">
        <v>10.45</v>
      </c>
      <c r="K568">
        <v>2.0499999999999998</v>
      </c>
      <c r="L568">
        <v>0.6</v>
      </c>
      <c r="M568">
        <v>0.40899999999999997</v>
      </c>
      <c r="N568">
        <v>7.0000000000000007E-2</v>
      </c>
      <c r="O568" s="21">
        <f t="shared" si="295"/>
        <v>1.5526851851851851</v>
      </c>
      <c r="P568" s="21">
        <f t="shared" si="296"/>
        <v>5.2766049382716051</v>
      </c>
      <c r="Q568" s="23">
        <f t="shared" si="291"/>
        <v>1.5526851851851851</v>
      </c>
      <c r="R568" s="23" t="str">
        <f t="shared" si="292"/>
        <v/>
      </c>
      <c r="T568" t="str">
        <f t="shared" si="293"/>
        <v/>
      </c>
    </row>
    <row r="569" spans="1:20" x14ac:dyDescent="0.2">
      <c r="A569">
        <v>572</v>
      </c>
      <c r="B569" t="s">
        <v>210</v>
      </c>
      <c r="C569" t="s">
        <v>210</v>
      </c>
      <c r="D569" t="s">
        <v>15</v>
      </c>
      <c r="E569" t="s">
        <v>9</v>
      </c>
      <c r="G569" t="s">
        <v>11</v>
      </c>
      <c r="H569">
        <v>34</v>
      </c>
      <c r="I569">
        <v>14</v>
      </c>
      <c r="J569">
        <v>8.15</v>
      </c>
      <c r="K569">
        <v>1.05</v>
      </c>
      <c r="L569">
        <f>L568</f>
        <v>0.6</v>
      </c>
      <c r="M569">
        <f t="shared" ref="M569:N569" si="327">M568</f>
        <v>0.40899999999999997</v>
      </c>
      <c r="N569">
        <f t="shared" si="327"/>
        <v>7.0000000000000007E-2</v>
      </c>
      <c r="O569" s="21">
        <f t="shared" si="295"/>
        <v>0.79527777777777786</v>
      </c>
      <c r="P569" s="21">
        <f t="shared" si="296"/>
        <v>4.1152469135802479</v>
      </c>
      <c r="Q569" s="23">
        <f t="shared" si="291"/>
        <v>0.79527777777777786</v>
      </c>
      <c r="R569" s="23" t="str">
        <f t="shared" si="292"/>
        <v/>
      </c>
      <c r="T569" t="str">
        <f t="shared" si="293"/>
        <v/>
      </c>
    </row>
    <row r="570" spans="1:20" x14ac:dyDescent="0.2">
      <c r="A570">
        <v>573</v>
      </c>
      <c r="B570" s="15" t="s">
        <v>210</v>
      </c>
      <c r="C570" t="s">
        <v>210</v>
      </c>
      <c r="D570" s="15" t="s">
        <v>15</v>
      </c>
      <c r="E570" s="15" t="s">
        <v>9</v>
      </c>
      <c r="F570" s="15"/>
      <c r="G570" s="15" t="s">
        <v>12</v>
      </c>
      <c r="H570" s="15">
        <v>27</v>
      </c>
      <c r="I570" s="15">
        <v>10</v>
      </c>
      <c r="J570" s="15">
        <v>7.65</v>
      </c>
      <c r="K570" s="15">
        <v>0.9</v>
      </c>
      <c r="L570" s="15">
        <v>0.55000000000000004</v>
      </c>
      <c r="M570" s="15">
        <v>0.37</v>
      </c>
      <c r="N570" s="15"/>
      <c r="O570" s="21">
        <f t="shared" si="295"/>
        <v>0.67272727272727262</v>
      </c>
      <c r="P570" s="21">
        <f t="shared" si="296"/>
        <v>3.812121212121212</v>
      </c>
      <c r="Q570" s="23" t="str">
        <f t="shared" si="291"/>
        <v/>
      </c>
      <c r="R570" s="23">
        <f t="shared" si="292"/>
        <v>0.67272727272727262</v>
      </c>
      <c r="T570" t="str">
        <f t="shared" si="293"/>
        <v/>
      </c>
    </row>
    <row r="571" spans="1:20" x14ac:dyDescent="0.2">
      <c r="A571">
        <v>574</v>
      </c>
      <c r="B571" t="s">
        <v>210</v>
      </c>
      <c r="C571" t="s">
        <v>210</v>
      </c>
      <c r="D571" t="s">
        <v>15</v>
      </c>
      <c r="E571" t="s">
        <v>9</v>
      </c>
      <c r="G571" t="s">
        <v>14</v>
      </c>
      <c r="H571">
        <v>28</v>
      </c>
      <c r="I571">
        <v>17</v>
      </c>
      <c r="J571">
        <v>9.9499999999999993</v>
      </c>
      <c r="K571">
        <v>2.75</v>
      </c>
      <c r="L571">
        <f t="shared" ref="L571" si="328">L570</f>
        <v>0.55000000000000004</v>
      </c>
      <c r="M571">
        <v>0.37</v>
      </c>
      <c r="O571" s="21">
        <f t="shared" si="295"/>
        <v>2.0555555555555554</v>
      </c>
      <c r="P571" s="21">
        <f t="shared" si="296"/>
        <v>4.9582491582491581</v>
      </c>
      <c r="Q571" s="23" t="str">
        <f t="shared" si="291"/>
        <v/>
      </c>
      <c r="R571" s="23">
        <f t="shared" si="292"/>
        <v>2.0555555555555554</v>
      </c>
      <c r="T571" t="str">
        <f t="shared" si="293"/>
        <v/>
      </c>
    </row>
    <row r="572" spans="1:20" x14ac:dyDescent="0.2">
      <c r="A572">
        <v>575</v>
      </c>
      <c r="B572" t="s">
        <v>211</v>
      </c>
      <c r="C572" t="s">
        <v>211</v>
      </c>
      <c r="D572" t="s">
        <v>15</v>
      </c>
      <c r="E572" t="s">
        <v>9</v>
      </c>
      <c r="G572" t="s">
        <v>10</v>
      </c>
      <c r="H572">
        <v>32</v>
      </c>
      <c r="I572">
        <v>27</v>
      </c>
      <c r="J572">
        <v>16.399999999999999</v>
      </c>
      <c r="K572">
        <v>4.9000000000000004</v>
      </c>
      <c r="L572">
        <v>0.95</v>
      </c>
      <c r="M572">
        <v>0.53900000000000003</v>
      </c>
      <c r="N572">
        <v>0.107</v>
      </c>
      <c r="O572" s="21">
        <f t="shared" si="295"/>
        <v>3.0890058479532172</v>
      </c>
      <c r="P572" s="21">
        <f t="shared" si="296"/>
        <v>6.8924756335282655</v>
      </c>
      <c r="Q572" s="23">
        <f t="shared" si="291"/>
        <v>3.0890058479532172</v>
      </c>
      <c r="R572" s="23" t="str">
        <f t="shared" si="292"/>
        <v/>
      </c>
      <c r="T572" t="str">
        <f t="shared" si="293"/>
        <v/>
      </c>
    </row>
    <row r="573" spans="1:20" x14ac:dyDescent="0.2">
      <c r="A573">
        <v>576</v>
      </c>
      <c r="B573" t="s">
        <v>211</v>
      </c>
      <c r="C573" t="s">
        <v>211</v>
      </c>
      <c r="D573" t="s">
        <v>15</v>
      </c>
      <c r="E573" t="s">
        <v>9</v>
      </c>
      <c r="G573" t="s">
        <v>11</v>
      </c>
      <c r="H573">
        <v>33</v>
      </c>
      <c r="I573">
        <v>28</v>
      </c>
      <c r="J573">
        <v>15.35</v>
      </c>
      <c r="K573">
        <v>5.2</v>
      </c>
      <c r="L573">
        <f t="shared" ref="L573:N573" si="329">L572</f>
        <v>0.95</v>
      </c>
      <c r="M573">
        <f t="shared" si="329"/>
        <v>0.53900000000000003</v>
      </c>
      <c r="N573">
        <f t="shared" si="329"/>
        <v>0.107</v>
      </c>
      <c r="O573" s="21">
        <f t="shared" si="295"/>
        <v>3.2781286549707604</v>
      </c>
      <c r="P573" s="21">
        <f t="shared" si="296"/>
        <v>6.4511890838206636</v>
      </c>
      <c r="Q573" s="23">
        <f t="shared" si="291"/>
        <v>3.2781286549707604</v>
      </c>
      <c r="R573" s="23" t="str">
        <f t="shared" si="292"/>
        <v/>
      </c>
      <c r="T573" t="str">
        <f t="shared" si="293"/>
        <v/>
      </c>
    </row>
    <row r="574" spans="1:20" x14ac:dyDescent="0.2">
      <c r="A574">
        <v>577</v>
      </c>
      <c r="B574" t="s">
        <v>211</v>
      </c>
      <c r="C574" t="s">
        <v>211</v>
      </c>
      <c r="D574" t="s">
        <v>15</v>
      </c>
      <c r="E574" t="s">
        <v>9</v>
      </c>
      <c r="G574" t="s">
        <v>12</v>
      </c>
      <c r="H574">
        <v>32</v>
      </c>
      <c r="I574">
        <v>34</v>
      </c>
      <c r="J574">
        <v>14</v>
      </c>
      <c r="K574">
        <v>5.95</v>
      </c>
      <c r="L574">
        <v>0.75</v>
      </c>
      <c r="M574">
        <v>0.39</v>
      </c>
      <c r="N574">
        <v>0.1</v>
      </c>
      <c r="O574" s="21">
        <f t="shared" si="295"/>
        <v>3.4377777777777783</v>
      </c>
      <c r="P574" s="21">
        <f t="shared" si="296"/>
        <v>5.3925925925925933</v>
      </c>
      <c r="Q574" s="23" t="str">
        <f t="shared" si="291"/>
        <v/>
      </c>
      <c r="R574" s="23">
        <f t="shared" si="292"/>
        <v>3.4377777777777783</v>
      </c>
      <c r="T574" t="str">
        <f t="shared" si="293"/>
        <v/>
      </c>
    </row>
    <row r="575" spans="1:20" x14ac:dyDescent="0.2">
      <c r="A575">
        <v>578</v>
      </c>
      <c r="B575" t="s">
        <v>211</v>
      </c>
      <c r="C575" t="s">
        <v>211</v>
      </c>
      <c r="D575" t="s">
        <v>15</v>
      </c>
      <c r="E575" t="s">
        <v>9</v>
      </c>
      <c r="G575" t="s">
        <v>14</v>
      </c>
      <c r="H575">
        <v>28</v>
      </c>
      <c r="I575">
        <v>27</v>
      </c>
      <c r="J575">
        <v>9.8000000000000007</v>
      </c>
      <c r="K575">
        <v>4</v>
      </c>
      <c r="L575">
        <f t="shared" ref="L575:N575" si="330">L574</f>
        <v>0.75</v>
      </c>
      <c r="M575">
        <f t="shared" si="330"/>
        <v>0.39</v>
      </c>
      <c r="N575">
        <f t="shared" si="330"/>
        <v>0.1</v>
      </c>
      <c r="O575" s="21">
        <f t="shared" si="295"/>
        <v>2.3111111111111113</v>
      </c>
      <c r="P575" s="21">
        <f t="shared" si="296"/>
        <v>3.7748148148148153</v>
      </c>
      <c r="Q575" s="23" t="str">
        <f t="shared" ref="Q575:Q634" si="331">IF(LEFT(G575,7)="IMPROVE",O575,"")</f>
        <v/>
      </c>
      <c r="R575" s="23">
        <f t="shared" ref="R575:R634" si="332">IF(LEFT(G575,7)="FARMER ",O575,"")</f>
        <v>2.3111111111111113</v>
      </c>
      <c r="T575" t="str">
        <f t="shared" ref="T575:T634" si="333">IF(O575&gt;14,"VVVVVVVV","")</f>
        <v/>
      </c>
    </row>
    <row r="576" spans="1:20" x14ac:dyDescent="0.2">
      <c r="A576">
        <v>579</v>
      </c>
      <c r="B576" t="s">
        <v>212</v>
      </c>
      <c r="C576" t="s">
        <v>367</v>
      </c>
      <c r="D576" t="s">
        <v>15</v>
      </c>
      <c r="E576" t="s">
        <v>9</v>
      </c>
      <c r="G576" t="s">
        <v>10</v>
      </c>
      <c r="H576">
        <v>35</v>
      </c>
      <c r="I576">
        <v>34</v>
      </c>
      <c r="J576">
        <v>13.05</v>
      </c>
      <c r="K576">
        <v>10</v>
      </c>
      <c r="L576">
        <v>1.2</v>
      </c>
      <c r="M576">
        <v>0.80800000000000005</v>
      </c>
      <c r="N576">
        <v>0.108</v>
      </c>
      <c r="O576" s="21">
        <f t="shared" si="295"/>
        <v>7.4814814814814827</v>
      </c>
      <c r="P576" s="21">
        <f t="shared" si="296"/>
        <v>6.5088888888888912</v>
      </c>
      <c r="Q576" s="23">
        <f t="shared" si="331"/>
        <v>7.4814814814814827</v>
      </c>
      <c r="R576" s="23" t="str">
        <f t="shared" si="332"/>
        <v/>
      </c>
      <c r="T576" t="str">
        <f t="shared" si="333"/>
        <v/>
      </c>
    </row>
    <row r="577" spans="1:20" x14ac:dyDescent="0.2">
      <c r="A577">
        <v>580</v>
      </c>
      <c r="B577" t="s">
        <v>212</v>
      </c>
      <c r="C577" t="s">
        <v>367</v>
      </c>
      <c r="D577" t="s">
        <v>15</v>
      </c>
      <c r="E577" t="s">
        <v>9</v>
      </c>
      <c r="G577" t="s">
        <v>11</v>
      </c>
      <c r="H577">
        <v>31</v>
      </c>
      <c r="I577">
        <v>29</v>
      </c>
      <c r="J577">
        <v>9.15</v>
      </c>
      <c r="K577">
        <v>7.7</v>
      </c>
      <c r="L577">
        <f t="shared" ref="L577:N577" si="334">L576</f>
        <v>1.2</v>
      </c>
      <c r="M577">
        <f t="shared" si="334"/>
        <v>0.80800000000000005</v>
      </c>
      <c r="N577">
        <f t="shared" si="334"/>
        <v>0.108</v>
      </c>
      <c r="O577" s="21">
        <f t="shared" si="295"/>
        <v>5.7607407407407418</v>
      </c>
      <c r="P577" s="21">
        <f t="shared" si="296"/>
        <v>4.5637037037037045</v>
      </c>
      <c r="Q577" s="23">
        <f t="shared" si="331"/>
        <v>5.7607407407407418</v>
      </c>
      <c r="R577" s="23" t="str">
        <f t="shared" si="332"/>
        <v/>
      </c>
      <c r="T577" t="str">
        <f t="shared" si="333"/>
        <v/>
      </c>
    </row>
    <row r="578" spans="1:20" x14ac:dyDescent="0.2">
      <c r="A578">
        <v>581</v>
      </c>
      <c r="B578" t="s">
        <v>212</v>
      </c>
      <c r="C578" t="s">
        <v>367</v>
      </c>
      <c r="D578" t="s">
        <v>15</v>
      </c>
      <c r="E578" t="s">
        <v>9</v>
      </c>
      <c r="G578" t="s">
        <v>12</v>
      </c>
      <c r="H578">
        <v>17</v>
      </c>
      <c r="I578">
        <v>17</v>
      </c>
      <c r="J578">
        <v>6.15</v>
      </c>
      <c r="K578">
        <v>4.3</v>
      </c>
      <c r="L578">
        <v>1</v>
      </c>
      <c r="M578">
        <v>0.69</v>
      </c>
      <c r="N578">
        <v>0.10199999999999999</v>
      </c>
      <c r="O578" s="21">
        <f t="shared" ref="O578:O637" si="335">K578*(M578/L578)*(10/9)</f>
        <v>3.2966666666666664</v>
      </c>
      <c r="P578" s="21">
        <f t="shared" ref="P578:P637" si="336">J578*(M578/(L578*1.5))*(10/9)</f>
        <v>3.1433333333333331</v>
      </c>
      <c r="Q578" s="23" t="str">
        <f t="shared" si="331"/>
        <v/>
      </c>
      <c r="R578" s="23">
        <f t="shared" si="332"/>
        <v>3.2966666666666664</v>
      </c>
      <c r="T578" t="str">
        <f t="shared" si="333"/>
        <v/>
      </c>
    </row>
    <row r="579" spans="1:20" x14ac:dyDescent="0.2">
      <c r="A579">
        <v>582</v>
      </c>
      <c r="B579" t="s">
        <v>212</v>
      </c>
      <c r="C579" t="s">
        <v>367</v>
      </c>
      <c r="D579" t="s">
        <v>15</v>
      </c>
      <c r="E579" t="s">
        <v>9</v>
      </c>
      <c r="G579" t="s">
        <v>14</v>
      </c>
      <c r="H579">
        <v>27</v>
      </c>
      <c r="I579">
        <v>28</v>
      </c>
      <c r="J579">
        <v>9.5500000000000007</v>
      </c>
      <c r="K579">
        <v>7.4</v>
      </c>
      <c r="L579">
        <f t="shared" ref="L579:N579" si="337">L578</f>
        <v>1</v>
      </c>
      <c r="M579">
        <f t="shared" si="337"/>
        <v>0.69</v>
      </c>
      <c r="N579">
        <f t="shared" si="337"/>
        <v>0.10199999999999999</v>
      </c>
      <c r="O579" s="21">
        <f t="shared" si="335"/>
        <v>5.6733333333333338</v>
      </c>
      <c r="P579" s="21">
        <f t="shared" si="336"/>
        <v>4.8811111111111112</v>
      </c>
      <c r="Q579" s="23" t="str">
        <f t="shared" si="331"/>
        <v/>
      </c>
      <c r="R579" s="23">
        <f t="shared" si="332"/>
        <v>5.6733333333333338</v>
      </c>
      <c r="T579" t="str">
        <f t="shared" si="333"/>
        <v/>
      </c>
    </row>
    <row r="580" spans="1:20" x14ac:dyDescent="0.2">
      <c r="A580">
        <v>583</v>
      </c>
      <c r="B580" t="s">
        <v>213</v>
      </c>
      <c r="C580" t="s">
        <v>213</v>
      </c>
      <c r="D580" t="s">
        <v>15</v>
      </c>
      <c r="E580" t="s">
        <v>9</v>
      </c>
      <c r="G580" t="s">
        <v>10</v>
      </c>
      <c r="H580">
        <v>29</v>
      </c>
      <c r="I580">
        <v>31</v>
      </c>
      <c r="J580">
        <v>6.65</v>
      </c>
      <c r="K580">
        <v>6.65</v>
      </c>
      <c r="L580">
        <v>0.85</v>
      </c>
      <c r="M580">
        <v>0.47199999999999998</v>
      </c>
      <c r="N580">
        <v>0.13500000000000001</v>
      </c>
      <c r="O580" s="21">
        <f>K580*(M580/L580)*(10/9)*36/H580</f>
        <v>5.0933874239350914</v>
      </c>
      <c r="P580" s="21">
        <f t="shared" si="336"/>
        <v>2.7353376906318081</v>
      </c>
      <c r="Q580" s="23">
        <f t="shared" si="331"/>
        <v>5.0933874239350914</v>
      </c>
      <c r="R580" s="23" t="str">
        <f t="shared" si="332"/>
        <v/>
      </c>
      <c r="T580" t="str">
        <f t="shared" si="333"/>
        <v/>
      </c>
    </row>
    <row r="581" spans="1:20" x14ac:dyDescent="0.2">
      <c r="A581">
        <v>584</v>
      </c>
      <c r="B581" t="s">
        <v>213</v>
      </c>
      <c r="C581" t="s">
        <v>213</v>
      </c>
      <c r="D581" t="s">
        <v>15</v>
      </c>
      <c r="E581" t="s">
        <v>9</v>
      </c>
      <c r="G581" t="s">
        <v>11</v>
      </c>
      <c r="H581">
        <v>27</v>
      </c>
      <c r="I581">
        <v>29</v>
      </c>
      <c r="J581">
        <v>4.95</v>
      </c>
      <c r="K581">
        <v>4.05</v>
      </c>
      <c r="L581">
        <f t="shared" ref="L581:N581" si="338">L580</f>
        <v>0.85</v>
      </c>
      <c r="M581">
        <f t="shared" si="338"/>
        <v>0.47199999999999998</v>
      </c>
      <c r="N581">
        <f t="shared" si="338"/>
        <v>0.13500000000000001</v>
      </c>
      <c r="O581" s="21">
        <f t="shared" ref="O581:O583" si="339">K581*(M581/L581)*(10/9)*36/H581</f>
        <v>3.3317647058823532</v>
      </c>
      <c r="P581" s="21">
        <f t="shared" si="336"/>
        <v>2.0360784313725491</v>
      </c>
      <c r="Q581" s="23">
        <f t="shared" si="331"/>
        <v>3.3317647058823532</v>
      </c>
      <c r="R581" s="23" t="str">
        <f t="shared" si="332"/>
        <v/>
      </c>
      <c r="T581" t="str">
        <f t="shared" si="333"/>
        <v/>
      </c>
    </row>
    <row r="582" spans="1:20" x14ac:dyDescent="0.2">
      <c r="A582">
        <v>585</v>
      </c>
      <c r="B582" t="s">
        <v>213</v>
      </c>
      <c r="C582" t="s">
        <v>213</v>
      </c>
      <c r="D582" t="s">
        <v>15</v>
      </c>
      <c r="E582" t="s">
        <v>9</v>
      </c>
      <c r="G582" t="s">
        <v>12</v>
      </c>
      <c r="H582">
        <v>36</v>
      </c>
      <c r="I582">
        <v>35</v>
      </c>
      <c r="J582">
        <v>7.05</v>
      </c>
      <c r="K582">
        <v>8.35</v>
      </c>
      <c r="L582">
        <v>0.8</v>
      </c>
      <c r="M582">
        <v>0.47399999999999998</v>
      </c>
      <c r="N582">
        <v>7.8E-2</v>
      </c>
      <c r="O582" s="21">
        <f t="shared" si="339"/>
        <v>5.4970833333333324</v>
      </c>
      <c r="P582" s="21">
        <f t="shared" si="336"/>
        <v>3.0941666666666663</v>
      </c>
      <c r="Q582" s="23" t="str">
        <f t="shared" si="331"/>
        <v/>
      </c>
      <c r="R582" s="23">
        <f t="shared" si="332"/>
        <v>5.4970833333333324</v>
      </c>
      <c r="T582" t="str">
        <f t="shared" si="333"/>
        <v/>
      </c>
    </row>
    <row r="583" spans="1:20" x14ac:dyDescent="0.2">
      <c r="A583">
        <v>586</v>
      </c>
      <c r="B583" t="s">
        <v>213</v>
      </c>
      <c r="C583" t="s">
        <v>213</v>
      </c>
      <c r="D583" t="s">
        <v>15</v>
      </c>
      <c r="E583" t="s">
        <v>9</v>
      </c>
      <c r="G583" t="s">
        <v>14</v>
      </c>
      <c r="H583">
        <v>29</v>
      </c>
      <c r="I583">
        <v>30</v>
      </c>
      <c r="J583">
        <v>3.2</v>
      </c>
      <c r="K583">
        <v>4.1500000000000004</v>
      </c>
      <c r="L583">
        <f t="shared" ref="L583:N583" si="340">L582</f>
        <v>0.8</v>
      </c>
      <c r="M583">
        <f t="shared" si="340"/>
        <v>0.47399999999999998</v>
      </c>
      <c r="N583">
        <f t="shared" si="340"/>
        <v>7.8E-2</v>
      </c>
      <c r="O583" s="21">
        <f t="shared" si="339"/>
        <v>3.3915517241379307</v>
      </c>
      <c r="P583" s="21">
        <f t="shared" si="336"/>
        <v>1.4044444444444444</v>
      </c>
      <c r="Q583" s="23" t="str">
        <f t="shared" si="331"/>
        <v/>
      </c>
      <c r="R583" s="23">
        <f t="shared" si="332"/>
        <v>3.3915517241379307</v>
      </c>
      <c r="T583" t="str">
        <f t="shared" si="333"/>
        <v/>
      </c>
    </row>
    <row r="584" spans="1:20" x14ac:dyDescent="0.2">
      <c r="A584">
        <v>587</v>
      </c>
      <c r="B584" t="s">
        <v>214</v>
      </c>
      <c r="C584" t="s">
        <v>368</v>
      </c>
      <c r="D584" t="s">
        <v>15</v>
      </c>
      <c r="E584" t="s">
        <v>9</v>
      </c>
      <c r="G584" t="s">
        <v>10</v>
      </c>
      <c r="H584">
        <v>26</v>
      </c>
      <c r="I584">
        <v>23</v>
      </c>
      <c r="J584">
        <v>4.5</v>
      </c>
      <c r="K584">
        <v>3.6</v>
      </c>
      <c r="L584">
        <v>0.65</v>
      </c>
      <c r="M584">
        <v>0.33800000000000002</v>
      </c>
      <c r="N584">
        <v>7.6999999999999999E-2</v>
      </c>
      <c r="O584" s="21">
        <f t="shared" si="335"/>
        <v>2.08</v>
      </c>
      <c r="P584" s="21">
        <f t="shared" si="336"/>
        <v>1.7333333333333334</v>
      </c>
      <c r="Q584" s="23">
        <f t="shared" si="331"/>
        <v>2.08</v>
      </c>
      <c r="R584" s="23" t="str">
        <f t="shared" si="332"/>
        <v/>
      </c>
      <c r="T584" t="str">
        <f t="shared" si="333"/>
        <v/>
      </c>
    </row>
    <row r="585" spans="1:20" x14ac:dyDescent="0.2">
      <c r="A585">
        <v>588</v>
      </c>
      <c r="B585" t="s">
        <v>214</v>
      </c>
      <c r="C585" t="s">
        <v>368</v>
      </c>
      <c r="D585" t="s">
        <v>15</v>
      </c>
      <c r="E585" t="s">
        <v>9</v>
      </c>
      <c r="G585" t="s">
        <v>11</v>
      </c>
      <c r="H585">
        <v>26</v>
      </c>
      <c r="I585">
        <v>27</v>
      </c>
      <c r="J585">
        <v>3.85</v>
      </c>
      <c r="K585">
        <v>2.5499999999999998</v>
      </c>
      <c r="L585">
        <f t="shared" ref="L585:N585" si="341">L584</f>
        <v>0.65</v>
      </c>
      <c r="M585">
        <f t="shared" si="341"/>
        <v>0.33800000000000002</v>
      </c>
      <c r="N585">
        <f t="shared" si="341"/>
        <v>7.6999999999999999E-2</v>
      </c>
      <c r="O585" s="21">
        <f t="shared" si="335"/>
        <v>1.4733333333333332</v>
      </c>
      <c r="P585" s="21">
        <f t="shared" si="336"/>
        <v>1.482962962962963</v>
      </c>
      <c r="Q585" s="23">
        <f t="shared" si="331"/>
        <v>1.4733333333333332</v>
      </c>
      <c r="R585" s="23" t="str">
        <f t="shared" si="332"/>
        <v/>
      </c>
      <c r="T585" t="str">
        <f t="shared" si="333"/>
        <v/>
      </c>
    </row>
    <row r="586" spans="1:20" x14ac:dyDescent="0.2">
      <c r="A586">
        <v>589</v>
      </c>
      <c r="B586" t="s">
        <v>214</v>
      </c>
      <c r="C586" t="s">
        <v>368</v>
      </c>
      <c r="D586" t="s">
        <v>15</v>
      </c>
      <c r="E586" t="s">
        <v>9</v>
      </c>
      <c r="G586" t="s">
        <v>12</v>
      </c>
      <c r="H586">
        <v>32</v>
      </c>
      <c r="I586">
        <v>32</v>
      </c>
      <c r="J586">
        <v>4.6500000000000004</v>
      </c>
      <c r="K586">
        <v>3.15</v>
      </c>
      <c r="L586">
        <v>0.55000000000000004</v>
      </c>
      <c r="M586">
        <v>0.27400000000000002</v>
      </c>
      <c r="N586">
        <v>9.0999999999999998E-2</v>
      </c>
      <c r="O586" s="21">
        <f t="shared" si="335"/>
        <v>1.7436363636363637</v>
      </c>
      <c r="P586" s="21">
        <f t="shared" si="336"/>
        <v>1.7159595959595961</v>
      </c>
      <c r="Q586" s="23" t="str">
        <f t="shared" si="331"/>
        <v/>
      </c>
      <c r="R586" s="23">
        <f t="shared" si="332"/>
        <v>1.7436363636363637</v>
      </c>
      <c r="T586" t="str">
        <f t="shared" si="333"/>
        <v/>
      </c>
    </row>
    <row r="587" spans="1:20" x14ac:dyDescent="0.2">
      <c r="A587">
        <v>590</v>
      </c>
      <c r="B587" s="15" t="s">
        <v>215</v>
      </c>
      <c r="C587" t="s">
        <v>215</v>
      </c>
      <c r="D587" s="15" t="s">
        <v>1</v>
      </c>
      <c r="E587" s="15" t="s">
        <v>9</v>
      </c>
      <c r="F587" s="15"/>
      <c r="G587" s="15" t="s">
        <v>10</v>
      </c>
      <c r="H587" s="15">
        <v>24</v>
      </c>
      <c r="I587" s="15">
        <v>23</v>
      </c>
      <c r="J587" s="15">
        <v>4.32</v>
      </c>
      <c r="K587" s="15">
        <v>4.3</v>
      </c>
      <c r="L587" s="15">
        <v>1.02</v>
      </c>
      <c r="M587" s="15">
        <v>0.77</v>
      </c>
      <c r="N587" s="15"/>
      <c r="O587" s="21">
        <f t="shared" si="335"/>
        <v>3.6067538126361653</v>
      </c>
      <c r="P587" s="21">
        <f t="shared" si="336"/>
        <v>2.4156862745098042</v>
      </c>
      <c r="Q587" s="23">
        <f t="shared" si="331"/>
        <v>3.6067538126361653</v>
      </c>
      <c r="R587" s="23" t="str">
        <f t="shared" si="332"/>
        <v/>
      </c>
      <c r="S587" s="15"/>
      <c r="T587" t="str">
        <f t="shared" si="333"/>
        <v/>
      </c>
    </row>
    <row r="588" spans="1:20" x14ac:dyDescent="0.2">
      <c r="A588">
        <v>591</v>
      </c>
      <c r="B588" t="s">
        <v>215</v>
      </c>
      <c r="C588" t="s">
        <v>215</v>
      </c>
      <c r="D588" t="s">
        <v>1</v>
      </c>
      <c r="E588" t="s">
        <v>9</v>
      </c>
      <c r="G588" t="s">
        <v>11</v>
      </c>
      <c r="H588">
        <v>24</v>
      </c>
      <c r="I588">
        <v>22</v>
      </c>
      <c r="J588">
        <v>3.7</v>
      </c>
      <c r="K588">
        <v>4.13</v>
      </c>
      <c r="L588">
        <f t="shared" ref="L588" si="342">L587</f>
        <v>1.02</v>
      </c>
      <c r="M588">
        <v>0.77</v>
      </c>
      <c r="O588" s="21">
        <f t="shared" si="335"/>
        <v>3.464161220043573</v>
      </c>
      <c r="P588" s="21">
        <f t="shared" si="336"/>
        <v>2.0689905591866378</v>
      </c>
      <c r="Q588" s="23">
        <f t="shared" si="331"/>
        <v>3.464161220043573</v>
      </c>
      <c r="R588" s="23" t="str">
        <f t="shared" si="332"/>
        <v/>
      </c>
      <c r="T588" t="str">
        <f t="shared" si="333"/>
        <v/>
      </c>
    </row>
    <row r="589" spans="1:20" x14ac:dyDescent="0.2">
      <c r="A589">
        <v>592</v>
      </c>
      <c r="B589" t="s">
        <v>215</v>
      </c>
      <c r="C589" t="s">
        <v>215</v>
      </c>
      <c r="D589" t="s">
        <v>1</v>
      </c>
      <c r="E589" t="s">
        <v>9</v>
      </c>
      <c r="G589" t="s">
        <v>12</v>
      </c>
      <c r="H589">
        <v>20</v>
      </c>
      <c r="I589">
        <v>22</v>
      </c>
      <c r="J589">
        <v>1.7</v>
      </c>
      <c r="K589">
        <v>1.1000000000000001</v>
      </c>
      <c r="L589">
        <v>0.62</v>
      </c>
      <c r="M589">
        <v>0.47099999999999997</v>
      </c>
      <c r="N589">
        <v>9.5000000000000001E-2</v>
      </c>
      <c r="O589" s="21">
        <f t="shared" si="335"/>
        <v>0.92849462365591406</v>
      </c>
      <c r="P589" s="21">
        <f t="shared" si="336"/>
        <v>0.95663082437275992</v>
      </c>
      <c r="Q589" s="23" t="str">
        <f t="shared" si="331"/>
        <v/>
      </c>
      <c r="R589" s="23">
        <f t="shared" si="332"/>
        <v>0.92849462365591406</v>
      </c>
      <c r="T589" t="str">
        <f t="shared" si="333"/>
        <v/>
      </c>
    </row>
    <row r="590" spans="1:20" x14ac:dyDescent="0.2">
      <c r="A590">
        <v>593</v>
      </c>
      <c r="B590" t="s">
        <v>215</v>
      </c>
      <c r="C590" t="s">
        <v>215</v>
      </c>
      <c r="D590" t="s">
        <v>1</v>
      </c>
      <c r="E590" t="s">
        <v>9</v>
      </c>
      <c r="G590" t="s">
        <v>14</v>
      </c>
      <c r="H590">
        <v>21</v>
      </c>
      <c r="I590">
        <v>20</v>
      </c>
      <c r="J590">
        <v>1.3</v>
      </c>
      <c r="K590">
        <v>1</v>
      </c>
      <c r="L590">
        <f t="shared" ref="L590:N590" si="343">L589</f>
        <v>0.62</v>
      </c>
      <c r="M590">
        <f t="shared" si="343"/>
        <v>0.47099999999999997</v>
      </c>
      <c r="N590">
        <f t="shared" si="343"/>
        <v>9.5000000000000001E-2</v>
      </c>
      <c r="O590" s="21">
        <f t="shared" si="335"/>
        <v>0.84408602150537637</v>
      </c>
      <c r="P590" s="21">
        <f t="shared" si="336"/>
        <v>0.73154121863799293</v>
      </c>
      <c r="Q590" s="23" t="str">
        <f t="shared" si="331"/>
        <v/>
      </c>
      <c r="R590" s="23">
        <f t="shared" si="332"/>
        <v>0.84408602150537637</v>
      </c>
      <c r="T590" t="str">
        <f t="shared" si="333"/>
        <v/>
      </c>
    </row>
    <row r="591" spans="1:20" x14ac:dyDescent="0.2">
      <c r="A591">
        <v>594</v>
      </c>
      <c r="B591" t="s">
        <v>216</v>
      </c>
      <c r="C591" t="s">
        <v>369</v>
      </c>
      <c r="D591" t="s">
        <v>1</v>
      </c>
      <c r="E591" t="s">
        <v>9</v>
      </c>
      <c r="G591" t="s">
        <v>10</v>
      </c>
      <c r="H591">
        <v>39</v>
      </c>
      <c r="I591">
        <v>40</v>
      </c>
      <c r="J591">
        <v>10.31</v>
      </c>
      <c r="K591">
        <v>9.01</v>
      </c>
      <c r="L591">
        <v>1.08</v>
      </c>
      <c r="M591">
        <v>0.77200000000000002</v>
      </c>
      <c r="N591">
        <v>0.14799999999999999</v>
      </c>
      <c r="O591" s="21">
        <f t="shared" si="335"/>
        <v>7.1560905349794242</v>
      </c>
      <c r="P591" s="21">
        <f t="shared" si="336"/>
        <v>5.459067215363512</v>
      </c>
      <c r="Q591" s="23">
        <f t="shared" si="331"/>
        <v>7.1560905349794242</v>
      </c>
      <c r="R591" s="23" t="str">
        <f t="shared" si="332"/>
        <v/>
      </c>
      <c r="T591" t="str">
        <f t="shared" si="333"/>
        <v/>
      </c>
    </row>
    <row r="592" spans="1:20" x14ac:dyDescent="0.2">
      <c r="A592">
        <v>595</v>
      </c>
      <c r="B592" t="s">
        <v>216</v>
      </c>
      <c r="C592" t="s">
        <v>369</v>
      </c>
      <c r="D592" t="s">
        <v>1</v>
      </c>
      <c r="E592" t="s">
        <v>9</v>
      </c>
      <c r="G592" t="s">
        <v>11</v>
      </c>
      <c r="H592">
        <v>38</v>
      </c>
      <c r="I592">
        <v>40</v>
      </c>
      <c r="J592">
        <v>7.18</v>
      </c>
      <c r="K592">
        <v>6.91</v>
      </c>
      <c r="L592">
        <f t="shared" ref="L592:N592" si="344">L591</f>
        <v>1.08</v>
      </c>
      <c r="M592">
        <f t="shared" si="344"/>
        <v>0.77200000000000002</v>
      </c>
      <c r="N592">
        <f t="shared" si="344"/>
        <v>0.14799999999999999</v>
      </c>
      <c r="O592" s="21">
        <f t="shared" si="335"/>
        <v>5.4881893004115225</v>
      </c>
      <c r="P592" s="21">
        <f t="shared" si="336"/>
        <v>3.801755829903978</v>
      </c>
      <c r="Q592" s="23">
        <f t="shared" si="331"/>
        <v>5.4881893004115225</v>
      </c>
      <c r="R592" s="23" t="str">
        <f t="shared" si="332"/>
        <v/>
      </c>
      <c r="T592" t="str">
        <f t="shared" si="333"/>
        <v/>
      </c>
    </row>
    <row r="593" spans="1:20" x14ac:dyDescent="0.2">
      <c r="A593">
        <v>596</v>
      </c>
      <c r="B593" t="s">
        <v>216</v>
      </c>
      <c r="C593" t="s">
        <v>369</v>
      </c>
      <c r="D593" t="s">
        <v>1</v>
      </c>
      <c r="E593" t="s">
        <v>9</v>
      </c>
      <c r="G593" t="s">
        <v>12</v>
      </c>
      <c r="H593">
        <v>29</v>
      </c>
      <c r="I593">
        <v>32</v>
      </c>
      <c r="J593">
        <v>5.21</v>
      </c>
      <c r="K593">
        <v>6.05</v>
      </c>
      <c r="L593">
        <v>0.68</v>
      </c>
      <c r="M593">
        <v>0.50600000000000001</v>
      </c>
      <c r="N593">
        <v>0.107</v>
      </c>
      <c r="O593" s="21">
        <f t="shared" si="335"/>
        <v>5.0021241830065355</v>
      </c>
      <c r="P593" s="21">
        <f t="shared" si="336"/>
        <v>2.8717429193899786</v>
      </c>
      <c r="Q593" s="23" t="str">
        <f t="shared" si="331"/>
        <v/>
      </c>
      <c r="R593" s="23">
        <f t="shared" si="332"/>
        <v>5.0021241830065355</v>
      </c>
      <c r="T593" t="str">
        <f t="shared" si="333"/>
        <v/>
      </c>
    </row>
    <row r="594" spans="1:20" x14ac:dyDescent="0.2">
      <c r="A594">
        <v>597</v>
      </c>
      <c r="B594" t="s">
        <v>216</v>
      </c>
      <c r="C594" t="s">
        <v>369</v>
      </c>
      <c r="D594" t="s">
        <v>1</v>
      </c>
      <c r="E594" t="s">
        <v>9</v>
      </c>
      <c r="G594" t="s">
        <v>14</v>
      </c>
      <c r="H594">
        <v>30</v>
      </c>
      <c r="I594">
        <v>29</v>
      </c>
      <c r="J594">
        <v>6.31</v>
      </c>
      <c r="K594">
        <v>5.45</v>
      </c>
      <c r="L594">
        <f t="shared" ref="L594:N594" si="345">L593</f>
        <v>0.68</v>
      </c>
      <c r="M594">
        <f t="shared" si="345"/>
        <v>0.50600000000000001</v>
      </c>
      <c r="N594">
        <f t="shared" si="345"/>
        <v>0.107</v>
      </c>
      <c r="O594" s="21">
        <f t="shared" si="335"/>
        <v>4.5060457516339865</v>
      </c>
      <c r="P594" s="21">
        <f t="shared" si="336"/>
        <v>3.4780610021786491</v>
      </c>
      <c r="Q594" s="23" t="str">
        <f t="shared" si="331"/>
        <v/>
      </c>
      <c r="R594" s="23">
        <f t="shared" si="332"/>
        <v>4.5060457516339865</v>
      </c>
      <c r="T594" t="str">
        <f t="shared" si="333"/>
        <v/>
      </c>
    </row>
    <row r="595" spans="1:20" x14ac:dyDescent="0.2">
      <c r="A595">
        <v>598</v>
      </c>
      <c r="B595" t="s">
        <v>217</v>
      </c>
      <c r="C595" t="s">
        <v>370</v>
      </c>
      <c r="D595" t="s">
        <v>1</v>
      </c>
      <c r="E595" t="s">
        <v>9</v>
      </c>
      <c r="G595" t="s">
        <v>10</v>
      </c>
      <c r="H595">
        <v>45</v>
      </c>
      <c r="I595">
        <v>39</v>
      </c>
      <c r="J595">
        <v>4.88</v>
      </c>
      <c r="K595">
        <v>4.76</v>
      </c>
      <c r="L595">
        <v>0.54</v>
      </c>
      <c r="M595" s="4">
        <v>0.45100000000000001</v>
      </c>
      <c r="N595" s="4">
        <v>0.106</v>
      </c>
      <c r="O595" s="21">
        <f t="shared" si="335"/>
        <v>4.4172016460905352</v>
      </c>
      <c r="P595" s="21">
        <f t="shared" si="336"/>
        <v>3.0190397805212621</v>
      </c>
      <c r="Q595" s="23">
        <f t="shared" si="331"/>
        <v>4.4172016460905352</v>
      </c>
      <c r="R595" s="23" t="str">
        <f t="shared" si="332"/>
        <v/>
      </c>
      <c r="T595" t="str">
        <f t="shared" si="333"/>
        <v/>
      </c>
    </row>
    <row r="596" spans="1:20" x14ac:dyDescent="0.2">
      <c r="A596">
        <v>599</v>
      </c>
      <c r="B596" t="s">
        <v>217</v>
      </c>
      <c r="C596" t="s">
        <v>370</v>
      </c>
      <c r="D596" t="s">
        <v>1</v>
      </c>
      <c r="E596" t="s">
        <v>9</v>
      </c>
      <c r="G596" t="s">
        <v>11</v>
      </c>
      <c r="H596">
        <v>33</v>
      </c>
      <c r="I596">
        <v>32</v>
      </c>
      <c r="J596">
        <v>4.04</v>
      </c>
      <c r="K596">
        <v>4.32</v>
      </c>
      <c r="L596">
        <f t="shared" ref="L596:N596" si="346">L595</f>
        <v>0.54</v>
      </c>
      <c r="M596">
        <f t="shared" si="346"/>
        <v>0.45100000000000001</v>
      </c>
      <c r="N596">
        <f t="shared" si="346"/>
        <v>0.106</v>
      </c>
      <c r="O596" s="21">
        <f t="shared" si="335"/>
        <v>4.0088888888888894</v>
      </c>
      <c r="P596" s="21">
        <f t="shared" si="336"/>
        <v>2.4993689986282579</v>
      </c>
      <c r="Q596" s="23">
        <f t="shared" si="331"/>
        <v>4.0088888888888894</v>
      </c>
      <c r="R596" s="23" t="str">
        <f t="shared" si="332"/>
        <v/>
      </c>
      <c r="T596" t="str">
        <f t="shared" si="333"/>
        <v/>
      </c>
    </row>
    <row r="597" spans="1:20" x14ac:dyDescent="0.2">
      <c r="A597">
        <v>600</v>
      </c>
      <c r="B597" t="s">
        <v>217</v>
      </c>
      <c r="C597" t="s">
        <v>370</v>
      </c>
      <c r="D597" t="s">
        <v>1</v>
      </c>
      <c r="E597" t="s">
        <v>9</v>
      </c>
      <c r="G597" t="s">
        <v>12</v>
      </c>
      <c r="H597">
        <v>33</v>
      </c>
      <c r="I597">
        <v>30</v>
      </c>
      <c r="J597">
        <v>3.99</v>
      </c>
      <c r="K597">
        <v>4.25</v>
      </c>
      <c r="L597">
        <v>0.6</v>
      </c>
      <c r="M597">
        <v>0.36</v>
      </c>
      <c r="N597">
        <v>0.126</v>
      </c>
      <c r="O597" s="21">
        <f t="shared" si="335"/>
        <v>2.8333333333333335</v>
      </c>
      <c r="P597" s="21">
        <f t="shared" si="336"/>
        <v>1.7733333333333334</v>
      </c>
      <c r="Q597" s="23" t="str">
        <f t="shared" si="331"/>
        <v/>
      </c>
      <c r="R597" s="23">
        <f t="shared" si="332"/>
        <v>2.8333333333333335</v>
      </c>
      <c r="T597" t="str">
        <f t="shared" si="333"/>
        <v/>
      </c>
    </row>
    <row r="598" spans="1:20" x14ac:dyDescent="0.2">
      <c r="A598">
        <v>601</v>
      </c>
      <c r="B598" t="s">
        <v>217</v>
      </c>
      <c r="C598" t="s">
        <v>370</v>
      </c>
      <c r="D598" t="s">
        <v>1</v>
      </c>
      <c r="E598" t="s">
        <v>9</v>
      </c>
      <c r="G598" t="s">
        <v>14</v>
      </c>
      <c r="H598">
        <v>33</v>
      </c>
      <c r="I598">
        <v>39</v>
      </c>
      <c r="J598">
        <v>4.53</v>
      </c>
      <c r="K598">
        <v>5.95</v>
      </c>
      <c r="L598">
        <f t="shared" ref="L598:N598" si="347">L597</f>
        <v>0.6</v>
      </c>
      <c r="M598">
        <f t="shared" si="347"/>
        <v>0.36</v>
      </c>
      <c r="N598">
        <f t="shared" si="347"/>
        <v>0.126</v>
      </c>
      <c r="O598" s="21">
        <f t="shared" si="335"/>
        <v>3.9666666666666668</v>
      </c>
      <c r="P598" s="21">
        <f t="shared" si="336"/>
        <v>2.0133333333333336</v>
      </c>
      <c r="Q598" s="23" t="str">
        <f t="shared" si="331"/>
        <v/>
      </c>
      <c r="R598" s="23">
        <f t="shared" si="332"/>
        <v>3.9666666666666668</v>
      </c>
      <c r="T598" t="str">
        <f t="shared" si="333"/>
        <v/>
      </c>
    </row>
    <row r="599" spans="1:20" x14ac:dyDescent="0.2">
      <c r="A599">
        <v>602</v>
      </c>
      <c r="B599" t="s">
        <v>218</v>
      </c>
      <c r="C599" t="s">
        <v>218</v>
      </c>
      <c r="D599" t="s">
        <v>1</v>
      </c>
      <c r="E599" t="s">
        <v>27</v>
      </c>
      <c r="G599" t="s">
        <v>31</v>
      </c>
      <c r="H599">
        <v>44</v>
      </c>
      <c r="I599">
        <v>44</v>
      </c>
      <c r="J599">
        <v>8</v>
      </c>
      <c r="K599">
        <v>10.01</v>
      </c>
      <c r="M599">
        <v>0.35499999999999998</v>
      </c>
      <c r="N599">
        <v>4.2000000000000003E-2</v>
      </c>
      <c r="O599" s="21">
        <f t="shared" ref="O599:O608" si="348">K599*(0.55/0.964)*(10/9)</f>
        <v>6.3456662056247124</v>
      </c>
      <c r="P599" s="21">
        <f t="shared" ref="P599:P608" si="349">J599*(0.55/(0.964*1.5))*(10/9)</f>
        <v>3.3809743353311821</v>
      </c>
      <c r="Q599" s="23" t="str">
        <f t="shared" si="331"/>
        <v/>
      </c>
      <c r="R599" s="23" t="str">
        <f t="shared" si="332"/>
        <v/>
      </c>
      <c r="T599" t="str">
        <f t="shared" si="333"/>
        <v/>
      </c>
    </row>
    <row r="600" spans="1:20" x14ac:dyDescent="0.2">
      <c r="A600">
        <v>603</v>
      </c>
      <c r="B600" t="s">
        <v>218</v>
      </c>
      <c r="C600" t="s">
        <v>218</v>
      </c>
      <c r="D600" t="s">
        <v>1</v>
      </c>
      <c r="E600" t="s">
        <v>27</v>
      </c>
      <c r="G600" t="s">
        <v>34</v>
      </c>
      <c r="H600">
        <v>38</v>
      </c>
      <c r="I600">
        <v>36</v>
      </c>
      <c r="J600">
        <v>14.92</v>
      </c>
      <c r="K600">
        <v>9.24</v>
      </c>
      <c r="M600" s="14">
        <v>0.95099999999999996</v>
      </c>
      <c r="N600" s="14">
        <v>0.189</v>
      </c>
      <c r="O600" s="21">
        <f t="shared" si="348"/>
        <v>5.8575380359612739</v>
      </c>
      <c r="P600" s="21">
        <f t="shared" si="349"/>
        <v>6.3055171353926545</v>
      </c>
      <c r="Q600" s="23" t="str">
        <f t="shared" si="331"/>
        <v/>
      </c>
      <c r="R600" s="23" t="str">
        <f t="shared" si="332"/>
        <v/>
      </c>
      <c r="T600" t="str">
        <f t="shared" si="333"/>
        <v/>
      </c>
    </row>
    <row r="601" spans="1:20" x14ac:dyDescent="0.2">
      <c r="A601">
        <v>604</v>
      </c>
      <c r="B601" s="15" t="s">
        <v>218</v>
      </c>
      <c r="C601" t="s">
        <v>218</v>
      </c>
      <c r="D601" s="15" t="s">
        <v>1</v>
      </c>
      <c r="E601" s="15" t="s">
        <v>27</v>
      </c>
      <c r="F601" s="15"/>
      <c r="G601" s="15" t="s">
        <v>29</v>
      </c>
      <c r="H601" s="15">
        <v>34</v>
      </c>
      <c r="I601" s="15">
        <v>35</v>
      </c>
      <c r="J601" s="15">
        <v>6.12</v>
      </c>
      <c r="K601" s="15">
        <v>6.91</v>
      </c>
      <c r="L601" s="15"/>
      <c r="M601" s="15"/>
      <c r="N601" s="15"/>
      <c r="O601" s="21">
        <f t="shared" si="348"/>
        <v>4.3804748732134637</v>
      </c>
      <c r="P601" s="21">
        <f t="shared" si="349"/>
        <v>2.5864453665283542</v>
      </c>
      <c r="Q601" s="23" t="str">
        <f t="shared" si="331"/>
        <v/>
      </c>
      <c r="R601" s="23" t="str">
        <f t="shared" si="332"/>
        <v/>
      </c>
      <c r="T601" t="str">
        <f t="shared" si="333"/>
        <v/>
      </c>
    </row>
    <row r="602" spans="1:20" x14ac:dyDescent="0.2">
      <c r="A602">
        <v>605</v>
      </c>
      <c r="B602" t="s">
        <v>218</v>
      </c>
      <c r="C602" t="s">
        <v>218</v>
      </c>
      <c r="D602" t="s">
        <v>1</v>
      </c>
      <c r="E602" t="s">
        <v>27</v>
      </c>
      <c r="G602" t="s">
        <v>36</v>
      </c>
      <c r="H602">
        <v>34</v>
      </c>
      <c r="I602">
        <v>36</v>
      </c>
      <c r="J602">
        <v>6.2</v>
      </c>
      <c r="K602">
        <v>7.89</v>
      </c>
      <c r="M602" s="14">
        <v>0.80600000000000005</v>
      </c>
      <c r="N602" s="14">
        <v>9.8000000000000004E-2</v>
      </c>
      <c r="O602" s="21">
        <f t="shared" si="348"/>
        <v>5.001728907330568</v>
      </c>
      <c r="P602" s="21">
        <f t="shared" si="349"/>
        <v>2.6202551098816667</v>
      </c>
      <c r="Q602" s="23" t="str">
        <f t="shared" si="331"/>
        <v/>
      </c>
      <c r="R602" s="23" t="str">
        <f t="shared" si="332"/>
        <v/>
      </c>
      <c r="T602" t="str">
        <f t="shared" si="333"/>
        <v/>
      </c>
    </row>
    <row r="603" spans="1:20" x14ac:dyDescent="0.2">
      <c r="A603">
        <v>606</v>
      </c>
      <c r="B603" t="s">
        <v>218</v>
      </c>
      <c r="C603" t="s">
        <v>218</v>
      </c>
      <c r="D603" t="s">
        <v>1</v>
      </c>
      <c r="E603" t="s">
        <v>27</v>
      </c>
      <c r="G603" t="s">
        <v>35</v>
      </c>
      <c r="H603">
        <v>46</v>
      </c>
      <c r="I603">
        <v>48</v>
      </c>
      <c r="J603">
        <v>10.01</v>
      </c>
      <c r="K603">
        <v>11.04</v>
      </c>
      <c r="M603" s="14">
        <v>0.86399999999999999</v>
      </c>
      <c r="N603" s="14">
        <v>0.13</v>
      </c>
      <c r="O603" s="21">
        <f t="shared" si="348"/>
        <v>6.9986168741355472</v>
      </c>
      <c r="P603" s="21">
        <f t="shared" si="349"/>
        <v>4.2304441370831416</v>
      </c>
      <c r="Q603" s="23" t="str">
        <f t="shared" si="331"/>
        <v/>
      </c>
      <c r="R603" s="23" t="str">
        <f t="shared" si="332"/>
        <v/>
      </c>
      <c r="T603" t="str">
        <f t="shared" si="333"/>
        <v/>
      </c>
    </row>
    <row r="604" spans="1:20" x14ac:dyDescent="0.2">
      <c r="A604">
        <v>607</v>
      </c>
      <c r="B604" t="s">
        <v>218</v>
      </c>
      <c r="C604" t="s">
        <v>218</v>
      </c>
      <c r="D604" t="s">
        <v>1</v>
      </c>
      <c r="E604" t="s">
        <v>27</v>
      </c>
      <c r="G604" t="s">
        <v>47</v>
      </c>
      <c r="H604">
        <v>46</v>
      </c>
      <c r="I604">
        <v>46</v>
      </c>
      <c r="J604">
        <v>6.05</v>
      </c>
      <c r="K604">
        <v>8</v>
      </c>
      <c r="M604" s="14">
        <v>0.45600000000000002</v>
      </c>
      <c r="N604" s="14">
        <v>0.13800000000000001</v>
      </c>
      <c r="O604" s="21">
        <f t="shared" si="348"/>
        <v>5.0714615029967733</v>
      </c>
      <c r="P604" s="21">
        <f t="shared" si="349"/>
        <v>2.5568618410942068</v>
      </c>
      <c r="Q604" s="23" t="str">
        <f t="shared" si="331"/>
        <v/>
      </c>
      <c r="R604" s="23" t="str">
        <f t="shared" si="332"/>
        <v/>
      </c>
      <c r="T604" t="str">
        <f t="shared" si="333"/>
        <v/>
      </c>
    </row>
    <row r="605" spans="1:20" x14ac:dyDescent="0.2">
      <c r="A605">
        <v>608</v>
      </c>
      <c r="B605" t="s">
        <v>218</v>
      </c>
      <c r="C605" t="s">
        <v>218</v>
      </c>
      <c r="D605" t="s">
        <v>1</v>
      </c>
      <c r="E605" t="s">
        <v>27</v>
      </c>
      <c r="G605" t="s">
        <v>48</v>
      </c>
      <c r="H605">
        <v>39</v>
      </c>
      <c r="I605">
        <v>35</v>
      </c>
      <c r="J605">
        <v>10</v>
      </c>
      <c r="K605">
        <v>6.21</v>
      </c>
      <c r="M605" s="14">
        <v>0.753</v>
      </c>
      <c r="N605" s="14">
        <v>0.11899999999999999</v>
      </c>
      <c r="O605" s="21">
        <f t="shared" si="348"/>
        <v>3.9367219917012455</v>
      </c>
      <c r="P605" s="21">
        <f t="shared" si="349"/>
        <v>4.2262179191639779</v>
      </c>
      <c r="Q605" s="23" t="str">
        <f t="shared" si="331"/>
        <v/>
      </c>
      <c r="R605" s="23" t="str">
        <f t="shared" si="332"/>
        <v/>
      </c>
      <c r="T605" t="str">
        <f t="shared" si="333"/>
        <v/>
      </c>
    </row>
    <row r="606" spans="1:20" x14ac:dyDescent="0.2">
      <c r="A606">
        <v>609</v>
      </c>
      <c r="B606" t="s">
        <v>218</v>
      </c>
      <c r="C606" t="s">
        <v>218</v>
      </c>
      <c r="D606" t="s">
        <v>1</v>
      </c>
      <c r="E606" t="s">
        <v>27</v>
      </c>
      <c r="G606" t="s">
        <v>45</v>
      </c>
      <c r="H606">
        <v>38</v>
      </c>
      <c r="I606">
        <v>43</v>
      </c>
      <c r="J606">
        <v>5.42</v>
      </c>
      <c r="K606">
        <v>6</v>
      </c>
      <c r="M606" s="14">
        <v>0.24099999999999999</v>
      </c>
      <c r="N606" s="14">
        <v>0.93</v>
      </c>
      <c r="O606" s="21">
        <f t="shared" si="348"/>
        <v>3.8035961272475798</v>
      </c>
      <c r="P606" s="21">
        <f t="shared" si="349"/>
        <v>2.2906101121868758</v>
      </c>
      <c r="Q606" s="23" t="str">
        <f t="shared" si="331"/>
        <v/>
      </c>
      <c r="R606" s="23" t="str">
        <f t="shared" si="332"/>
        <v/>
      </c>
      <c r="T606" t="str">
        <f t="shared" si="333"/>
        <v/>
      </c>
    </row>
    <row r="607" spans="1:20" x14ac:dyDescent="0.2">
      <c r="A607">
        <v>610</v>
      </c>
      <c r="B607" s="15" t="s">
        <v>218</v>
      </c>
      <c r="C607" t="s">
        <v>218</v>
      </c>
      <c r="D607" s="15" t="s">
        <v>1</v>
      </c>
      <c r="E607" s="15" t="s">
        <v>27</v>
      </c>
      <c r="F607" s="15"/>
      <c r="G607" s="15" t="s">
        <v>49</v>
      </c>
      <c r="H607" s="15">
        <v>38</v>
      </c>
      <c r="I607" s="15">
        <v>39</v>
      </c>
      <c r="J607" s="15">
        <v>7.21</v>
      </c>
      <c r="K607" s="15">
        <v>8.1</v>
      </c>
      <c r="L607" s="15"/>
      <c r="M607" s="15"/>
      <c r="N607" s="15"/>
      <c r="O607" s="21">
        <f t="shared" si="348"/>
        <v>5.1348547717842328</v>
      </c>
      <c r="P607" s="21">
        <f t="shared" si="349"/>
        <v>3.0471031197172285</v>
      </c>
      <c r="Q607" s="23" t="str">
        <f t="shared" si="331"/>
        <v/>
      </c>
      <c r="R607" s="23" t="str">
        <f t="shared" si="332"/>
        <v/>
      </c>
      <c r="T607" t="str">
        <f t="shared" si="333"/>
        <v/>
      </c>
    </row>
    <row r="608" spans="1:20" x14ac:dyDescent="0.2">
      <c r="A608">
        <v>611</v>
      </c>
      <c r="B608" s="15" t="s">
        <v>218</v>
      </c>
      <c r="C608" t="s">
        <v>218</v>
      </c>
      <c r="D608" s="15" t="s">
        <v>1</v>
      </c>
      <c r="E608" s="15" t="s">
        <v>27</v>
      </c>
      <c r="F608" s="15"/>
      <c r="G608" s="15" t="s">
        <v>50</v>
      </c>
      <c r="H608" s="15">
        <v>31</v>
      </c>
      <c r="I608" s="15">
        <v>38</v>
      </c>
      <c r="J608" s="15">
        <v>8.11</v>
      </c>
      <c r="K608" s="15">
        <v>7.32</v>
      </c>
      <c r="L608" s="15"/>
      <c r="M608" s="15"/>
      <c r="N608" s="15"/>
      <c r="O608" s="21">
        <f t="shared" si="348"/>
        <v>4.6403872752420483</v>
      </c>
      <c r="P608" s="21">
        <f t="shared" si="349"/>
        <v>3.427462732441986</v>
      </c>
      <c r="Q608" s="23" t="str">
        <f t="shared" si="331"/>
        <v/>
      </c>
      <c r="R608" s="23" t="str">
        <f t="shared" si="332"/>
        <v/>
      </c>
      <c r="T608" t="str">
        <f t="shared" si="333"/>
        <v/>
      </c>
    </row>
    <row r="609" spans="1:20" x14ac:dyDescent="0.2">
      <c r="A609">
        <v>612</v>
      </c>
      <c r="B609" s="13" t="s">
        <v>219</v>
      </c>
      <c r="C609" t="s">
        <v>219</v>
      </c>
      <c r="D609" s="13" t="s">
        <v>1</v>
      </c>
      <c r="E609" s="13" t="s">
        <v>9</v>
      </c>
      <c r="F609" s="13"/>
      <c r="G609" t="s">
        <v>10</v>
      </c>
      <c r="H609">
        <v>38</v>
      </c>
      <c r="I609">
        <v>40</v>
      </c>
      <c r="J609">
        <v>6.62</v>
      </c>
      <c r="K609">
        <v>7.24</v>
      </c>
      <c r="L609">
        <v>0.89</v>
      </c>
      <c r="M609">
        <v>0.71799999999999997</v>
      </c>
      <c r="N609">
        <v>0.129</v>
      </c>
      <c r="O609" s="21">
        <f t="shared" si="335"/>
        <v>6.4897877652933831</v>
      </c>
      <c r="P609" s="21">
        <f t="shared" si="336"/>
        <v>3.9560216396171453</v>
      </c>
      <c r="Q609" s="23">
        <f t="shared" si="331"/>
        <v>6.4897877652933831</v>
      </c>
      <c r="R609" s="23" t="str">
        <f t="shared" si="332"/>
        <v/>
      </c>
      <c r="T609" t="str">
        <f t="shared" si="333"/>
        <v/>
      </c>
    </row>
    <row r="610" spans="1:20" x14ac:dyDescent="0.2">
      <c r="A610">
        <v>613</v>
      </c>
      <c r="B610" s="13" t="s">
        <v>219</v>
      </c>
      <c r="C610" t="s">
        <v>219</v>
      </c>
      <c r="D610" s="13" t="s">
        <v>1</v>
      </c>
      <c r="E610" s="13" t="s">
        <v>9</v>
      </c>
      <c r="F610" s="13"/>
      <c r="G610" t="s">
        <v>11</v>
      </c>
      <c r="H610">
        <v>43</v>
      </c>
      <c r="I610">
        <v>48</v>
      </c>
      <c r="J610">
        <v>6.63</v>
      </c>
      <c r="K610">
        <v>9.3800000000000008</v>
      </c>
      <c r="L610">
        <f t="shared" ref="L610:N610" si="350">L609</f>
        <v>0.89</v>
      </c>
      <c r="M610">
        <f t="shared" si="350"/>
        <v>0.71799999999999997</v>
      </c>
      <c r="N610">
        <f t="shared" si="350"/>
        <v>0.129</v>
      </c>
      <c r="O610" s="21">
        <f t="shared" si="335"/>
        <v>8.4080399500624221</v>
      </c>
      <c r="P610" s="21">
        <f t="shared" si="336"/>
        <v>3.9619975031210983</v>
      </c>
      <c r="Q610" s="23">
        <f t="shared" si="331"/>
        <v>8.4080399500624221</v>
      </c>
      <c r="R610" s="23" t="str">
        <f t="shared" si="332"/>
        <v/>
      </c>
      <c r="T610" t="str">
        <f t="shared" si="333"/>
        <v/>
      </c>
    </row>
    <row r="611" spans="1:20" x14ac:dyDescent="0.2">
      <c r="A611">
        <v>614</v>
      </c>
      <c r="B611" s="13" t="s">
        <v>219</v>
      </c>
      <c r="C611" t="s">
        <v>219</v>
      </c>
      <c r="D611" s="13" t="s">
        <v>1</v>
      </c>
      <c r="E611" s="13" t="s">
        <v>9</v>
      </c>
      <c r="F611" s="13"/>
      <c r="G611" t="s">
        <v>12</v>
      </c>
      <c r="H611">
        <v>36</v>
      </c>
      <c r="I611">
        <v>40</v>
      </c>
      <c r="J611">
        <v>7.41</v>
      </c>
      <c r="K611">
        <v>7.11</v>
      </c>
      <c r="L611">
        <v>0.67</v>
      </c>
      <c r="M611" s="4">
        <v>0.621</v>
      </c>
      <c r="N611" s="4">
        <v>0.12</v>
      </c>
      <c r="O611" s="21">
        <f t="shared" si="335"/>
        <v>7.3222388059701498</v>
      </c>
      <c r="P611" s="21">
        <f t="shared" si="336"/>
        <v>5.0874626865671644</v>
      </c>
      <c r="Q611" s="23" t="str">
        <f t="shared" si="331"/>
        <v/>
      </c>
      <c r="R611" s="23">
        <f t="shared" si="332"/>
        <v>7.3222388059701498</v>
      </c>
      <c r="T611" t="str">
        <f t="shared" si="333"/>
        <v/>
      </c>
    </row>
    <row r="612" spans="1:20" x14ac:dyDescent="0.2">
      <c r="A612">
        <v>615</v>
      </c>
      <c r="B612" s="13" t="s">
        <v>219</v>
      </c>
      <c r="C612" t="s">
        <v>219</v>
      </c>
      <c r="D612" s="13" t="s">
        <v>1</v>
      </c>
      <c r="E612" s="13" t="s">
        <v>9</v>
      </c>
      <c r="F612" s="13"/>
      <c r="G612" t="s">
        <v>14</v>
      </c>
      <c r="H612">
        <v>36</v>
      </c>
      <c r="I612">
        <v>36</v>
      </c>
      <c r="J612">
        <v>5.68</v>
      </c>
      <c r="K612">
        <v>6.62</v>
      </c>
      <c r="L612">
        <f t="shared" ref="L612:N612" si="351">L611</f>
        <v>0.67</v>
      </c>
      <c r="M612">
        <f t="shared" si="351"/>
        <v>0.621</v>
      </c>
      <c r="N612">
        <f t="shared" si="351"/>
        <v>0.12</v>
      </c>
      <c r="O612" s="21">
        <f t="shared" si="335"/>
        <v>6.8176119402985069</v>
      </c>
      <c r="P612" s="21">
        <f t="shared" si="336"/>
        <v>3.899701492537313</v>
      </c>
      <c r="Q612" s="23" t="str">
        <f t="shared" si="331"/>
        <v/>
      </c>
      <c r="R612" s="23">
        <f t="shared" si="332"/>
        <v>6.8176119402985069</v>
      </c>
      <c r="T612" t="str">
        <f t="shared" si="333"/>
        <v/>
      </c>
    </row>
    <row r="613" spans="1:20" x14ac:dyDescent="0.2">
      <c r="A613">
        <v>616</v>
      </c>
      <c r="B613" t="s">
        <v>220</v>
      </c>
      <c r="D613" t="s">
        <v>1</v>
      </c>
      <c r="E613" t="s">
        <v>9</v>
      </c>
      <c r="G613" t="s">
        <v>10</v>
      </c>
      <c r="H613">
        <v>31</v>
      </c>
      <c r="I613">
        <v>36</v>
      </c>
      <c r="J613">
        <v>9.81</v>
      </c>
      <c r="K613">
        <v>7.1</v>
      </c>
      <c r="L613">
        <v>0.92</v>
      </c>
      <c r="M613">
        <v>0.64700000000000002</v>
      </c>
      <c r="N613">
        <v>0.13800000000000001</v>
      </c>
      <c r="O613" s="21">
        <f t="shared" si="335"/>
        <v>5.5479468599033819</v>
      </c>
      <c r="P613" s="21">
        <f t="shared" si="336"/>
        <v>5.11036231884058</v>
      </c>
      <c r="Q613" s="23">
        <f t="shared" si="331"/>
        <v>5.5479468599033819</v>
      </c>
      <c r="R613" s="23" t="str">
        <f t="shared" si="332"/>
        <v/>
      </c>
      <c r="T613" t="str">
        <f t="shared" si="333"/>
        <v/>
      </c>
    </row>
    <row r="614" spans="1:20" x14ac:dyDescent="0.2">
      <c r="A614">
        <v>617</v>
      </c>
      <c r="B614" t="s">
        <v>220</v>
      </c>
      <c r="D614" t="s">
        <v>1</v>
      </c>
      <c r="E614" t="s">
        <v>9</v>
      </c>
      <c r="G614" t="s">
        <v>11</v>
      </c>
      <c r="H614">
        <v>35</v>
      </c>
      <c r="I614">
        <v>38</v>
      </c>
      <c r="J614">
        <v>6.11</v>
      </c>
      <c r="K614">
        <v>5.94</v>
      </c>
      <c r="L614">
        <f t="shared" ref="L614:N614" si="352">L613</f>
        <v>0.92</v>
      </c>
      <c r="M614">
        <f t="shared" si="352"/>
        <v>0.64700000000000002</v>
      </c>
      <c r="N614">
        <f t="shared" si="352"/>
        <v>0.13800000000000001</v>
      </c>
      <c r="O614" s="21">
        <f t="shared" si="335"/>
        <v>4.6415217391304351</v>
      </c>
      <c r="P614" s="21">
        <f t="shared" si="336"/>
        <v>3.1829066022544286</v>
      </c>
      <c r="Q614" s="23">
        <f t="shared" si="331"/>
        <v>4.6415217391304351</v>
      </c>
      <c r="R614" s="23" t="str">
        <f t="shared" si="332"/>
        <v/>
      </c>
      <c r="T614" t="str">
        <f t="shared" si="333"/>
        <v/>
      </c>
    </row>
    <row r="615" spans="1:20" x14ac:dyDescent="0.2">
      <c r="A615">
        <v>618</v>
      </c>
      <c r="B615" t="s">
        <v>220</v>
      </c>
      <c r="D615" t="s">
        <v>1</v>
      </c>
      <c r="E615" t="s">
        <v>9</v>
      </c>
      <c r="G615" t="s">
        <v>12</v>
      </c>
      <c r="H615">
        <v>25</v>
      </c>
      <c r="I615">
        <v>29</v>
      </c>
      <c r="J615">
        <v>7.91</v>
      </c>
      <c r="K615">
        <v>6.89</v>
      </c>
      <c r="L615">
        <v>1.62</v>
      </c>
      <c r="M615">
        <v>0.47799999999999998</v>
      </c>
      <c r="N615">
        <v>0.12</v>
      </c>
      <c r="O615" s="21">
        <f t="shared" si="335"/>
        <v>2.2588614540466385</v>
      </c>
      <c r="P615" s="21">
        <f t="shared" si="336"/>
        <v>1.7288431641518061</v>
      </c>
      <c r="Q615" s="23" t="str">
        <f t="shared" si="331"/>
        <v/>
      </c>
      <c r="R615" s="23">
        <f t="shared" si="332"/>
        <v>2.2588614540466385</v>
      </c>
      <c r="T615" t="str">
        <f t="shared" si="333"/>
        <v/>
      </c>
    </row>
    <row r="616" spans="1:20" x14ac:dyDescent="0.2">
      <c r="A616">
        <v>619</v>
      </c>
      <c r="B616" t="s">
        <v>220</v>
      </c>
      <c r="D616" t="s">
        <v>1</v>
      </c>
      <c r="E616" t="s">
        <v>9</v>
      </c>
      <c r="G616" t="s">
        <v>14</v>
      </c>
      <c r="H616">
        <v>28</v>
      </c>
      <c r="I616">
        <v>31</v>
      </c>
      <c r="J616">
        <v>6</v>
      </c>
      <c r="K616">
        <v>5.01</v>
      </c>
      <c r="L616">
        <f t="shared" ref="L616:N616" si="353">L615</f>
        <v>1.62</v>
      </c>
      <c r="M616">
        <f t="shared" si="353"/>
        <v>0.47799999999999998</v>
      </c>
      <c r="N616">
        <f t="shared" si="353"/>
        <v>0.12</v>
      </c>
      <c r="O616" s="21">
        <f t="shared" si="335"/>
        <v>1.6425102880658433</v>
      </c>
      <c r="P616" s="21">
        <f t="shared" si="336"/>
        <v>1.3113854595336076</v>
      </c>
      <c r="Q616" s="23" t="str">
        <f t="shared" si="331"/>
        <v/>
      </c>
      <c r="R616" s="23">
        <f t="shared" si="332"/>
        <v>1.6425102880658433</v>
      </c>
      <c r="T616" t="str">
        <f t="shared" si="333"/>
        <v/>
      </c>
    </row>
    <row r="617" spans="1:20" x14ac:dyDescent="0.2">
      <c r="A617">
        <v>624</v>
      </c>
      <c r="B617" t="s">
        <v>221</v>
      </c>
      <c r="C617" s="12" t="s">
        <v>221</v>
      </c>
      <c r="D617" t="s">
        <v>1</v>
      </c>
      <c r="E617" t="s">
        <v>9</v>
      </c>
      <c r="G617" t="s">
        <v>10</v>
      </c>
      <c r="H617">
        <v>41</v>
      </c>
      <c r="I617">
        <v>39</v>
      </c>
      <c r="J617">
        <v>7.14</v>
      </c>
      <c r="K617">
        <v>6.1</v>
      </c>
      <c r="L617">
        <v>1.1399999999999999</v>
      </c>
      <c r="M617">
        <v>0.69</v>
      </c>
      <c r="N617">
        <v>0.129</v>
      </c>
      <c r="O617" s="21">
        <f t="shared" si="335"/>
        <v>4.1023391812865491</v>
      </c>
      <c r="P617" s="21">
        <f t="shared" si="336"/>
        <v>3.2011695906432744</v>
      </c>
      <c r="Q617" s="23">
        <f t="shared" si="331"/>
        <v>4.1023391812865491</v>
      </c>
      <c r="R617" s="23" t="str">
        <f t="shared" si="332"/>
        <v/>
      </c>
      <c r="T617" t="str">
        <f t="shared" si="333"/>
        <v/>
      </c>
    </row>
    <row r="618" spans="1:20" x14ac:dyDescent="0.2">
      <c r="A618">
        <v>625</v>
      </c>
      <c r="B618" t="s">
        <v>221</v>
      </c>
      <c r="C618" s="12" t="s">
        <v>221</v>
      </c>
      <c r="D618" t="s">
        <v>1</v>
      </c>
      <c r="E618" t="s">
        <v>9</v>
      </c>
      <c r="G618" t="s">
        <v>11</v>
      </c>
      <c r="H618">
        <v>26</v>
      </c>
      <c r="I618">
        <v>30</v>
      </c>
      <c r="J618">
        <v>5.16</v>
      </c>
      <c r="K618">
        <v>4.9000000000000004</v>
      </c>
      <c r="L618">
        <f t="shared" ref="L618:N618" si="354">L617</f>
        <v>1.1399999999999999</v>
      </c>
      <c r="M618">
        <f t="shared" si="354"/>
        <v>0.69</v>
      </c>
      <c r="N618">
        <f t="shared" si="354"/>
        <v>0.129</v>
      </c>
      <c r="O618" s="21">
        <f t="shared" si="335"/>
        <v>3.2953216374269005</v>
      </c>
      <c r="P618" s="21">
        <f t="shared" si="336"/>
        <v>2.3134502923976608</v>
      </c>
      <c r="Q618" s="23">
        <f t="shared" si="331"/>
        <v>3.2953216374269005</v>
      </c>
      <c r="R618" s="23" t="str">
        <f t="shared" si="332"/>
        <v/>
      </c>
      <c r="T618" t="str">
        <f t="shared" si="333"/>
        <v/>
      </c>
    </row>
    <row r="619" spans="1:20" x14ac:dyDescent="0.2">
      <c r="A619">
        <v>626</v>
      </c>
      <c r="B619" t="s">
        <v>221</v>
      </c>
      <c r="C619" s="12" t="s">
        <v>221</v>
      </c>
      <c r="D619" t="s">
        <v>1</v>
      </c>
      <c r="E619" t="s">
        <v>9</v>
      </c>
      <c r="G619" t="s">
        <v>12</v>
      </c>
      <c r="H619">
        <v>36</v>
      </c>
      <c r="I619">
        <v>36</v>
      </c>
      <c r="J619">
        <v>4.9400000000000004</v>
      </c>
      <c r="K619">
        <v>3.98</v>
      </c>
      <c r="L619">
        <v>0.66</v>
      </c>
      <c r="M619">
        <v>0.40500000000000003</v>
      </c>
      <c r="N619">
        <v>9.1999999999999998E-2</v>
      </c>
      <c r="O619" s="21">
        <f t="shared" si="335"/>
        <v>2.7136363636363638</v>
      </c>
      <c r="P619" s="21">
        <f t="shared" si="336"/>
        <v>2.2454545454545456</v>
      </c>
      <c r="Q619" s="23" t="str">
        <f t="shared" si="331"/>
        <v/>
      </c>
      <c r="R619" s="23">
        <f t="shared" si="332"/>
        <v>2.7136363636363638</v>
      </c>
      <c r="T619" t="str">
        <f t="shared" si="333"/>
        <v/>
      </c>
    </row>
    <row r="620" spans="1:20" x14ac:dyDescent="0.2">
      <c r="A620">
        <v>627</v>
      </c>
      <c r="B620" t="s">
        <v>221</v>
      </c>
      <c r="C620" s="12" t="s">
        <v>221</v>
      </c>
      <c r="D620" t="s">
        <v>1</v>
      </c>
      <c r="E620" t="s">
        <v>9</v>
      </c>
      <c r="G620" t="s">
        <v>14</v>
      </c>
      <c r="H620">
        <v>37</v>
      </c>
      <c r="I620">
        <v>28</v>
      </c>
      <c r="J620">
        <v>3.76</v>
      </c>
      <c r="K620">
        <v>3</v>
      </c>
      <c r="L620">
        <f t="shared" ref="L620:N620" si="355">L619</f>
        <v>0.66</v>
      </c>
      <c r="M620">
        <f t="shared" si="355"/>
        <v>0.40500000000000003</v>
      </c>
      <c r="N620">
        <f t="shared" si="355"/>
        <v>9.1999999999999998E-2</v>
      </c>
      <c r="O620" s="21">
        <f t="shared" si="335"/>
        <v>2.0454545454545454</v>
      </c>
      <c r="P620" s="21">
        <f t="shared" si="336"/>
        <v>1.709090909090909</v>
      </c>
      <c r="Q620" s="23" t="str">
        <f t="shared" si="331"/>
        <v/>
      </c>
      <c r="R620" s="23">
        <f t="shared" si="332"/>
        <v>2.0454545454545454</v>
      </c>
      <c r="T620" t="str">
        <f t="shared" si="333"/>
        <v/>
      </c>
    </row>
    <row r="621" spans="1:20" x14ac:dyDescent="0.2">
      <c r="A621">
        <v>628</v>
      </c>
      <c r="B621" t="s">
        <v>222</v>
      </c>
      <c r="C621" t="s">
        <v>371</v>
      </c>
      <c r="D621" t="s">
        <v>1</v>
      </c>
      <c r="E621" t="s">
        <v>9</v>
      </c>
      <c r="G621" t="s">
        <v>10</v>
      </c>
      <c r="H621">
        <v>23</v>
      </c>
      <c r="I621">
        <v>26</v>
      </c>
      <c r="J621">
        <v>12.06</v>
      </c>
      <c r="K621">
        <v>5.86</v>
      </c>
      <c r="L621">
        <v>1.46</v>
      </c>
      <c r="M621">
        <v>1.0629999999999999</v>
      </c>
      <c r="N621">
        <v>0.19800000000000001</v>
      </c>
      <c r="O621" s="21">
        <f t="shared" si="335"/>
        <v>4.7406240487062403</v>
      </c>
      <c r="P621" s="21">
        <f t="shared" si="336"/>
        <v>6.5042009132420091</v>
      </c>
      <c r="Q621" s="23">
        <f t="shared" si="331"/>
        <v>4.7406240487062403</v>
      </c>
      <c r="R621" s="23" t="str">
        <f t="shared" si="332"/>
        <v/>
      </c>
      <c r="T621" t="str">
        <f t="shared" si="333"/>
        <v/>
      </c>
    </row>
    <row r="622" spans="1:20" x14ac:dyDescent="0.2">
      <c r="A622">
        <v>629</v>
      </c>
      <c r="B622" t="s">
        <v>222</v>
      </c>
      <c r="C622" t="s">
        <v>371</v>
      </c>
      <c r="D622" t="s">
        <v>1</v>
      </c>
      <c r="E622" t="s">
        <v>9</v>
      </c>
      <c r="G622" t="s">
        <v>11</v>
      </c>
      <c r="H622">
        <v>22</v>
      </c>
      <c r="I622">
        <v>20</v>
      </c>
      <c r="J622">
        <v>10.08</v>
      </c>
      <c r="K622">
        <v>5.64</v>
      </c>
      <c r="L622">
        <f t="shared" ref="L622:N622" si="356">L621</f>
        <v>1.46</v>
      </c>
      <c r="M622">
        <f t="shared" si="356"/>
        <v>1.0629999999999999</v>
      </c>
      <c r="N622">
        <f t="shared" si="356"/>
        <v>0.19800000000000001</v>
      </c>
      <c r="O622" s="21">
        <f t="shared" si="335"/>
        <v>4.5626484018264843</v>
      </c>
      <c r="P622" s="21">
        <f t="shared" si="336"/>
        <v>5.4363470319634706</v>
      </c>
      <c r="Q622" s="23">
        <f t="shared" si="331"/>
        <v>4.5626484018264843</v>
      </c>
      <c r="R622" s="23" t="str">
        <f t="shared" si="332"/>
        <v/>
      </c>
      <c r="T622" t="str">
        <f t="shared" si="333"/>
        <v/>
      </c>
    </row>
    <row r="623" spans="1:20" x14ac:dyDescent="0.2">
      <c r="A623">
        <v>630</v>
      </c>
      <c r="B623" t="s">
        <v>222</v>
      </c>
      <c r="C623" t="s">
        <v>371</v>
      </c>
      <c r="D623" t="s">
        <v>1</v>
      </c>
      <c r="E623" t="s">
        <v>9</v>
      </c>
      <c r="G623" t="s">
        <v>12</v>
      </c>
      <c r="H623">
        <v>18</v>
      </c>
      <c r="I623">
        <v>21</v>
      </c>
      <c r="J623">
        <v>9.1999999999999993</v>
      </c>
      <c r="K623">
        <v>4.58</v>
      </c>
      <c r="L623">
        <v>0.82</v>
      </c>
      <c r="M623" s="2">
        <v>0.71199999999999997</v>
      </c>
      <c r="N623" s="2">
        <v>0.16</v>
      </c>
      <c r="O623" s="21">
        <f t="shared" si="335"/>
        <v>4.4186449864498645</v>
      </c>
      <c r="P623" s="21">
        <f t="shared" si="336"/>
        <v>5.9172538392050589</v>
      </c>
      <c r="Q623" s="23" t="str">
        <f t="shared" si="331"/>
        <v/>
      </c>
      <c r="R623" s="23">
        <f t="shared" si="332"/>
        <v>4.4186449864498645</v>
      </c>
      <c r="T623" t="str">
        <f t="shared" si="333"/>
        <v/>
      </c>
    </row>
    <row r="624" spans="1:20" x14ac:dyDescent="0.2">
      <c r="A624">
        <v>631</v>
      </c>
      <c r="B624" t="s">
        <v>222</v>
      </c>
      <c r="C624" t="s">
        <v>371</v>
      </c>
      <c r="D624" t="s">
        <v>1</v>
      </c>
      <c r="E624" t="s">
        <v>9</v>
      </c>
      <c r="G624" t="s">
        <v>14</v>
      </c>
      <c r="H624">
        <v>18</v>
      </c>
      <c r="I624">
        <v>14</v>
      </c>
      <c r="J624">
        <v>3.8</v>
      </c>
      <c r="K624">
        <v>2.2599999999999998</v>
      </c>
      <c r="L624">
        <f t="shared" ref="L624:N624" si="357">L623</f>
        <v>0.82</v>
      </c>
      <c r="M624">
        <f t="shared" si="357"/>
        <v>0.71199999999999997</v>
      </c>
      <c r="N624">
        <f t="shared" si="357"/>
        <v>0.16</v>
      </c>
      <c r="O624" s="21">
        <f t="shared" si="335"/>
        <v>2.1803794037940376</v>
      </c>
      <c r="P624" s="21">
        <f t="shared" si="336"/>
        <v>2.4440831074977418</v>
      </c>
      <c r="Q624" s="23" t="str">
        <f t="shared" si="331"/>
        <v/>
      </c>
      <c r="R624" s="23">
        <f t="shared" si="332"/>
        <v>2.1803794037940376</v>
      </c>
      <c r="T624" t="str">
        <f t="shared" si="333"/>
        <v/>
      </c>
    </row>
    <row r="625" spans="1:20" x14ac:dyDescent="0.2">
      <c r="A625">
        <v>632</v>
      </c>
      <c r="B625" t="s">
        <v>223</v>
      </c>
      <c r="C625" s="24" t="s">
        <v>372</v>
      </c>
      <c r="D625" t="s">
        <v>1</v>
      </c>
      <c r="E625" t="s">
        <v>9</v>
      </c>
      <c r="G625" t="s">
        <v>10</v>
      </c>
      <c r="H625">
        <v>33</v>
      </c>
      <c r="I625">
        <v>30</v>
      </c>
      <c r="J625">
        <v>5.0599999999999996</v>
      </c>
      <c r="K625">
        <v>4.74</v>
      </c>
      <c r="L625">
        <v>1.24</v>
      </c>
      <c r="M625" s="14">
        <v>0.91400000000000003</v>
      </c>
      <c r="N625" s="14">
        <v>0.14799999999999999</v>
      </c>
      <c r="O625" s="21">
        <f t="shared" si="335"/>
        <v>3.8820430107526889</v>
      </c>
      <c r="P625" s="21">
        <f t="shared" si="336"/>
        <v>2.762747909199522</v>
      </c>
      <c r="Q625" s="23">
        <f t="shared" si="331"/>
        <v>3.8820430107526889</v>
      </c>
      <c r="R625" s="23" t="str">
        <f t="shared" si="332"/>
        <v/>
      </c>
      <c r="S625" t="s">
        <v>54</v>
      </c>
      <c r="T625" t="str">
        <f t="shared" si="333"/>
        <v/>
      </c>
    </row>
    <row r="626" spans="1:20" x14ac:dyDescent="0.2">
      <c r="A626">
        <v>633</v>
      </c>
      <c r="B626" t="s">
        <v>223</v>
      </c>
      <c r="C626" s="24" t="s">
        <v>372</v>
      </c>
      <c r="D626" t="s">
        <v>1</v>
      </c>
      <c r="E626" t="s">
        <v>9</v>
      </c>
      <c r="G626" t="s">
        <v>11</v>
      </c>
      <c r="H626">
        <v>30</v>
      </c>
      <c r="I626">
        <v>31</v>
      </c>
      <c r="J626">
        <v>7.74</v>
      </c>
      <c r="K626">
        <v>6.64</v>
      </c>
      <c r="L626">
        <f t="shared" ref="L626:N626" si="358">L625</f>
        <v>1.24</v>
      </c>
      <c r="M626">
        <f t="shared" si="358"/>
        <v>0.91400000000000003</v>
      </c>
      <c r="N626">
        <f t="shared" si="358"/>
        <v>0.14799999999999999</v>
      </c>
      <c r="O626" s="21">
        <f t="shared" si="335"/>
        <v>5.4381362007168468</v>
      </c>
      <c r="P626" s="21">
        <f t="shared" si="336"/>
        <v>4.2260215053763446</v>
      </c>
      <c r="Q626" s="23">
        <f t="shared" si="331"/>
        <v>5.4381362007168468</v>
      </c>
      <c r="R626" s="23" t="str">
        <f t="shared" si="332"/>
        <v/>
      </c>
      <c r="T626" t="str">
        <f t="shared" si="333"/>
        <v/>
      </c>
    </row>
    <row r="627" spans="1:20" x14ac:dyDescent="0.2">
      <c r="A627">
        <v>634</v>
      </c>
      <c r="B627" t="s">
        <v>223</v>
      </c>
      <c r="C627" s="24" t="s">
        <v>372</v>
      </c>
      <c r="D627" t="s">
        <v>1</v>
      </c>
      <c r="E627" t="s">
        <v>9</v>
      </c>
      <c r="G627" t="s">
        <v>12</v>
      </c>
      <c r="H627">
        <v>29</v>
      </c>
      <c r="I627">
        <v>32</v>
      </c>
      <c r="J627">
        <v>6.14</v>
      </c>
      <c r="K627">
        <v>5.86</v>
      </c>
      <c r="L627">
        <v>1.1200000000000001</v>
      </c>
      <c r="M627" s="14">
        <v>0.81</v>
      </c>
      <c r="N627" s="14">
        <v>0.13900000000000001</v>
      </c>
      <c r="O627" s="21">
        <f t="shared" si="335"/>
        <v>4.7089285714285714</v>
      </c>
      <c r="P627" s="21">
        <f t="shared" si="336"/>
        <v>3.2892857142857141</v>
      </c>
      <c r="Q627" s="23" t="str">
        <f t="shared" si="331"/>
        <v/>
      </c>
      <c r="R627" s="23">
        <f t="shared" si="332"/>
        <v>4.7089285714285714</v>
      </c>
      <c r="T627" t="str">
        <f t="shared" si="333"/>
        <v/>
      </c>
    </row>
    <row r="628" spans="1:20" x14ac:dyDescent="0.2">
      <c r="A628">
        <v>635</v>
      </c>
      <c r="B628" t="s">
        <v>223</v>
      </c>
      <c r="C628" s="24" t="s">
        <v>372</v>
      </c>
      <c r="D628" t="s">
        <v>1</v>
      </c>
      <c r="E628" t="s">
        <v>9</v>
      </c>
      <c r="G628" t="s">
        <v>14</v>
      </c>
      <c r="H628">
        <v>27</v>
      </c>
      <c r="I628">
        <v>25</v>
      </c>
      <c r="J628">
        <v>4.18</v>
      </c>
      <c r="K628">
        <v>3.88</v>
      </c>
      <c r="L628">
        <f>L627</f>
        <v>1.1200000000000001</v>
      </c>
      <c r="M628">
        <f t="shared" ref="M628:N628" si="359">M627</f>
        <v>0.81</v>
      </c>
      <c r="N628">
        <f t="shared" si="359"/>
        <v>0.13900000000000001</v>
      </c>
      <c r="O628" s="21">
        <f t="shared" si="335"/>
        <v>3.1178571428571429</v>
      </c>
      <c r="P628" s="21">
        <f t="shared" si="336"/>
        <v>2.2392857142857143</v>
      </c>
      <c r="Q628" s="23" t="str">
        <f t="shared" si="331"/>
        <v/>
      </c>
      <c r="R628" s="23">
        <f t="shared" si="332"/>
        <v>3.1178571428571429</v>
      </c>
      <c r="T628" t="str">
        <f t="shared" si="333"/>
        <v/>
      </c>
    </row>
    <row r="629" spans="1:20" x14ac:dyDescent="0.2">
      <c r="A629">
        <v>636</v>
      </c>
      <c r="B629" s="19" t="s">
        <v>224</v>
      </c>
      <c r="C629" t="s">
        <v>224</v>
      </c>
      <c r="D629" s="19" t="s">
        <v>1</v>
      </c>
      <c r="E629" s="19" t="s">
        <v>9</v>
      </c>
      <c r="F629" s="19"/>
      <c r="G629" s="15" t="s">
        <v>10</v>
      </c>
      <c r="H629" s="19">
        <v>32</v>
      </c>
      <c r="I629" s="19">
        <v>36</v>
      </c>
      <c r="J629" s="19">
        <v>8.2799999999999994</v>
      </c>
      <c r="K629" s="19">
        <v>6.62</v>
      </c>
      <c r="L629" s="19">
        <v>1.34</v>
      </c>
      <c r="M629" s="15">
        <v>0.78500000000000003</v>
      </c>
      <c r="N629" s="15"/>
      <c r="O629" s="21">
        <f t="shared" si="335"/>
        <v>4.3090381426202322</v>
      </c>
      <c r="P629" s="21">
        <f t="shared" si="336"/>
        <v>3.5930348258706459</v>
      </c>
      <c r="Q629" s="23">
        <f t="shared" si="331"/>
        <v>4.3090381426202322</v>
      </c>
      <c r="R629" s="23" t="str">
        <f t="shared" si="332"/>
        <v/>
      </c>
      <c r="S629" s="15"/>
      <c r="T629" t="str">
        <f t="shared" si="333"/>
        <v/>
      </c>
    </row>
    <row r="630" spans="1:20" x14ac:dyDescent="0.2">
      <c r="A630">
        <v>637</v>
      </c>
      <c r="B630" s="13" t="s">
        <v>224</v>
      </c>
      <c r="C630" t="s">
        <v>224</v>
      </c>
      <c r="D630" s="13" t="s">
        <v>1</v>
      </c>
      <c r="E630" s="13" t="s">
        <v>9</v>
      </c>
      <c r="F630" s="13"/>
      <c r="G630" t="s">
        <v>11</v>
      </c>
      <c r="H630" s="13">
        <v>34</v>
      </c>
      <c r="I630" s="13">
        <v>37</v>
      </c>
      <c r="J630" s="13">
        <v>12.35</v>
      </c>
      <c r="K630" s="13">
        <v>8.65</v>
      </c>
      <c r="L630" s="13">
        <f t="shared" ref="L630" si="360">L629</f>
        <v>1.34</v>
      </c>
      <c r="M630">
        <v>0.78500000000000003</v>
      </c>
      <c r="O630" s="21">
        <f t="shared" si="335"/>
        <v>5.6303897180762856</v>
      </c>
      <c r="P630" s="21">
        <f t="shared" si="336"/>
        <v>5.3591763405196229</v>
      </c>
      <c r="Q630" s="23">
        <f t="shared" si="331"/>
        <v>5.6303897180762856</v>
      </c>
      <c r="R630" s="23" t="str">
        <f t="shared" si="332"/>
        <v/>
      </c>
      <c r="T630" t="str">
        <f t="shared" si="333"/>
        <v/>
      </c>
    </row>
    <row r="631" spans="1:20" x14ac:dyDescent="0.2">
      <c r="A631">
        <v>638</v>
      </c>
      <c r="B631" s="13" t="s">
        <v>224</v>
      </c>
      <c r="C631" t="s">
        <v>224</v>
      </c>
      <c r="D631" s="13" t="s">
        <v>1</v>
      </c>
      <c r="E631" s="13" t="s">
        <v>9</v>
      </c>
      <c r="F631" s="13"/>
      <c r="G631" t="s">
        <v>12</v>
      </c>
      <c r="H631" s="13">
        <v>37</v>
      </c>
      <c r="I631" s="13">
        <v>39</v>
      </c>
      <c r="J631" s="13">
        <v>13.27</v>
      </c>
      <c r="K631" s="13">
        <v>8.2899999999999991</v>
      </c>
      <c r="L631" s="13">
        <v>0.93</v>
      </c>
      <c r="M631" s="13">
        <v>0.54500000000000004</v>
      </c>
      <c r="N631" s="13">
        <v>0.10100000000000001</v>
      </c>
      <c r="O631" s="21">
        <f t="shared" si="335"/>
        <v>5.3979091995221022</v>
      </c>
      <c r="P631" s="21">
        <f t="shared" si="336"/>
        <v>5.7603743528474718</v>
      </c>
      <c r="Q631" s="23" t="str">
        <f t="shared" si="331"/>
        <v/>
      </c>
      <c r="R631" s="23">
        <f t="shared" si="332"/>
        <v>5.3979091995221022</v>
      </c>
      <c r="T631" t="str">
        <f t="shared" si="333"/>
        <v/>
      </c>
    </row>
    <row r="632" spans="1:20" x14ac:dyDescent="0.2">
      <c r="A632">
        <v>639</v>
      </c>
      <c r="B632" s="13" t="s">
        <v>224</v>
      </c>
      <c r="C632" t="s">
        <v>224</v>
      </c>
      <c r="D632" s="13" t="s">
        <v>1</v>
      </c>
      <c r="E632" s="13" t="s">
        <v>9</v>
      </c>
      <c r="F632" s="13"/>
      <c r="G632" t="s">
        <v>14</v>
      </c>
      <c r="H632" s="13">
        <v>30</v>
      </c>
      <c r="I632" s="13">
        <v>32</v>
      </c>
      <c r="J632" s="13">
        <v>9.0299999999999994</v>
      </c>
      <c r="K632" s="13">
        <v>6.67</v>
      </c>
      <c r="L632" s="13">
        <f t="shared" ref="L632:N632" si="361">L631</f>
        <v>0.93</v>
      </c>
      <c r="M632">
        <f t="shared" si="361"/>
        <v>0.54500000000000004</v>
      </c>
      <c r="N632">
        <f t="shared" si="361"/>
        <v>0.10100000000000001</v>
      </c>
      <c r="O632" s="21">
        <f t="shared" si="335"/>
        <v>4.3430704898446839</v>
      </c>
      <c r="P632" s="21">
        <f t="shared" si="336"/>
        <v>3.9198327359617684</v>
      </c>
      <c r="Q632" s="23" t="str">
        <f t="shared" si="331"/>
        <v/>
      </c>
      <c r="R632" s="23">
        <f t="shared" si="332"/>
        <v>4.3430704898446839</v>
      </c>
      <c r="T632" t="str">
        <f t="shared" si="333"/>
        <v/>
      </c>
    </row>
    <row r="633" spans="1:20" x14ac:dyDescent="0.2">
      <c r="A633">
        <v>640</v>
      </c>
      <c r="B633" t="s">
        <v>225</v>
      </c>
      <c r="D633" t="s">
        <v>1</v>
      </c>
      <c r="E633" t="s">
        <v>9</v>
      </c>
      <c r="G633" t="s">
        <v>10</v>
      </c>
      <c r="H633">
        <v>30</v>
      </c>
      <c r="I633">
        <v>31</v>
      </c>
      <c r="J633">
        <v>5</v>
      </c>
      <c r="K633">
        <v>4.21</v>
      </c>
      <c r="L633">
        <v>1.2</v>
      </c>
      <c r="M633">
        <v>0.57699999999999996</v>
      </c>
      <c r="N633">
        <v>0.186</v>
      </c>
      <c r="O633" s="21">
        <f t="shared" si="335"/>
        <v>2.2492314814814818</v>
      </c>
      <c r="P633" s="21">
        <f t="shared" si="336"/>
        <v>1.7808641975308641</v>
      </c>
      <c r="Q633" s="23">
        <f t="shared" si="331"/>
        <v>2.2492314814814818</v>
      </c>
      <c r="R633" s="23" t="str">
        <f t="shared" si="332"/>
        <v/>
      </c>
      <c r="T633" t="str">
        <f t="shared" si="333"/>
        <v/>
      </c>
    </row>
    <row r="634" spans="1:20" x14ac:dyDescent="0.2">
      <c r="A634">
        <v>641</v>
      </c>
      <c r="B634" t="s">
        <v>225</v>
      </c>
      <c r="D634" t="s">
        <v>1</v>
      </c>
      <c r="E634" t="s">
        <v>9</v>
      </c>
      <c r="G634" t="s">
        <v>11</v>
      </c>
      <c r="H634">
        <v>29</v>
      </c>
      <c r="I634">
        <v>31</v>
      </c>
      <c r="J634">
        <v>4.91</v>
      </c>
      <c r="K634">
        <v>5</v>
      </c>
      <c r="L634">
        <f t="shared" ref="L634:N634" si="362">L633</f>
        <v>1.2</v>
      </c>
      <c r="M634">
        <f t="shared" si="362"/>
        <v>0.57699999999999996</v>
      </c>
      <c r="N634">
        <f t="shared" si="362"/>
        <v>0.186</v>
      </c>
      <c r="O634" s="21">
        <f t="shared" si="335"/>
        <v>2.6712962962962967</v>
      </c>
      <c r="P634" s="21">
        <f t="shared" si="336"/>
        <v>1.7488086419753088</v>
      </c>
      <c r="Q634" s="23">
        <f t="shared" si="331"/>
        <v>2.6712962962962967</v>
      </c>
      <c r="R634" s="23" t="str">
        <f t="shared" si="332"/>
        <v/>
      </c>
      <c r="T634" t="str">
        <f t="shared" si="333"/>
        <v/>
      </c>
    </row>
    <row r="635" spans="1:20" x14ac:dyDescent="0.2">
      <c r="A635">
        <v>642</v>
      </c>
      <c r="B635" t="s">
        <v>225</v>
      </c>
      <c r="D635" t="s">
        <v>1</v>
      </c>
      <c r="E635" t="s">
        <v>9</v>
      </c>
      <c r="G635" t="s">
        <v>12</v>
      </c>
      <c r="H635">
        <v>21</v>
      </c>
      <c r="I635">
        <v>20</v>
      </c>
      <c r="J635">
        <v>2.9</v>
      </c>
      <c r="K635">
        <v>3</v>
      </c>
      <c r="L635">
        <v>0.88</v>
      </c>
      <c r="M635">
        <v>0.46899999999999997</v>
      </c>
      <c r="N635">
        <v>0.153</v>
      </c>
      <c r="O635" s="21">
        <f t="shared" si="335"/>
        <v>1.7765151515151516</v>
      </c>
      <c r="P635" s="21">
        <f t="shared" si="336"/>
        <v>1.1448653198653198</v>
      </c>
      <c r="Q635" s="23" t="str">
        <f t="shared" ref="Q635:Q694" si="363">IF(LEFT(G635,7)="IMPROVE",O635,"")</f>
        <v/>
      </c>
      <c r="R635" s="23">
        <f t="shared" ref="R635:R694" si="364">IF(LEFT(G635,7)="FARMER ",O635,"")</f>
        <v>1.7765151515151516</v>
      </c>
      <c r="T635" t="str">
        <f t="shared" ref="T635:T694" si="365">IF(O635&gt;14,"VVVVVVVV","")</f>
        <v/>
      </c>
    </row>
    <row r="636" spans="1:20" x14ac:dyDescent="0.2">
      <c r="A636">
        <v>643</v>
      </c>
      <c r="B636" t="s">
        <v>225</v>
      </c>
      <c r="D636" t="s">
        <v>1</v>
      </c>
      <c r="E636" t="s">
        <v>9</v>
      </c>
      <c r="G636" t="s">
        <v>14</v>
      </c>
      <c r="H636">
        <v>19</v>
      </c>
      <c r="I636">
        <v>14</v>
      </c>
      <c r="J636">
        <v>3.1</v>
      </c>
      <c r="K636">
        <v>2.14</v>
      </c>
      <c r="L636">
        <f t="shared" ref="L636:N636" si="366">L635</f>
        <v>0.88</v>
      </c>
      <c r="M636">
        <f t="shared" si="366"/>
        <v>0.46899999999999997</v>
      </c>
      <c r="N636">
        <f t="shared" si="366"/>
        <v>0.153</v>
      </c>
      <c r="O636" s="21">
        <f t="shared" si="335"/>
        <v>1.2672474747474749</v>
      </c>
      <c r="P636" s="21">
        <f t="shared" si="336"/>
        <v>1.2238215488215487</v>
      </c>
      <c r="Q636" s="23" t="str">
        <f t="shared" si="363"/>
        <v/>
      </c>
      <c r="R636" s="23">
        <f t="shared" si="364"/>
        <v>1.2672474747474749</v>
      </c>
      <c r="T636" t="str">
        <f t="shared" si="365"/>
        <v/>
      </c>
    </row>
    <row r="637" spans="1:20" x14ac:dyDescent="0.2">
      <c r="A637">
        <v>644</v>
      </c>
      <c r="B637" t="s">
        <v>226</v>
      </c>
      <c r="C637" t="s">
        <v>373</v>
      </c>
      <c r="D637" t="s">
        <v>1</v>
      </c>
      <c r="E637" t="s">
        <v>9</v>
      </c>
      <c r="G637" t="s">
        <v>10</v>
      </c>
      <c r="H637">
        <v>25</v>
      </c>
      <c r="I637">
        <v>27</v>
      </c>
      <c r="J637">
        <v>5.31</v>
      </c>
      <c r="K637">
        <v>5.31</v>
      </c>
      <c r="L637">
        <v>0.95</v>
      </c>
      <c r="M637">
        <v>0.67300000000000004</v>
      </c>
      <c r="N637">
        <v>0.159</v>
      </c>
      <c r="O637" s="21">
        <f t="shared" si="335"/>
        <v>4.1796842105263163</v>
      </c>
      <c r="P637" s="21">
        <f t="shared" si="336"/>
        <v>2.7864561403508774</v>
      </c>
      <c r="Q637" s="23">
        <f t="shared" si="363"/>
        <v>4.1796842105263163</v>
      </c>
      <c r="R637" s="23" t="str">
        <f t="shared" si="364"/>
        <v/>
      </c>
      <c r="T637" t="str">
        <f t="shared" si="365"/>
        <v/>
      </c>
    </row>
    <row r="638" spans="1:20" x14ac:dyDescent="0.2">
      <c r="A638">
        <v>645</v>
      </c>
      <c r="B638" t="s">
        <v>226</v>
      </c>
      <c r="C638" t="s">
        <v>373</v>
      </c>
      <c r="D638" t="s">
        <v>1</v>
      </c>
      <c r="E638" t="s">
        <v>9</v>
      </c>
      <c r="G638" t="s">
        <v>11</v>
      </c>
      <c r="H638">
        <v>35</v>
      </c>
      <c r="I638">
        <v>41</v>
      </c>
      <c r="J638">
        <v>7.73</v>
      </c>
      <c r="K638">
        <v>7.73</v>
      </c>
      <c r="L638">
        <f t="shared" ref="L638:N638" si="367">L637</f>
        <v>0.95</v>
      </c>
      <c r="M638">
        <f t="shared" si="367"/>
        <v>0.67300000000000004</v>
      </c>
      <c r="N638">
        <f t="shared" si="367"/>
        <v>0.159</v>
      </c>
      <c r="O638" s="21">
        <f t="shared" ref="O638:O697" si="368">K638*(M638/L638)*(10/9)</f>
        <v>6.0845497076023403</v>
      </c>
      <c r="P638" s="21">
        <f t="shared" ref="P638:P697" si="369">J638*(M638/(L638*1.5))*(10/9)</f>
        <v>4.0563664717348944</v>
      </c>
      <c r="Q638" s="23">
        <f t="shared" si="363"/>
        <v>6.0845497076023403</v>
      </c>
      <c r="R638" s="23" t="str">
        <f t="shared" si="364"/>
        <v/>
      </c>
      <c r="T638" t="str">
        <f t="shared" si="365"/>
        <v/>
      </c>
    </row>
    <row r="639" spans="1:20" x14ac:dyDescent="0.2">
      <c r="A639">
        <v>646</v>
      </c>
      <c r="B639" t="s">
        <v>226</v>
      </c>
      <c r="C639" t="s">
        <v>373</v>
      </c>
      <c r="D639" t="s">
        <v>1</v>
      </c>
      <c r="E639" t="s">
        <v>9</v>
      </c>
      <c r="G639" t="s">
        <v>12</v>
      </c>
      <c r="H639">
        <v>24</v>
      </c>
      <c r="I639">
        <v>29</v>
      </c>
      <c r="J639">
        <v>4.38</v>
      </c>
      <c r="K639">
        <v>5.14</v>
      </c>
      <c r="L639">
        <v>1.01</v>
      </c>
      <c r="M639">
        <v>0.51200000000000001</v>
      </c>
      <c r="N639">
        <v>0.14599999999999999</v>
      </c>
      <c r="O639" s="21">
        <f t="shared" si="368"/>
        <v>2.8951375137513748</v>
      </c>
      <c r="P639" s="21">
        <f t="shared" si="369"/>
        <v>1.6447084708470847</v>
      </c>
      <c r="Q639" s="23" t="str">
        <f t="shared" si="363"/>
        <v/>
      </c>
      <c r="R639" s="23">
        <f t="shared" si="364"/>
        <v>2.8951375137513748</v>
      </c>
      <c r="T639" t="str">
        <f t="shared" si="365"/>
        <v/>
      </c>
    </row>
    <row r="640" spans="1:20" x14ac:dyDescent="0.2">
      <c r="A640">
        <v>647</v>
      </c>
      <c r="B640" t="s">
        <v>226</v>
      </c>
      <c r="C640" t="s">
        <v>373</v>
      </c>
      <c r="D640" t="s">
        <v>1</v>
      </c>
      <c r="E640" t="s">
        <v>9</v>
      </c>
      <c r="G640" t="s">
        <v>14</v>
      </c>
      <c r="H640">
        <v>35</v>
      </c>
      <c r="I640">
        <v>40</v>
      </c>
      <c r="J640">
        <v>7.81</v>
      </c>
      <c r="K640">
        <v>7.5</v>
      </c>
      <c r="L640">
        <f t="shared" ref="L640:N640" si="370">L639</f>
        <v>1.01</v>
      </c>
      <c r="M640">
        <f t="shared" si="370"/>
        <v>0.51200000000000001</v>
      </c>
      <c r="N640">
        <f t="shared" si="370"/>
        <v>0.14599999999999999</v>
      </c>
      <c r="O640" s="21">
        <f t="shared" si="368"/>
        <v>4.224422442244224</v>
      </c>
      <c r="P640" s="21">
        <f t="shared" si="369"/>
        <v>2.9326879354602124</v>
      </c>
      <c r="Q640" s="23" t="str">
        <f t="shared" si="363"/>
        <v/>
      </c>
      <c r="R640" s="23">
        <f t="shared" si="364"/>
        <v>4.224422442244224</v>
      </c>
      <c r="T640" t="str">
        <f t="shared" si="365"/>
        <v/>
      </c>
    </row>
    <row r="641" spans="1:20" x14ac:dyDescent="0.2">
      <c r="A641">
        <v>648</v>
      </c>
      <c r="B641" t="s">
        <v>227</v>
      </c>
      <c r="C641" t="s">
        <v>227</v>
      </c>
      <c r="D641" t="s">
        <v>1</v>
      </c>
      <c r="E641" t="s">
        <v>9</v>
      </c>
      <c r="G641" t="s">
        <v>10</v>
      </c>
      <c r="H641">
        <v>39</v>
      </c>
      <c r="I641">
        <v>42</v>
      </c>
      <c r="J641">
        <v>5.64</v>
      </c>
      <c r="K641">
        <v>6.26</v>
      </c>
      <c r="L641">
        <v>1.08</v>
      </c>
      <c r="M641">
        <v>0.79600000000000004</v>
      </c>
      <c r="N641">
        <v>0.17100000000000001</v>
      </c>
      <c r="O641" s="21">
        <f t="shared" si="368"/>
        <v>5.1265020576131688</v>
      </c>
      <c r="P641" s="21">
        <f t="shared" si="369"/>
        <v>3.0791769547325103</v>
      </c>
      <c r="Q641" s="23">
        <f t="shared" si="363"/>
        <v>5.1265020576131688</v>
      </c>
      <c r="R641" s="23" t="str">
        <f t="shared" si="364"/>
        <v/>
      </c>
      <c r="T641" t="str">
        <f t="shared" si="365"/>
        <v/>
      </c>
    </row>
    <row r="642" spans="1:20" x14ac:dyDescent="0.2">
      <c r="A642">
        <v>649</v>
      </c>
      <c r="B642" t="s">
        <v>227</v>
      </c>
      <c r="C642" t="s">
        <v>227</v>
      </c>
      <c r="D642" t="s">
        <v>1</v>
      </c>
      <c r="E642" t="s">
        <v>9</v>
      </c>
      <c r="G642" t="s">
        <v>11</v>
      </c>
      <c r="H642">
        <v>38</v>
      </c>
      <c r="I642">
        <v>40</v>
      </c>
      <c r="J642">
        <v>5.16</v>
      </c>
      <c r="K642">
        <v>6.76</v>
      </c>
      <c r="L642">
        <f t="shared" ref="L642:N642" si="371">L641</f>
        <v>1.08</v>
      </c>
      <c r="M642">
        <f t="shared" si="371"/>
        <v>0.79600000000000004</v>
      </c>
      <c r="N642">
        <f t="shared" si="371"/>
        <v>0.17100000000000001</v>
      </c>
      <c r="O642" s="21">
        <f t="shared" si="368"/>
        <v>5.5359670781893007</v>
      </c>
      <c r="P642" s="21">
        <f t="shared" si="369"/>
        <v>2.8171193415637865</v>
      </c>
      <c r="Q642" s="23">
        <f t="shared" si="363"/>
        <v>5.5359670781893007</v>
      </c>
      <c r="R642" s="23" t="str">
        <f t="shared" si="364"/>
        <v/>
      </c>
      <c r="T642" t="str">
        <f t="shared" si="365"/>
        <v/>
      </c>
    </row>
    <row r="643" spans="1:20" x14ac:dyDescent="0.2">
      <c r="A643">
        <v>650</v>
      </c>
      <c r="B643" t="s">
        <v>227</v>
      </c>
      <c r="C643" t="s">
        <v>227</v>
      </c>
      <c r="D643" t="s">
        <v>1</v>
      </c>
      <c r="E643" t="s">
        <v>9</v>
      </c>
      <c r="G643" t="s">
        <v>12</v>
      </c>
      <c r="H643">
        <v>30</v>
      </c>
      <c r="I643">
        <v>28</v>
      </c>
      <c r="J643">
        <v>4.91</v>
      </c>
      <c r="K643">
        <v>3.99</v>
      </c>
      <c r="L643">
        <v>0.68</v>
      </c>
      <c r="M643" s="2">
        <v>0.58799999999999997</v>
      </c>
      <c r="N643" s="2">
        <v>0.115</v>
      </c>
      <c r="O643" s="21">
        <f t="shared" si="368"/>
        <v>3.8335294117647063</v>
      </c>
      <c r="P643" s="21">
        <f t="shared" si="369"/>
        <v>3.1449673202614377</v>
      </c>
      <c r="Q643" s="23" t="str">
        <f t="shared" si="363"/>
        <v/>
      </c>
      <c r="R643" s="23">
        <f t="shared" si="364"/>
        <v>3.8335294117647063</v>
      </c>
      <c r="T643" t="str">
        <f t="shared" si="365"/>
        <v/>
      </c>
    </row>
    <row r="644" spans="1:20" x14ac:dyDescent="0.2">
      <c r="A644">
        <v>651</v>
      </c>
      <c r="B644" t="s">
        <v>227</v>
      </c>
      <c r="C644" t="s">
        <v>227</v>
      </c>
      <c r="D644" t="s">
        <v>1</v>
      </c>
      <c r="E644" t="s">
        <v>9</v>
      </c>
      <c r="G644" t="s">
        <v>14</v>
      </c>
      <c r="H644">
        <v>38</v>
      </c>
      <c r="I644">
        <v>40</v>
      </c>
      <c r="J644">
        <v>6.02</v>
      </c>
      <c r="K644">
        <v>4.82</v>
      </c>
      <c r="L644">
        <f t="shared" ref="L644:N644" si="372">L643</f>
        <v>0.68</v>
      </c>
      <c r="M644">
        <f t="shared" si="372"/>
        <v>0.58799999999999997</v>
      </c>
      <c r="N644">
        <f t="shared" si="372"/>
        <v>0.115</v>
      </c>
      <c r="O644" s="21">
        <f t="shared" si="368"/>
        <v>4.6309803921568626</v>
      </c>
      <c r="P644" s="21">
        <f t="shared" si="369"/>
        <v>3.8559477124183004</v>
      </c>
      <c r="Q644" s="23" t="str">
        <f t="shared" si="363"/>
        <v/>
      </c>
      <c r="R644" s="23">
        <f t="shared" si="364"/>
        <v>4.6309803921568626</v>
      </c>
      <c r="T644" t="str">
        <f t="shared" si="365"/>
        <v/>
      </c>
    </row>
    <row r="645" spans="1:20" x14ac:dyDescent="0.2">
      <c r="A645">
        <v>652</v>
      </c>
      <c r="B645" t="s">
        <v>228</v>
      </c>
      <c r="D645" t="s">
        <v>1</v>
      </c>
      <c r="E645" t="s">
        <v>9</v>
      </c>
      <c r="G645" t="s">
        <v>10</v>
      </c>
      <c r="H645">
        <v>29</v>
      </c>
      <c r="I645" s="13">
        <v>34</v>
      </c>
      <c r="J645">
        <v>7.11</v>
      </c>
      <c r="K645">
        <v>6.31</v>
      </c>
      <c r="L645">
        <v>0.94</v>
      </c>
      <c r="M645">
        <v>0.72</v>
      </c>
      <c r="N645">
        <v>0.152</v>
      </c>
      <c r="O645" s="21">
        <f t="shared" si="368"/>
        <v>5.3702127659574463</v>
      </c>
      <c r="P645" s="21">
        <f t="shared" si="369"/>
        <v>4.0340425531914894</v>
      </c>
      <c r="Q645" s="23">
        <f t="shared" si="363"/>
        <v>5.3702127659574463</v>
      </c>
      <c r="R645" s="23" t="str">
        <f t="shared" si="364"/>
        <v/>
      </c>
      <c r="T645" t="str">
        <f t="shared" si="365"/>
        <v/>
      </c>
    </row>
    <row r="646" spans="1:20" x14ac:dyDescent="0.2">
      <c r="A646">
        <v>653</v>
      </c>
      <c r="B646" t="s">
        <v>228</v>
      </c>
      <c r="D646" t="s">
        <v>1</v>
      </c>
      <c r="E646" t="s">
        <v>9</v>
      </c>
      <c r="G646" t="s">
        <v>11</v>
      </c>
      <c r="H646">
        <v>29</v>
      </c>
      <c r="I646" s="13">
        <v>41</v>
      </c>
      <c r="J646">
        <v>6.91</v>
      </c>
      <c r="K646">
        <v>5.81</v>
      </c>
      <c r="L646">
        <f t="shared" ref="L646:N646" si="373">L645</f>
        <v>0.94</v>
      </c>
      <c r="M646">
        <f t="shared" si="373"/>
        <v>0.72</v>
      </c>
      <c r="N646">
        <f t="shared" si="373"/>
        <v>0.152</v>
      </c>
      <c r="O646" s="21">
        <f t="shared" si="368"/>
        <v>4.9446808510638292</v>
      </c>
      <c r="P646" s="21">
        <f t="shared" si="369"/>
        <v>3.9205673758865247</v>
      </c>
      <c r="Q646" s="23">
        <f t="shared" si="363"/>
        <v>4.9446808510638292</v>
      </c>
      <c r="R646" s="23" t="str">
        <f t="shared" si="364"/>
        <v/>
      </c>
      <c r="T646" t="str">
        <f t="shared" si="365"/>
        <v/>
      </c>
    </row>
    <row r="647" spans="1:20" x14ac:dyDescent="0.2">
      <c r="A647">
        <v>654</v>
      </c>
      <c r="B647" t="s">
        <v>228</v>
      </c>
      <c r="D647" t="s">
        <v>1</v>
      </c>
      <c r="E647" t="s">
        <v>9</v>
      </c>
      <c r="G647" t="s">
        <v>12</v>
      </c>
      <c r="H647">
        <v>27</v>
      </c>
      <c r="I647" s="13">
        <v>30</v>
      </c>
      <c r="J647">
        <v>5.1100000000000003</v>
      </c>
      <c r="K647">
        <v>4.0199999999999996</v>
      </c>
      <c r="L647">
        <v>0.64</v>
      </c>
      <c r="M647">
        <v>0.49099999999999999</v>
      </c>
      <c r="N647">
        <v>0.109</v>
      </c>
      <c r="O647" s="21">
        <f t="shared" si="368"/>
        <v>3.4267708333333329</v>
      </c>
      <c r="P647" s="21">
        <f t="shared" si="369"/>
        <v>2.9039467592592594</v>
      </c>
      <c r="Q647" s="23" t="str">
        <f t="shared" si="363"/>
        <v/>
      </c>
      <c r="R647" s="23">
        <f t="shared" si="364"/>
        <v>3.4267708333333329</v>
      </c>
      <c r="T647" t="str">
        <f t="shared" si="365"/>
        <v/>
      </c>
    </row>
    <row r="648" spans="1:20" x14ac:dyDescent="0.2">
      <c r="A648">
        <v>655</v>
      </c>
      <c r="B648" t="s">
        <v>228</v>
      </c>
      <c r="D648" t="s">
        <v>1</v>
      </c>
      <c r="E648" t="s">
        <v>9</v>
      </c>
      <c r="G648" t="s">
        <v>14</v>
      </c>
      <c r="H648" s="13">
        <v>28</v>
      </c>
      <c r="I648">
        <v>32</v>
      </c>
      <c r="J648">
        <v>5.21</v>
      </c>
      <c r="K648">
        <v>4</v>
      </c>
      <c r="L648">
        <f t="shared" ref="L648:N648" si="374">L647</f>
        <v>0.64</v>
      </c>
      <c r="M648">
        <f t="shared" si="374"/>
        <v>0.49099999999999999</v>
      </c>
      <c r="N648">
        <f t="shared" si="374"/>
        <v>0.109</v>
      </c>
      <c r="O648" s="21">
        <f t="shared" si="368"/>
        <v>3.4097222222222223</v>
      </c>
      <c r="P648" s="21">
        <f t="shared" si="369"/>
        <v>2.9607754629629635</v>
      </c>
      <c r="Q648" s="23" t="str">
        <f t="shared" si="363"/>
        <v/>
      </c>
      <c r="R648" s="23">
        <f t="shared" si="364"/>
        <v>3.4097222222222223</v>
      </c>
      <c r="T648" t="str">
        <f t="shared" si="365"/>
        <v/>
      </c>
    </row>
    <row r="649" spans="1:20" x14ac:dyDescent="0.2">
      <c r="A649">
        <v>656</v>
      </c>
      <c r="B649" t="s">
        <v>229</v>
      </c>
      <c r="C649" t="s">
        <v>229</v>
      </c>
      <c r="D649" t="s">
        <v>1</v>
      </c>
      <c r="E649" t="s">
        <v>9</v>
      </c>
      <c r="G649" t="s">
        <v>10</v>
      </c>
      <c r="H649">
        <v>27</v>
      </c>
      <c r="I649">
        <v>38</v>
      </c>
      <c r="J649">
        <v>9</v>
      </c>
      <c r="K649">
        <v>8.5</v>
      </c>
      <c r="L649">
        <v>1.34</v>
      </c>
      <c r="M649">
        <v>0.83299999999999996</v>
      </c>
      <c r="N649">
        <v>0.18</v>
      </c>
      <c r="O649" s="21">
        <f t="shared" si="368"/>
        <v>5.8710613598673298</v>
      </c>
      <c r="P649" s="21">
        <f t="shared" si="369"/>
        <v>4.144278606965174</v>
      </c>
      <c r="Q649" s="23">
        <f t="shared" si="363"/>
        <v>5.8710613598673298</v>
      </c>
      <c r="R649" s="23" t="str">
        <f t="shared" si="364"/>
        <v/>
      </c>
      <c r="T649" t="str">
        <f t="shared" si="365"/>
        <v/>
      </c>
    </row>
    <row r="650" spans="1:20" x14ac:dyDescent="0.2">
      <c r="A650">
        <v>657</v>
      </c>
      <c r="B650" t="s">
        <v>229</v>
      </c>
      <c r="C650" t="s">
        <v>229</v>
      </c>
      <c r="D650" t="s">
        <v>1</v>
      </c>
      <c r="E650" t="s">
        <v>9</v>
      </c>
      <c r="G650" t="s">
        <v>11</v>
      </c>
      <c r="H650">
        <v>23</v>
      </c>
      <c r="I650">
        <v>32</v>
      </c>
      <c r="J650">
        <v>20</v>
      </c>
      <c r="K650">
        <v>7.44</v>
      </c>
      <c r="L650">
        <f t="shared" ref="L650:N650" si="375">L649</f>
        <v>1.34</v>
      </c>
      <c r="M650">
        <f t="shared" si="375"/>
        <v>0.83299999999999996</v>
      </c>
      <c r="N650">
        <f t="shared" si="375"/>
        <v>0.18</v>
      </c>
      <c r="O650" s="21">
        <f t="shared" si="368"/>
        <v>5.1389054726368153</v>
      </c>
      <c r="P650" s="21">
        <f t="shared" si="369"/>
        <v>9.2095080154781623</v>
      </c>
      <c r="Q650" s="23">
        <f t="shared" si="363"/>
        <v>5.1389054726368153</v>
      </c>
      <c r="R650" s="23" t="str">
        <f t="shared" si="364"/>
        <v/>
      </c>
      <c r="T650" t="str">
        <f t="shared" si="365"/>
        <v/>
      </c>
    </row>
    <row r="651" spans="1:20" x14ac:dyDescent="0.2">
      <c r="A651">
        <v>658</v>
      </c>
      <c r="B651" t="s">
        <v>229</v>
      </c>
      <c r="C651" t="s">
        <v>229</v>
      </c>
      <c r="D651" t="s">
        <v>1</v>
      </c>
      <c r="E651" t="s">
        <v>9</v>
      </c>
      <c r="G651" t="s">
        <v>12</v>
      </c>
      <c r="H651">
        <v>27</v>
      </c>
      <c r="I651">
        <v>31</v>
      </c>
      <c r="J651">
        <v>16</v>
      </c>
      <c r="K651">
        <v>13.8</v>
      </c>
      <c r="L651">
        <v>0.78</v>
      </c>
      <c r="M651">
        <v>0.50600000000000001</v>
      </c>
      <c r="N651">
        <v>8.5000000000000006E-2</v>
      </c>
      <c r="O651" s="21">
        <f t="shared" si="368"/>
        <v>9.947008547008549</v>
      </c>
      <c r="P651" s="21">
        <f t="shared" si="369"/>
        <v>7.6885090218423562</v>
      </c>
      <c r="Q651" s="23" t="str">
        <f t="shared" si="363"/>
        <v/>
      </c>
      <c r="R651" s="23">
        <f t="shared" si="364"/>
        <v>9.947008547008549</v>
      </c>
      <c r="T651" t="str">
        <f t="shared" si="365"/>
        <v/>
      </c>
    </row>
    <row r="652" spans="1:20" x14ac:dyDescent="0.2">
      <c r="A652">
        <v>659</v>
      </c>
      <c r="B652" t="s">
        <v>229</v>
      </c>
      <c r="C652" t="s">
        <v>229</v>
      </c>
      <c r="D652" t="s">
        <v>1</v>
      </c>
      <c r="E652" t="s">
        <v>9</v>
      </c>
      <c r="G652" t="s">
        <v>14</v>
      </c>
      <c r="H652">
        <v>20</v>
      </c>
      <c r="I652">
        <v>21</v>
      </c>
      <c r="J652">
        <v>5.14</v>
      </c>
      <c r="K652">
        <v>4.62</v>
      </c>
      <c r="L652">
        <f t="shared" ref="L652:N652" si="376">L651</f>
        <v>0.78</v>
      </c>
      <c r="M652">
        <f t="shared" si="376"/>
        <v>0.50600000000000001</v>
      </c>
      <c r="N652">
        <f t="shared" si="376"/>
        <v>8.5000000000000006E-2</v>
      </c>
      <c r="O652" s="21">
        <f t="shared" si="368"/>
        <v>3.3300854700854705</v>
      </c>
      <c r="P652" s="21">
        <f t="shared" si="369"/>
        <v>2.4699335232668567</v>
      </c>
      <c r="Q652" s="23" t="str">
        <f t="shared" si="363"/>
        <v/>
      </c>
      <c r="R652" s="23">
        <f t="shared" si="364"/>
        <v>3.3300854700854705</v>
      </c>
      <c r="T652" t="str">
        <f t="shared" si="365"/>
        <v/>
      </c>
    </row>
    <row r="653" spans="1:20" x14ac:dyDescent="0.2">
      <c r="A653">
        <v>664</v>
      </c>
      <c r="B653" t="s">
        <v>230</v>
      </c>
      <c r="C653" t="s">
        <v>374</v>
      </c>
      <c r="D653" t="s">
        <v>1</v>
      </c>
      <c r="E653" t="s">
        <v>9</v>
      </c>
      <c r="G653" t="s">
        <v>10</v>
      </c>
      <c r="H653">
        <v>28</v>
      </c>
      <c r="I653">
        <v>28</v>
      </c>
      <c r="J653">
        <v>5.32</v>
      </c>
      <c r="K653">
        <v>5.36</v>
      </c>
      <c r="L653">
        <v>1.24</v>
      </c>
      <c r="M653">
        <v>0.95399999999999996</v>
      </c>
      <c r="N653">
        <v>0.17</v>
      </c>
      <c r="O653" s="21">
        <f t="shared" si="368"/>
        <v>4.5819354838709678</v>
      </c>
      <c r="P653" s="21">
        <f t="shared" si="369"/>
        <v>3.0318279569892481</v>
      </c>
      <c r="Q653" s="23">
        <f t="shared" si="363"/>
        <v>4.5819354838709678</v>
      </c>
      <c r="R653" s="23" t="str">
        <f t="shared" si="364"/>
        <v/>
      </c>
      <c r="T653" t="str">
        <f t="shared" si="365"/>
        <v/>
      </c>
    </row>
    <row r="654" spans="1:20" x14ac:dyDescent="0.2">
      <c r="A654">
        <v>665</v>
      </c>
      <c r="B654" t="s">
        <v>230</v>
      </c>
      <c r="C654" t="s">
        <v>374</v>
      </c>
      <c r="D654" t="s">
        <v>1</v>
      </c>
      <c r="E654" t="s">
        <v>9</v>
      </c>
      <c r="G654" t="s">
        <v>11</v>
      </c>
      <c r="H654">
        <v>25</v>
      </c>
      <c r="I654">
        <v>23</v>
      </c>
      <c r="J654">
        <v>3.3</v>
      </c>
      <c r="K654">
        <v>4.28</v>
      </c>
      <c r="L654">
        <f t="shared" ref="L654:N654" si="377">L653</f>
        <v>1.24</v>
      </c>
      <c r="M654">
        <f t="shared" si="377"/>
        <v>0.95399999999999996</v>
      </c>
      <c r="N654">
        <f t="shared" si="377"/>
        <v>0.17</v>
      </c>
      <c r="O654" s="21">
        <f t="shared" si="368"/>
        <v>3.6587096774193548</v>
      </c>
      <c r="P654" s="21">
        <f t="shared" si="369"/>
        <v>1.8806451612903228</v>
      </c>
      <c r="Q654" s="23">
        <f t="shared" si="363"/>
        <v>3.6587096774193548</v>
      </c>
      <c r="R654" s="23" t="str">
        <f t="shared" si="364"/>
        <v/>
      </c>
      <c r="T654" t="str">
        <f t="shared" si="365"/>
        <v/>
      </c>
    </row>
    <row r="655" spans="1:20" x14ac:dyDescent="0.2">
      <c r="A655">
        <v>666</v>
      </c>
      <c r="B655" t="s">
        <v>230</v>
      </c>
      <c r="C655" t="s">
        <v>374</v>
      </c>
      <c r="D655" t="s">
        <v>1</v>
      </c>
      <c r="E655" t="s">
        <v>9</v>
      </c>
      <c r="G655" t="s">
        <v>12</v>
      </c>
      <c r="H655">
        <v>23</v>
      </c>
      <c r="I655">
        <v>30</v>
      </c>
      <c r="J655">
        <v>3.72</v>
      </c>
      <c r="K655">
        <v>4.12</v>
      </c>
      <c r="L655">
        <v>0.46</v>
      </c>
      <c r="M655" s="2">
        <v>0.45200000000000001</v>
      </c>
      <c r="N655" s="2">
        <v>8.6999999999999994E-2</v>
      </c>
      <c r="O655" s="21">
        <f t="shared" si="368"/>
        <v>4.4981642512077302</v>
      </c>
      <c r="P655" s="21">
        <f t="shared" si="369"/>
        <v>2.7076328502415459</v>
      </c>
      <c r="Q655" s="23" t="str">
        <f t="shared" si="363"/>
        <v/>
      </c>
      <c r="R655" s="23">
        <f t="shared" si="364"/>
        <v>4.4981642512077302</v>
      </c>
      <c r="T655" t="str">
        <f t="shared" si="365"/>
        <v/>
      </c>
    </row>
    <row r="656" spans="1:20" x14ac:dyDescent="0.2">
      <c r="A656">
        <v>667</v>
      </c>
      <c r="B656" t="s">
        <v>230</v>
      </c>
      <c r="C656" t="s">
        <v>374</v>
      </c>
      <c r="D656" t="s">
        <v>1</v>
      </c>
      <c r="E656" t="s">
        <v>9</v>
      </c>
      <c r="G656" t="s">
        <v>14</v>
      </c>
      <c r="H656">
        <v>32</v>
      </c>
      <c r="I656">
        <v>34</v>
      </c>
      <c r="J656">
        <v>4.0999999999999996</v>
      </c>
      <c r="K656">
        <v>4.4800000000000004</v>
      </c>
      <c r="L656">
        <f t="shared" ref="L656:N656" si="378">L655</f>
        <v>0.46</v>
      </c>
      <c r="M656">
        <f t="shared" si="378"/>
        <v>0.45200000000000001</v>
      </c>
      <c r="N656">
        <f t="shared" si="378"/>
        <v>8.6999999999999994E-2</v>
      </c>
      <c r="O656" s="21">
        <f t="shared" si="368"/>
        <v>4.8912077294685998</v>
      </c>
      <c r="P656" s="21">
        <f t="shared" si="369"/>
        <v>2.9842190016103056</v>
      </c>
      <c r="Q656" s="23" t="str">
        <f t="shared" si="363"/>
        <v/>
      </c>
      <c r="R656" s="23">
        <f t="shared" si="364"/>
        <v>4.8912077294685998</v>
      </c>
      <c r="T656" t="str">
        <f t="shared" si="365"/>
        <v/>
      </c>
    </row>
    <row r="657" spans="1:20" x14ac:dyDescent="0.2">
      <c r="A657">
        <v>668</v>
      </c>
      <c r="B657" t="s">
        <v>231</v>
      </c>
      <c r="C657" s="12" t="s">
        <v>375</v>
      </c>
      <c r="D657" t="s">
        <v>1</v>
      </c>
      <c r="E657" t="s">
        <v>9</v>
      </c>
      <c r="G657" t="s">
        <v>10</v>
      </c>
      <c r="H657">
        <v>26</v>
      </c>
      <c r="I657">
        <v>26</v>
      </c>
      <c r="J657">
        <v>12.06</v>
      </c>
      <c r="K657">
        <v>5.56</v>
      </c>
      <c r="L657">
        <v>1.46</v>
      </c>
      <c r="M657">
        <v>0.80400000000000005</v>
      </c>
      <c r="N657">
        <v>0.19400000000000001</v>
      </c>
      <c r="O657" s="21">
        <f t="shared" si="368"/>
        <v>3.4020091324200918</v>
      </c>
      <c r="P657" s="21">
        <f t="shared" si="369"/>
        <v>4.9194520547945215</v>
      </c>
      <c r="Q657" s="23">
        <f t="shared" si="363"/>
        <v>3.4020091324200918</v>
      </c>
      <c r="R657" s="23" t="str">
        <f t="shared" si="364"/>
        <v/>
      </c>
      <c r="T657" t="str">
        <f t="shared" si="365"/>
        <v/>
      </c>
    </row>
    <row r="658" spans="1:20" x14ac:dyDescent="0.2">
      <c r="A658">
        <v>669</v>
      </c>
      <c r="B658" t="s">
        <v>231</v>
      </c>
      <c r="C658" s="12" t="s">
        <v>375</v>
      </c>
      <c r="D658" t="s">
        <v>1</v>
      </c>
      <c r="E658" t="s">
        <v>9</v>
      </c>
      <c r="G658" t="s">
        <v>11</v>
      </c>
      <c r="H658">
        <v>24</v>
      </c>
      <c r="I658">
        <v>20</v>
      </c>
      <c r="J658">
        <v>10.08</v>
      </c>
      <c r="K658">
        <v>5.64</v>
      </c>
      <c r="L658">
        <f t="shared" ref="L658:N658" si="379">L657</f>
        <v>1.46</v>
      </c>
      <c r="M658">
        <f t="shared" si="379"/>
        <v>0.80400000000000005</v>
      </c>
      <c r="N658">
        <f t="shared" si="379"/>
        <v>0.19400000000000001</v>
      </c>
      <c r="O658" s="21">
        <f t="shared" si="368"/>
        <v>3.4509589041095894</v>
      </c>
      <c r="P658" s="21">
        <f t="shared" si="369"/>
        <v>4.1117808219178089</v>
      </c>
      <c r="Q658" s="23">
        <f t="shared" si="363"/>
        <v>3.4509589041095894</v>
      </c>
      <c r="R658" s="23" t="str">
        <f t="shared" si="364"/>
        <v/>
      </c>
      <c r="T658" t="str">
        <f t="shared" si="365"/>
        <v/>
      </c>
    </row>
    <row r="659" spans="1:20" x14ac:dyDescent="0.2">
      <c r="A659">
        <v>670</v>
      </c>
      <c r="B659" t="s">
        <v>231</v>
      </c>
      <c r="C659" s="12" t="s">
        <v>375</v>
      </c>
      <c r="D659" t="s">
        <v>1</v>
      </c>
      <c r="E659" t="s">
        <v>9</v>
      </c>
      <c r="G659" t="s">
        <v>12</v>
      </c>
      <c r="H659">
        <v>24</v>
      </c>
      <c r="I659">
        <v>21</v>
      </c>
      <c r="J659">
        <v>9.1999999999999993</v>
      </c>
      <c r="K659">
        <v>4.58</v>
      </c>
      <c r="L659">
        <v>0.82</v>
      </c>
      <c r="M659">
        <v>0.46300000000000002</v>
      </c>
      <c r="N659">
        <v>7.0000000000000007E-2</v>
      </c>
      <c r="O659" s="21">
        <f t="shared" si="368"/>
        <v>2.8733604336043364</v>
      </c>
      <c r="P659" s="21">
        <f t="shared" si="369"/>
        <v>3.8478771454381215</v>
      </c>
      <c r="Q659" s="23" t="str">
        <f t="shared" si="363"/>
        <v/>
      </c>
      <c r="R659" s="23">
        <f t="shared" si="364"/>
        <v>2.8733604336043364</v>
      </c>
      <c r="T659" t="str">
        <f t="shared" si="365"/>
        <v/>
      </c>
    </row>
    <row r="660" spans="1:20" x14ac:dyDescent="0.2">
      <c r="A660">
        <v>671</v>
      </c>
      <c r="B660" t="s">
        <v>231</v>
      </c>
      <c r="C660" s="12" t="s">
        <v>375</v>
      </c>
      <c r="D660" t="s">
        <v>1</v>
      </c>
      <c r="E660" t="s">
        <v>9</v>
      </c>
      <c r="G660" t="s">
        <v>14</v>
      </c>
      <c r="H660">
        <v>14</v>
      </c>
      <c r="I660">
        <v>14</v>
      </c>
      <c r="J660">
        <v>3.8</v>
      </c>
      <c r="K660">
        <v>2.2599999999999998</v>
      </c>
      <c r="L660">
        <f t="shared" ref="L660:N660" si="380">L659</f>
        <v>0.82</v>
      </c>
      <c r="M660">
        <f t="shared" si="380"/>
        <v>0.46300000000000002</v>
      </c>
      <c r="N660">
        <f t="shared" si="380"/>
        <v>7.0000000000000007E-2</v>
      </c>
      <c r="O660" s="21">
        <f t="shared" si="368"/>
        <v>1.4178590785907859</v>
      </c>
      <c r="P660" s="21">
        <f t="shared" si="369"/>
        <v>1.5893405600722674</v>
      </c>
      <c r="Q660" s="23" t="str">
        <f t="shared" si="363"/>
        <v/>
      </c>
      <c r="R660" s="23">
        <f t="shared" si="364"/>
        <v>1.4178590785907859</v>
      </c>
      <c r="T660" t="str">
        <f t="shared" si="365"/>
        <v/>
      </c>
    </row>
    <row r="661" spans="1:20" x14ac:dyDescent="0.2">
      <c r="A661">
        <v>672</v>
      </c>
      <c r="B661" t="s">
        <v>232</v>
      </c>
      <c r="C661" t="s">
        <v>431</v>
      </c>
      <c r="D661" t="s">
        <v>1</v>
      </c>
      <c r="E661" t="s">
        <v>9</v>
      </c>
      <c r="G661" t="s">
        <v>10</v>
      </c>
      <c r="H661">
        <v>29</v>
      </c>
      <c r="I661">
        <v>29</v>
      </c>
      <c r="J661">
        <v>3.67</v>
      </c>
      <c r="K661">
        <v>3.63</v>
      </c>
      <c r="L661">
        <v>0.67</v>
      </c>
      <c r="M661">
        <v>0.45800000000000002</v>
      </c>
      <c r="N661">
        <v>0.109</v>
      </c>
      <c r="O661" s="21">
        <f t="shared" si="368"/>
        <v>2.7571144278606963</v>
      </c>
      <c r="P661" s="21">
        <f t="shared" si="369"/>
        <v>1.8583305693753454</v>
      </c>
      <c r="Q661" s="23">
        <f t="shared" si="363"/>
        <v>2.7571144278606963</v>
      </c>
      <c r="R661" s="23" t="str">
        <f t="shared" si="364"/>
        <v/>
      </c>
      <c r="T661" t="str">
        <f t="shared" si="365"/>
        <v/>
      </c>
    </row>
    <row r="662" spans="1:20" x14ac:dyDescent="0.2">
      <c r="A662">
        <v>673</v>
      </c>
      <c r="B662" t="s">
        <v>232</v>
      </c>
      <c r="C662" t="s">
        <v>431</v>
      </c>
      <c r="D662" t="s">
        <v>1</v>
      </c>
      <c r="E662" t="s">
        <v>9</v>
      </c>
      <c r="G662" t="s">
        <v>11</v>
      </c>
      <c r="H662">
        <v>23</v>
      </c>
      <c r="I662">
        <v>24</v>
      </c>
      <c r="J662">
        <v>2.9</v>
      </c>
      <c r="K662">
        <v>2.82</v>
      </c>
      <c r="L662">
        <f t="shared" ref="L662:N662" si="381">L661</f>
        <v>0.67</v>
      </c>
      <c r="M662">
        <f t="shared" si="381"/>
        <v>0.45800000000000002</v>
      </c>
      <c r="N662">
        <f t="shared" si="381"/>
        <v>0.109</v>
      </c>
      <c r="O662" s="21">
        <f t="shared" si="368"/>
        <v>2.1418905472636816</v>
      </c>
      <c r="P662" s="21">
        <f t="shared" si="369"/>
        <v>1.4684355997788832</v>
      </c>
      <c r="Q662" s="23">
        <f t="shared" si="363"/>
        <v>2.1418905472636816</v>
      </c>
      <c r="R662" s="23" t="str">
        <f t="shared" si="364"/>
        <v/>
      </c>
      <c r="T662" t="str">
        <f t="shared" si="365"/>
        <v/>
      </c>
    </row>
    <row r="663" spans="1:20" x14ac:dyDescent="0.2">
      <c r="A663">
        <v>674</v>
      </c>
      <c r="B663" t="s">
        <v>232</v>
      </c>
      <c r="C663" t="s">
        <v>431</v>
      </c>
      <c r="D663" t="s">
        <v>1</v>
      </c>
      <c r="E663" t="s">
        <v>9</v>
      </c>
      <c r="G663" t="s">
        <v>12</v>
      </c>
      <c r="H663">
        <v>46</v>
      </c>
      <c r="I663">
        <v>42</v>
      </c>
      <c r="J663">
        <v>2.52</v>
      </c>
      <c r="K663">
        <v>4.5999999999999996</v>
      </c>
      <c r="L663">
        <v>0.62</v>
      </c>
      <c r="M663">
        <v>0.38800000000000001</v>
      </c>
      <c r="N663">
        <v>8.5999999999999993E-2</v>
      </c>
      <c r="O663" s="21">
        <f t="shared" si="368"/>
        <v>3.1985663082437279</v>
      </c>
      <c r="P663" s="21">
        <f t="shared" si="369"/>
        <v>1.1681720430107529</v>
      </c>
      <c r="Q663" s="23" t="str">
        <f t="shared" si="363"/>
        <v/>
      </c>
      <c r="R663" s="23">
        <f t="shared" si="364"/>
        <v>3.1985663082437279</v>
      </c>
      <c r="T663" t="str">
        <f t="shared" si="365"/>
        <v/>
      </c>
    </row>
    <row r="664" spans="1:20" x14ac:dyDescent="0.2">
      <c r="A664">
        <v>675</v>
      </c>
      <c r="B664" t="s">
        <v>232</v>
      </c>
      <c r="C664" t="s">
        <v>431</v>
      </c>
      <c r="D664" t="s">
        <v>1</v>
      </c>
      <c r="E664" t="s">
        <v>9</v>
      </c>
      <c r="G664" t="s">
        <v>14</v>
      </c>
      <c r="H664">
        <v>39</v>
      </c>
      <c r="I664">
        <v>38</v>
      </c>
      <c r="J664">
        <v>3.44</v>
      </c>
      <c r="K664">
        <v>3.98</v>
      </c>
      <c r="L664">
        <f>L663</f>
        <v>0.62</v>
      </c>
      <c r="M664">
        <f t="shared" ref="M664:N664" si="382">M663</f>
        <v>0.38800000000000001</v>
      </c>
      <c r="N664">
        <f t="shared" si="382"/>
        <v>8.5999999999999993E-2</v>
      </c>
      <c r="O664" s="21">
        <f t="shared" si="368"/>
        <v>2.7674551971326169</v>
      </c>
      <c r="P664" s="21">
        <f t="shared" si="369"/>
        <v>1.5946475507765832</v>
      </c>
      <c r="Q664" s="23" t="str">
        <f t="shared" si="363"/>
        <v/>
      </c>
      <c r="R664" s="23">
        <f t="shared" si="364"/>
        <v>2.7674551971326169</v>
      </c>
      <c r="T664" t="str">
        <f t="shared" si="365"/>
        <v/>
      </c>
    </row>
    <row r="665" spans="1:20" x14ac:dyDescent="0.2">
      <c r="A665">
        <v>676</v>
      </c>
      <c r="B665" s="15" t="s">
        <v>233</v>
      </c>
      <c r="C665" s="15" t="s">
        <v>432</v>
      </c>
      <c r="D665" s="15" t="s">
        <v>1</v>
      </c>
      <c r="E665" s="15" t="s">
        <v>9</v>
      </c>
      <c r="F665" s="15"/>
      <c r="G665" s="15" t="s">
        <v>10</v>
      </c>
      <c r="H665" s="15">
        <v>37</v>
      </c>
      <c r="I665" s="15">
        <v>39</v>
      </c>
      <c r="J665" s="15">
        <v>7.3</v>
      </c>
      <c r="K665" s="15">
        <v>7.19</v>
      </c>
      <c r="L665" s="15">
        <v>1.37</v>
      </c>
      <c r="M665" s="15">
        <v>0.749</v>
      </c>
      <c r="N665" s="15"/>
      <c r="O665" s="21">
        <f t="shared" si="368"/>
        <v>4.3676480129764803</v>
      </c>
      <c r="P665" s="21">
        <f t="shared" si="369"/>
        <v>2.9563125168964581</v>
      </c>
      <c r="Q665" s="23">
        <f t="shared" si="363"/>
        <v>4.3676480129764803</v>
      </c>
      <c r="R665" s="23" t="str">
        <f t="shared" si="364"/>
        <v/>
      </c>
      <c r="T665" t="str">
        <f t="shared" si="365"/>
        <v/>
      </c>
    </row>
    <row r="666" spans="1:20" x14ac:dyDescent="0.2">
      <c r="A666">
        <v>677</v>
      </c>
      <c r="B666" t="s">
        <v>233</v>
      </c>
      <c r="C666" s="15" t="s">
        <v>432</v>
      </c>
      <c r="D666" t="s">
        <v>1</v>
      </c>
      <c r="E666" t="s">
        <v>9</v>
      </c>
      <c r="G666" t="s">
        <v>11</v>
      </c>
      <c r="H666">
        <v>39</v>
      </c>
      <c r="I666">
        <v>43</v>
      </c>
      <c r="J666">
        <v>15.26</v>
      </c>
      <c r="K666">
        <v>9.19</v>
      </c>
      <c r="L666">
        <f t="shared" ref="L666" si="383">L665</f>
        <v>1.37</v>
      </c>
      <c r="M666">
        <v>0.749</v>
      </c>
      <c r="O666" s="21">
        <f t="shared" si="368"/>
        <v>5.5825709651257096</v>
      </c>
      <c r="P666" s="21">
        <f t="shared" si="369"/>
        <v>6.1799080832657474</v>
      </c>
      <c r="Q666" s="23">
        <f t="shared" si="363"/>
        <v>5.5825709651257096</v>
      </c>
      <c r="R666" s="23" t="str">
        <f t="shared" si="364"/>
        <v/>
      </c>
      <c r="T666" t="str">
        <f t="shared" si="365"/>
        <v/>
      </c>
    </row>
    <row r="667" spans="1:20" x14ac:dyDescent="0.2">
      <c r="A667">
        <v>678</v>
      </c>
      <c r="B667" t="s">
        <v>233</v>
      </c>
      <c r="C667" s="15" t="s">
        <v>432</v>
      </c>
      <c r="D667" t="s">
        <v>1</v>
      </c>
      <c r="E667" t="s">
        <v>9</v>
      </c>
      <c r="G667" t="s">
        <v>12</v>
      </c>
      <c r="H667">
        <v>31</v>
      </c>
      <c r="I667">
        <v>22</v>
      </c>
      <c r="J667">
        <v>4.47</v>
      </c>
      <c r="K667">
        <v>3.29</v>
      </c>
      <c r="L667">
        <v>0.68</v>
      </c>
      <c r="M667">
        <v>0.372</v>
      </c>
      <c r="N667">
        <v>8.6999999999999994E-2</v>
      </c>
      <c r="O667" s="21">
        <f t="shared" si="368"/>
        <v>1.9998039215686274</v>
      </c>
      <c r="P667" s="21">
        <f t="shared" si="369"/>
        <v>1.8113725490196075</v>
      </c>
      <c r="Q667" s="23" t="str">
        <f t="shared" si="363"/>
        <v/>
      </c>
      <c r="R667" s="23">
        <f t="shared" si="364"/>
        <v>1.9998039215686274</v>
      </c>
      <c r="T667" t="str">
        <f t="shared" si="365"/>
        <v/>
      </c>
    </row>
    <row r="668" spans="1:20" x14ac:dyDescent="0.2">
      <c r="A668">
        <v>679</v>
      </c>
      <c r="B668" t="s">
        <v>233</v>
      </c>
      <c r="C668" s="15" t="s">
        <v>432</v>
      </c>
      <c r="D668" t="s">
        <v>1</v>
      </c>
      <c r="E668" t="s">
        <v>9</v>
      </c>
      <c r="G668" t="s">
        <v>14</v>
      </c>
      <c r="H668">
        <v>37</v>
      </c>
      <c r="I668">
        <v>38</v>
      </c>
      <c r="J668">
        <v>6.4</v>
      </c>
      <c r="K668">
        <v>6.99</v>
      </c>
      <c r="L668">
        <f t="shared" ref="L668:N668" si="384">L667</f>
        <v>0.68</v>
      </c>
      <c r="M668">
        <f t="shared" si="384"/>
        <v>0.372</v>
      </c>
      <c r="N668">
        <f t="shared" si="384"/>
        <v>8.6999999999999994E-2</v>
      </c>
      <c r="O668" s="21">
        <f t="shared" si="368"/>
        <v>4.2488235294117649</v>
      </c>
      <c r="P668" s="21">
        <f t="shared" si="369"/>
        <v>2.5934640522875818</v>
      </c>
      <c r="Q668" s="23" t="str">
        <f t="shared" si="363"/>
        <v/>
      </c>
      <c r="R668" s="23">
        <f t="shared" si="364"/>
        <v>4.2488235294117649</v>
      </c>
      <c r="T668" t="str">
        <f t="shared" si="365"/>
        <v/>
      </c>
    </row>
    <row r="669" spans="1:20" x14ac:dyDescent="0.2">
      <c r="A669">
        <v>680</v>
      </c>
      <c r="B669" t="s">
        <v>234</v>
      </c>
      <c r="C669" s="28" t="s">
        <v>426</v>
      </c>
      <c r="D669" t="s">
        <v>1</v>
      </c>
      <c r="E669" t="s">
        <v>9</v>
      </c>
      <c r="G669" t="s">
        <v>10</v>
      </c>
      <c r="H669">
        <v>37</v>
      </c>
      <c r="I669">
        <v>38</v>
      </c>
      <c r="J669">
        <v>10.26</v>
      </c>
      <c r="K669">
        <v>7.08</v>
      </c>
      <c r="L669">
        <v>1.46</v>
      </c>
      <c r="M669" s="2">
        <v>0.76</v>
      </c>
      <c r="N669" s="2">
        <v>0.17699999999999999</v>
      </c>
      <c r="O669" s="21">
        <f t="shared" si="368"/>
        <v>4.0949771689497716</v>
      </c>
      <c r="P669" s="21">
        <f t="shared" si="369"/>
        <v>3.9561643835616445</v>
      </c>
      <c r="Q669" s="23">
        <f t="shared" si="363"/>
        <v>4.0949771689497716</v>
      </c>
      <c r="R669" s="23" t="str">
        <f t="shared" si="364"/>
        <v/>
      </c>
      <c r="T669" t="str">
        <f t="shared" si="365"/>
        <v/>
      </c>
    </row>
    <row r="670" spans="1:20" x14ac:dyDescent="0.2">
      <c r="A670">
        <v>681</v>
      </c>
      <c r="B670" t="s">
        <v>234</v>
      </c>
      <c r="C670" s="28" t="s">
        <v>426</v>
      </c>
      <c r="D670" t="s">
        <v>1</v>
      </c>
      <c r="E670" t="s">
        <v>9</v>
      </c>
      <c r="G670" t="s">
        <v>11</v>
      </c>
      <c r="H670">
        <v>32</v>
      </c>
      <c r="I670">
        <v>26</v>
      </c>
      <c r="J670">
        <v>7.56</v>
      </c>
      <c r="K670">
        <v>4.96</v>
      </c>
      <c r="L670">
        <f t="shared" ref="L670:N670" si="385">L669</f>
        <v>1.46</v>
      </c>
      <c r="M670">
        <f t="shared" si="385"/>
        <v>0.76</v>
      </c>
      <c r="N670">
        <f t="shared" si="385"/>
        <v>0.17699999999999999</v>
      </c>
      <c r="O670" s="21">
        <f t="shared" si="368"/>
        <v>2.8687975646879758</v>
      </c>
      <c r="P670" s="21">
        <f t="shared" si="369"/>
        <v>2.9150684931506849</v>
      </c>
      <c r="Q670" s="23">
        <f t="shared" si="363"/>
        <v>2.8687975646879758</v>
      </c>
      <c r="R670" s="23" t="str">
        <f t="shared" si="364"/>
        <v/>
      </c>
      <c r="T670" t="str">
        <f t="shared" si="365"/>
        <v/>
      </c>
    </row>
    <row r="671" spans="1:20" x14ac:dyDescent="0.2">
      <c r="A671">
        <v>682</v>
      </c>
      <c r="B671" t="s">
        <v>234</v>
      </c>
      <c r="C671" s="28" t="s">
        <v>426</v>
      </c>
      <c r="D671" t="s">
        <v>1</v>
      </c>
      <c r="E671" t="s">
        <v>9</v>
      </c>
      <c r="G671" t="s">
        <v>12</v>
      </c>
      <c r="H671">
        <v>22</v>
      </c>
      <c r="I671">
        <v>21</v>
      </c>
      <c r="J671">
        <v>4.5599999999999996</v>
      </c>
      <c r="K671">
        <v>1.82</v>
      </c>
      <c r="L671">
        <v>0.46</v>
      </c>
      <c r="M671">
        <v>0.29599999999999999</v>
      </c>
      <c r="N671">
        <v>6.3E-2</v>
      </c>
      <c r="O671" s="21">
        <f t="shared" si="368"/>
        <v>1.3012560386473428</v>
      </c>
      <c r="P671" s="21">
        <f t="shared" si="369"/>
        <v>2.1735265700483088</v>
      </c>
      <c r="Q671" s="23" t="str">
        <f t="shared" si="363"/>
        <v/>
      </c>
      <c r="R671" s="23">
        <f t="shared" si="364"/>
        <v>1.3012560386473428</v>
      </c>
      <c r="T671" t="str">
        <f t="shared" si="365"/>
        <v/>
      </c>
    </row>
    <row r="672" spans="1:20" x14ac:dyDescent="0.2">
      <c r="A672">
        <v>683</v>
      </c>
      <c r="B672" t="s">
        <v>234</v>
      </c>
      <c r="C672" s="28" t="s">
        <v>426</v>
      </c>
      <c r="D672" t="s">
        <v>1</v>
      </c>
      <c r="E672" t="s">
        <v>9</v>
      </c>
      <c r="G672" t="s">
        <v>14</v>
      </c>
      <c r="H672">
        <v>29</v>
      </c>
      <c r="I672">
        <v>28</v>
      </c>
      <c r="J672">
        <v>7.2</v>
      </c>
      <c r="K672">
        <v>4</v>
      </c>
      <c r="L672">
        <f t="shared" ref="L672:N672" si="386">L671</f>
        <v>0.46</v>
      </c>
      <c r="M672">
        <f t="shared" si="386"/>
        <v>0.29599999999999999</v>
      </c>
      <c r="N672">
        <f t="shared" si="386"/>
        <v>6.3E-2</v>
      </c>
      <c r="O672" s="21">
        <f t="shared" si="368"/>
        <v>2.8599033816425119</v>
      </c>
      <c r="P672" s="21">
        <f t="shared" si="369"/>
        <v>3.4318840579710144</v>
      </c>
      <c r="Q672" s="23" t="str">
        <f t="shared" si="363"/>
        <v/>
      </c>
      <c r="R672" s="23">
        <f t="shared" si="364"/>
        <v>2.8599033816425119</v>
      </c>
      <c r="T672" t="str">
        <f t="shared" si="365"/>
        <v/>
      </c>
    </row>
    <row r="673" spans="1:20" x14ac:dyDescent="0.2">
      <c r="A673">
        <v>684</v>
      </c>
      <c r="B673" t="s">
        <v>235</v>
      </c>
      <c r="C673" t="s">
        <v>413</v>
      </c>
      <c r="D673" t="s">
        <v>1</v>
      </c>
      <c r="E673" t="s">
        <v>9</v>
      </c>
      <c r="G673" t="s">
        <v>10</v>
      </c>
      <c r="H673">
        <v>26</v>
      </c>
      <c r="I673">
        <v>29</v>
      </c>
      <c r="J673">
        <v>11.35</v>
      </c>
      <c r="K673">
        <v>8.64</v>
      </c>
      <c r="L673">
        <v>2.2000000000000002</v>
      </c>
      <c r="M673">
        <v>0.65400000000000003</v>
      </c>
      <c r="N673">
        <v>0.154</v>
      </c>
      <c r="O673" s="21">
        <f t="shared" si="368"/>
        <v>2.8538181818181818</v>
      </c>
      <c r="P673" s="21">
        <f t="shared" si="369"/>
        <v>2.4992929292929293</v>
      </c>
      <c r="Q673" s="23">
        <f t="shared" si="363"/>
        <v>2.8538181818181818</v>
      </c>
      <c r="R673" s="23" t="str">
        <f t="shared" si="364"/>
        <v/>
      </c>
      <c r="T673" t="str">
        <f t="shared" si="365"/>
        <v/>
      </c>
    </row>
    <row r="674" spans="1:20" x14ac:dyDescent="0.2">
      <c r="A674">
        <v>685</v>
      </c>
      <c r="B674" t="s">
        <v>235</v>
      </c>
      <c r="C674" t="s">
        <v>413</v>
      </c>
      <c r="D674" t="s">
        <v>1</v>
      </c>
      <c r="E674" t="s">
        <v>9</v>
      </c>
      <c r="G674" t="s">
        <v>11</v>
      </c>
      <c r="H674">
        <v>30</v>
      </c>
      <c r="I674">
        <v>36</v>
      </c>
      <c r="J674">
        <v>6.85</v>
      </c>
      <c r="K674">
        <v>6.4</v>
      </c>
      <c r="L674">
        <f t="shared" ref="L674:N674" si="387">L673</f>
        <v>2.2000000000000002</v>
      </c>
      <c r="M674">
        <f t="shared" si="387"/>
        <v>0.65400000000000003</v>
      </c>
      <c r="N674">
        <f t="shared" si="387"/>
        <v>0.154</v>
      </c>
      <c r="O674" s="21">
        <f t="shared" si="368"/>
        <v>2.1139393939393942</v>
      </c>
      <c r="P674" s="21">
        <f t="shared" si="369"/>
        <v>1.5083838383838384</v>
      </c>
      <c r="Q674" s="23">
        <f t="shared" si="363"/>
        <v>2.1139393939393942</v>
      </c>
      <c r="R674" s="23" t="str">
        <f t="shared" si="364"/>
        <v/>
      </c>
      <c r="T674" t="str">
        <f t="shared" si="365"/>
        <v/>
      </c>
    </row>
    <row r="675" spans="1:20" x14ac:dyDescent="0.2">
      <c r="A675">
        <v>686</v>
      </c>
      <c r="B675" t="s">
        <v>235</v>
      </c>
      <c r="C675" t="s">
        <v>413</v>
      </c>
      <c r="D675" t="s">
        <v>1</v>
      </c>
      <c r="E675" t="s">
        <v>9</v>
      </c>
      <c r="G675" t="s">
        <v>12</v>
      </c>
      <c r="H675">
        <v>33</v>
      </c>
      <c r="I675">
        <v>30</v>
      </c>
      <c r="J675">
        <v>11.44</v>
      </c>
      <c r="K675">
        <v>10.15</v>
      </c>
      <c r="L675">
        <v>0.52</v>
      </c>
      <c r="M675">
        <v>0.34699999999999998</v>
      </c>
      <c r="N675">
        <v>0.1</v>
      </c>
      <c r="O675" s="21">
        <f t="shared" si="368"/>
        <v>7.5257478632478634</v>
      </c>
      <c r="P675" s="21">
        <f t="shared" si="369"/>
        <v>5.6548148148148139</v>
      </c>
      <c r="Q675" s="23" t="str">
        <f t="shared" si="363"/>
        <v/>
      </c>
      <c r="R675" s="23">
        <f t="shared" si="364"/>
        <v>7.5257478632478634</v>
      </c>
      <c r="T675" t="str">
        <f t="shared" si="365"/>
        <v/>
      </c>
    </row>
    <row r="676" spans="1:20" x14ac:dyDescent="0.2">
      <c r="A676">
        <v>687</v>
      </c>
      <c r="B676" t="s">
        <v>235</v>
      </c>
      <c r="C676" t="s">
        <v>413</v>
      </c>
      <c r="D676" t="s">
        <v>1</v>
      </c>
      <c r="E676" t="s">
        <v>9</v>
      </c>
      <c r="G676" t="s">
        <v>14</v>
      </c>
      <c r="H676">
        <v>34</v>
      </c>
      <c r="I676">
        <v>31</v>
      </c>
      <c r="J676">
        <v>11</v>
      </c>
      <c r="K676">
        <v>9.3000000000000007</v>
      </c>
      <c r="L676">
        <f t="shared" ref="L676:N676" si="388">L675</f>
        <v>0.52</v>
      </c>
      <c r="M676">
        <f t="shared" si="388"/>
        <v>0.34699999999999998</v>
      </c>
      <c r="N676">
        <f t="shared" si="388"/>
        <v>0.1</v>
      </c>
      <c r="O676" s="21">
        <f t="shared" si="368"/>
        <v>6.8955128205128213</v>
      </c>
      <c r="P676" s="21">
        <f t="shared" si="369"/>
        <v>5.4373219373219372</v>
      </c>
      <c r="Q676" s="23" t="str">
        <f t="shared" si="363"/>
        <v/>
      </c>
      <c r="R676" s="23">
        <f t="shared" si="364"/>
        <v>6.8955128205128213</v>
      </c>
      <c r="T676" t="str">
        <f t="shared" si="365"/>
        <v/>
      </c>
    </row>
    <row r="677" spans="1:20" x14ac:dyDescent="0.2">
      <c r="A677">
        <v>688</v>
      </c>
      <c r="B677" s="14" t="s">
        <v>236</v>
      </c>
      <c r="C677" s="13" t="s">
        <v>376</v>
      </c>
      <c r="D677" t="s">
        <v>1</v>
      </c>
      <c r="E677" s="15" t="s">
        <v>27</v>
      </c>
      <c r="F677" s="15"/>
      <c r="G677" s="14" t="s">
        <v>60</v>
      </c>
      <c r="M677" s="3">
        <v>0.73599999999999999</v>
      </c>
      <c r="N677" s="3">
        <v>0.15</v>
      </c>
      <c r="O677" s="21" t="e">
        <f t="shared" si="368"/>
        <v>#DIV/0!</v>
      </c>
      <c r="P677" s="21" t="e">
        <f t="shared" si="369"/>
        <v>#DIV/0!</v>
      </c>
      <c r="Q677" s="23" t="str">
        <f t="shared" si="363"/>
        <v/>
      </c>
      <c r="R677" s="23" t="str">
        <f t="shared" si="364"/>
        <v/>
      </c>
      <c r="T677" t="e">
        <f t="shared" si="365"/>
        <v>#DIV/0!</v>
      </c>
    </row>
    <row r="678" spans="1:20" x14ac:dyDescent="0.2">
      <c r="A678">
        <v>689</v>
      </c>
      <c r="B678" s="14" t="s">
        <v>236</v>
      </c>
      <c r="C678" s="13" t="s">
        <v>376</v>
      </c>
      <c r="D678" t="s">
        <v>1</v>
      </c>
      <c r="E678" s="15" t="s">
        <v>27</v>
      </c>
      <c r="F678" s="15"/>
      <c r="G678" s="14" t="s">
        <v>61</v>
      </c>
      <c r="H678" s="14"/>
      <c r="I678" s="14"/>
      <c r="J678" s="14"/>
      <c r="K678" s="14"/>
      <c r="L678" s="14"/>
      <c r="M678" s="3">
        <v>0.89900000000000002</v>
      </c>
      <c r="N678" s="3">
        <v>0.13100000000000001</v>
      </c>
      <c r="O678" s="21" t="e">
        <f t="shared" si="368"/>
        <v>#DIV/0!</v>
      </c>
      <c r="P678" s="21" t="e">
        <f t="shared" si="369"/>
        <v>#DIV/0!</v>
      </c>
      <c r="Q678" s="23" t="str">
        <f t="shared" si="363"/>
        <v/>
      </c>
      <c r="R678" s="23" t="str">
        <f t="shared" si="364"/>
        <v/>
      </c>
      <c r="S678" s="14"/>
      <c r="T678" t="e">
        <f t="shared" si="365"/>
        <v>#DIV/0!</v>
      </c>
    </row>
    <row r="679" spans="1:20" x14ac:dyDescent="0.2">
      <c r="A679">
        <v>690</v>
      </c>
      <c r="B679" s="14" t="s">
        <v>236</v>
      </c>
      <c r="C679" s="13" t="s">
        <v>376</v>
      </c>
      <c r="D679" t="s">
        <v>1</v>
      </c>
      <c r="E679" s="15" t="s">
        <v>27</v>
      </c>
      <c r="F679" s="15"/>
      <c r="G679" s="14" t="s">
        <v>59</v>
      </c>
      <c r="H679" s="14"/>
      <c r="I679" s="14"/>
      <c r="J679" s="14"/>
      <c r="K679" s="14"/>
      <c r="L679" s="14"/>
      <c r="M679" s="3">
        <v>0.626</v>
      </c>
      <c r="N679" s="3">
        <v>0.161</v>
      </c>
      <c r="O679" s="21" t="e">
        <f t="shared" si="368"/>
        <v>#DIV/0!</v>
      </c>
      <c r="P679" s="21" t="e">
        <f t="shared" si="369"/>
        <v>#DIV/0!</v>
      </c>
      <c r="Q679" s="23" t="str">
        <f t="shared" si="363"/>
        <v/>
      </c>
      <c r="R679" s="23" t="str">
        <f t="shared" si="364"/>
        <v/>
      </c>
      <c r="S679" s="14"/>
      <c r="T679" t="e">
        <f t="shared" si="365"/>
        <v>#DIV/0!</v>
      </c>
    </row>
    <row r="680" spans="1:20" x14ac:dyDescent="0.2">
      <c r="A680">
        <v>691</v>
      </c>
      <c r="B680" t="s">
        <v>236</v>
      </c>
      <c r="C680" s="13" t="s">
        <v>376</v>
      </c>
      <c r="D680" t="s">
        <v>1</v>
      </c>
      <c r="E680" t="s">
        <v>27</v>
      </c>
      <c r="G680" s="2" t="s">
        <v>28</v>
      </c>
      <c r="H680">
        <v>36</v>
      </c>
      <c r="I680">
        <v>34</v>
      </c>
      <c r="J680">
        <v>4.5</v>
      </c>
      <c r="K680">
        <v>4.76</v>
      </c>
      <c r="L680">
        <v>0.84</v>
      </c>
      <c r="M680" s="13">
        <v>0.66</v>
      </c>
      <c r="N680">
        <v>0.106</v>
      </c>
      <c r="O680" s="21">
        <f t="shared" si="368"/>
        <v>4.1555555555555559</v>
      </c>
      <c r="P680" s="21">
        <f t="shared" si="369"/>
        <v>2.6190476190476191</v>
      </c>
      <c r="Q680" s="23" t="str">
        <f t="shared" si="363"/>
        <v/>
      </c>
      <c r="R680" s="23" t="str">
        <f t="shared" si="364"/>
        <v/>
      </c>
      <c r="T680" t="str">
        <f t="shared" si="365"/>
        <v/>
      </c>
    </row>
    <row r="681" spans="1:20" x14ac:dyDescent="0.2">
      <c r="A681">
        <v>692</v>
      </c>
      <c r="B681" t="s">
        <v>236</v>
      </c>
      <c r="C681" s="13" t="s">
        <v>376</v>
      </c>
      <c r="D681" t="s">
        <v>1</v>
      </c>
      <c r="E681" t="s">
        <v>27</v>
      </c>
      <c r="G681" s="2" t="s">
        <v>29</v>
      </c>
      <c r="H681">
        <v>42</v>
      </c>
      <c r="I681">
        <v>54</v>
      </c>
      <c r="J681">
        <v>6.62</v>
      </c>
      <c r="K681">
        <v>7.74</v>
      </c>
      <c r="L681">
        <v>1.06</v>
      </c>
      <c r="M681" s="13">
        <v>0.75700000000000001</v>
      </c>
      <c r="N681">
        <v>0.16700000000000001</v>
      </c>
      <c r="O681" s="21">
        <f t="shared" si="368"/>
        <v>6.1416981132075472</v>
      </c>
      <c r="P681" s="21">
        <f t="shared" si="369"/>
        <v>3.5019846261355698</v>
      </c>
      <c r="Q681" s="23" t="str">
        <f t="shared" si="363"/>
        <v/>
      </c>
      <c r="R681" s="23" t="str">
        <f t="shared" si="364"/>
        <v/>
      </c>
      <c r="T681" t="str">
        <f t="shared" si="365"/>
        <v/>
      </c>
    </row>
    <row r="682" spans="1:20" x14ac:dyDescent="0.2">
      <c r="A682">
        <v>693</v>
      </c>
      <c r="B682" t="s">
        <v>236</v>
      </c>
      <c r="C682" s="13" t="s">
        <v>376</v>
      </c>
      <c r="D682" t="s">
        <v>1</v>
      </c>
      <c r="E682" t="s">
        <v>27</v>
      </c>
      <c r="G682" s="2" t="s">
        <v>30</v>
      </c>
      <c r="H682">
        <v>35</v>
      </c>
      <c r="I682">
        <v>29</v>
      </c>
      <c r="J682">
        <v>4.8</v>
      </c>
      <c r="K682">
        <v>3.04</v>
      </c>
      <c r="L682">
        <v>0.8</v>
      </c>
      <c r="M682" s="13">
        <v>0.53300000000000003</v>
      </c>
      <c r="N682">
        <v>0.13</v>
      </c>
      <c r="O682" s="21">
        <f t="shared" si="368"/>
        <v>2.2504444444444442</v>
      </c>
      <c r="P682" s="21">
        <f t="shared" si="369"/>
        <v>2.3688888888888888</v>
      </c>
      <c r="Q682" s="23" t="str">
        <f t="shared" si="363"/>
        <v/>
      </c>
      <c r="R682" s="23" t="str">
        <f t="shared" si="364"/>
        <v/>
      </c>
      <c r="T682" t="str">
        <f t="shared" si="365"/>
        <v/>
      </c>
    </row>
    <row r="683" spans="1:20" x14ac:dyDescent="0.2">
      <c r="A683">
        <v>694</v>
      </c>
      <c r="B683" t="s">
        <v>236</v>
      </c>
      <c r="C683" s="13" t="s">
        <v>376</v>
      </c>
      <c r="D683" t="s">
        <v>1</v>
      </c>
      <c r="E683" t="s">
        <v>27</v>
      </c>
      <c r="G683" s="2" t="s">
        <v>31</v>
      </c>
      <c r="H683">
        <v>36</v>
      </c>
      <c r="I683">
        <v>34</v>
      </c>
      <c r="J683">
        <v>4.76</v>
      </c>
      <c r="K683">
        <v>5.84</v>
      </c>
      <c r="L683">
        <v>0.9</v>
      </c>
      <c r="M683" s="13">
        <v>0.74</v>
      </c>
      <c r="N683">
        <v>0.11899999999999999</v>
      </c>
      <c r="O683" s="21">
        <f t="shared" si="368"/>
        <v>5.3353086419753089</v>
      </c>
      <c r="P683" s="21">
        <f t="shared" si="369"/>
        <v>2.8990946502057606</v>
      </c>
      <c r="Q683" s="23" t="str">
        <f t="shared" si="363"/>
        <v/>
      </c>
      <c r="R683" s="23" t="str">
        <f t="shared" si="364"/>
        <v/>
      </c>
      <c r="T683" t="str">
        <f t="shared" si="365"/>
        <v/>
      </c>
    </row>
    <row r="684" spans="1:20" x14ac:dyDescent="0.2">
      <c r="A684">
        <v>695</v>
      </c>
      <c r="B684" t="s">
        <v>236</v>
      </c>
      <c r="C684" s="13" t="s">
        <v>376</v>
      </c>
      <c r="D684" t="s">
        <v>1</v>
      </c>
      <c r="E684" t="s">
        <v>27</v>
      </c>
      <c r="G684" s="2" t="s">
        <v>32</v>
      </c>
      <c r="H684">
        <v>40</v>
      </c>
      <c r="I684">
        <v>44</v>
      </c>
      <c r="J684">
        <v>6.82</v>
      </c>
      <c r="K684">
        <v>6.52</v>
      </c>
      <c r="L684">
        <v>0.84</v>
      </c>
      <c r="M684" s="13">
        <v>0.626</v>
      </c>
      <c r="N684">
        <v>0.11700000000000001</v>
      </c>
      <c r="O684" s="21">
        <f t="shared" si="368"/>
        <v>5.3988359788359794</v>
      </c>
      <c r="P684" s="21">
        <f t="shared" si="369"/>
        <v>3.7648324514991183</v>
      </c>
      <c r="Q684" s="23" t="str">
        <f t="shared" si="363"/>
        <v/>
      </c>
      <c r="R684" s="23" t="str">
        <f t="shared" si="364"/>
        <v/>
      </c>
      <c r="T684" t="str">
        <f t="shared" si="365"/>
        <v/>
      </c>
    </row>
    <row r="685" spans="1:20" x14ac:dyDescent="0.2">
      <c r="A685">
        <v>696</v>
      </c>
      <c r="B685" t="s">
        <v>236</v>
      </c>
      <c r="C685" s="13" t="s">
        <v>376</v>
      </c>
      <c r="D685" t="s">
        <v>1</v>
      </c>
      <c r="E685" t="s">
        <v>27</v>
      </c>
      <c r="G685" s="2" t="s">
        <v>33</v>
      </c>
      <c r="H685">
        <v>48</v>
      </c>
      <c r="I685">
        <v>46</v>
      </c>
      <c r="J685">
        <v>6.54</v>
      </c>
      <c r="K685">
        <v>5.32</v>
      </c>
      <c r="L685">
        <v>0.8</v>
      </c>
      <c r="M685" s="13">
        <v>0.53300000000000003</v>
      </c>
      <c r="N685">
        <v>0.13</v>
      </c>
      <c r="O685" s="21">
        <f t="shared" si="368"/>
        <v>3.9382777777777784</v>
      </c>
      <c r="P685" s="21">
        <f t="shared" si="369"/>
        <v>3.227611111111111</v>
      </c>
      <c r="Q685" s="23" t="str">
        <f t="shared" si="363"/>
        <v/>
      </c>
      <c r="R685" s="23" t="str">
        <f t="shared" si="364"/>
        <v/>
      </c>
      <c r="T685" t="str">
        <f t="shared" si="365"/>
        <v/>
      </c>
    </row>
    <row r="686" spans="1:20" x14ac:dyDescent="0.2">
      <c r="A686">
        <v>697</v>
      </c>
      <c r="B686" s="19" t="s">
        <v>237</v>
      </c>
      <c r="C686" t="s">
        <v>377</v>
      </c>
      <c r="D686" s="19" t="s">
        <v>1</v>
      </c>
      <c r="E686" s="19" t="s">
        <v>9</v>
      </c>
      <c r="F686" s="19"/>
      <c r="G686" s="15" t="s">
        <v>10</v>
      </c>
      <c r="H686" s="19">
        <v>40</v>
      </c>
      <c r="I686" s="19">
        <v>39</v>
      </c>
      <c r="J686" s="19">
        <v>20.89</v>
      </c>
      <c r="K686" s="19">
        <v>13.61</v>
      </c>
      <c r="L686" s="19">
        <v>1.56</v>
      </c>
      <c r="M686" s="15">
        <v>0.84</v>
      </c>
      <c r="N686" s="15"/>
      <c r="O686" s="21">
        <f t="shared" si="368"/>
        <v>8.1427350427350422</v>
      </c>
      <c r="P686" s="21">
        <f t="shared" si="369"/>
        <v>8.3321937321937334</v>
      </c>
      <c r="Q686" s="23">
        <f t="shared" si="363"/>
        <v>8.1427350427350422</v>
      </c>
      <c r="R686" s="23" t="str">
        <f t="shared" si="364"/>
        <v/>
      </c>
      <c r="T686" t="str">
        <f t="shared" si="365"/>
        <v/>
      </c>
    </row>
    <row r="687" spans="1:20" x14ac:dyDescent="0.2">
      <c r="A687">
        <v>698</v>
      </c>
      <c r="B687" s="13" t="s">
        <v>237</v>
      </c>
      <c r="C687" t="s">
        <v>377</v>
      </c>
      <c r="D687" s="13" t="s">
        <v>1</v>
      </c>
      <c r="E687" s="13" t="s">
        <v>9</v>
      </c>
      <c r="F687" s="13"/>
      <c r="G687" t="s">
        <v>11</v>
      </c>
      <c r="H687" s="13">
        <v>28</v>
      </c>
      <c r="I687" s="13">
        <v>31</v>
      </c>
      <c r="J687" s="13">
        <v>7.6</v>
      </c>
      <c r="K687" s="13">
        <v>11.2</v>
      </c>
      <c r="L687" s="13">
        <v>1.56</v>
      </c>
      <c r="M687">
        <v>0.84</v>
      </c>
      <c r="O687" s="21">
        <f t="shared" si="368"/>
        <v>6.7008547008547001</v>
      </c>
      <c r="P687" s="21">
        <f t="shared" si="369"/>
        <v>3.0313390313390314</v>
      </c>
      <c r="Q687" s="23">
        <f t="shared" si="363"/>
        <v>6.7008547008547001</v>
      </c>
      <c r="R687" s="23" t="str">
        <f t="shared" si="364"/>
        <v/>
      </c>
      <c r="T687" t="str">
        <f t="shared" si="365"/>
        <v/>
      </c>
    </row>
    <row r="688" spans="1:20" x14ac:dyDescent="0.2">
      <c r="A688">
        <v>699</v>
      </c>
      <c r="B688" s="13" t="s">
        <v>237</v>
      </c>
      <c r="C688" t="s">
        <v>377</v>
      </c>
      <c r="D688" s="13" t="s">
        <v>1</v>
      </c>
      <c r="E688" s="13" t="s">
        <v>9</v>
      </c>
      <c r="F688" s="13"/>
      <c r="G688" t="s">
        <v>12</v>
      </c>
      <c r="H688" s="13">
        <v>43</v>
      </c>
      <c r="I688" s="13">
        <v>40</v>
      </c>
      <c r="J688" s="13">
        <v>32.770000000000003</v>
      </c>
      <c r="K688" s="13">
        <v>6.7</v>
      </c>
      <c r="L688" s="13">
        <v>0.88</v>
      </c>
      <c r="M688" s="13">
        <v>0.47199999999999998</v>
      </c>
      <c r="N688" s="13">
        <v>7.1999999999999995E-2</v>
      </c>
      <c r="O688" s="21">
        <f t="shared" si="368"/>
        <v>3.9929292929292934</v>
      </c>
      <c r="P688" s="21">
        <f t="shared" si="369"/>
        <v>13.019730639730641</v>
      </c>
      <c r="Q688" s="23" t="str">
        <f t="shared" si="363"/>
        <v/>
      </c>
      <c r="R688" s="23">
        <f t="shared" si="364"/>
        <v>3.9929292929292934</v>
      </c>
      <c r="T688" t="str">
        <f t="shared" si="365"/>
        <v/>
      </c>
    </row>
    <row r="689" spans="1:20" x14ac:dyDescent="0.2">
      <c r="A689">
        <v>700</v>
      </c>
      <c r="B689" s="13" t="s">
        <v>237</v>
      </c>
      <c r="C689" t="s">
        <v>377</v>
      </c>
      <c r="D689" s="13" t="s">
        <v>1</v>
      </c>
      <c r="E689" s="13" t="s">
        <v>9</v>
      </c>
      <c r="F689" s="13"/>
      <c r="G689" t="s">
        <v>14</v>
      </c>
      <c r="H689" s="13">
        <v>25</v>
      </c>
      <c r="I689" s="13">
        <v>25</v>
      </c>
      <c r="J689" s="13">
        <v>5.18</v>
      </c>
      <c r="K689" s="13">
        <v>4.1500000000000004</v>
      </c>
      <c r="L689" s="13">
        <f t="shared" ref="L689:N689" si="389">L688</f>
        <v>0.88</v>
      </c>
      <c r="M689">
        <f t="shared" si="389"/>
        <v>0.47199999999999998</v>
      </c>
      <c r="N689">
        <f t="shared" si="389"/>
        <v>7.1999999999999995E-2</v>
      </c>
      <c r="O689" s="21">
        <f t="shared" si="368"/>
        <v>2.4732323232323234</v>
      </c>
      <c r="P689" s="21">
        <f t="shared" si="369"/>
        <v>2.0580471380471379</v>
      </c>
      <c r="Q689" s="23" t="str">
        <f t="shared" si="363"/>
        <v/>
      </c>
      <c r="R689" s="23">
        <f t="shared" si="364"/>
        <v>2.4732323232323234</v>
      </c>
      <c r="T689" t="str">
        <f t="shared" si="365"/>
        <v/>
      </c>
    </row>
    <row r="690" spans="1:20" x14ac:dyDescent="0.2">
      <c r="A690">
        <v>701</v>
      </c>
      <c r="B690" s="13" t="s">
        <v>238</v>
      </c>
      <c r="C690" t="s">
        <v>238</v>
      </c>
      <c r="D690" s="13" t="s">
        <v>1</v>
      </c>
      <c r="E690" s="13" t="s">
        <v>9</v>
      </c>
      <c r="F690" s="13"/>
      <c r="G690" t="s">
        <v>10</v>
      </c>
      <c r="H690" s="13">
        <v>31</v>
      </c>
      <c r="I690" s="13">
        <v>29</v>
      </c>
      <c r="J690" s="13">
        <v>7.04</v>
      </c>
      <c r="K690" s="13">
        <v>5.14</v>
      </c>
      <c r="L690" s="13">
        <v>0.97</v>
      </c>
      <c r="M690" s="13">
        <v>0.626</v>
      </c>
      <c r="N690" s="13">
        <v>7.4999999999999997E-2</v>
      </c>
      <c r="O690" s="21">
        <f t="shared" si="368"/>
        <v>3.6857273768613976</v>
      </c>
      <c r="P690" s="21">
        <f t="shared" si="369"/>
        <v>3.3654371897670865</v>
      </c>
      <c r="Q690" s="23">
        <f t="shared" si="363"/>
        <v>3.6857273768613976</v>
      </c>
      <c r="R690" s="23" t="str">
        <f t="shared" si="364"/>
        <v/>
      </c>
      <c r="T690" t="str">
        <f t="shared" si="365"/>
        <v/>
      </c>
    </row>
    <row r="691" spans="1:20" x14ac:dyDescent="0.2">
      <c r="A691">
        <v>702</v>
      </c>
      <c r="B691" s="13" t="s">
        <v>238</v>
      </c>
      <c r="C691" t="s">
        <v>238</v>
      </c>
      <c r="D691" s="13" t="s">
        <v>1</v>
      </c>
      <c r="E691" s="13" t="s">
        <v>9</v>
      </c>
      <c r="F691" s="13"/>
      <c r="G691" t="s">
        <v>11</v>
      </c>
      <c r="H691" s="13">
        <v>42</v>
      </c>
      <c r="I691" s="13">
        <v>37</v>
      </c>
      <c r="J691" s="13">
        <v>6.63</v>
      </c>
      <c r="K691" s="13">
        <v>4.9000000000000004</v>
      </c>
      <c r="L691" s="13">
        <f t="shared" ref="L691:N691" si="390">L690</f>
        <v>0.97</v>
      </c>
      <c r="M691">
        <f t="shared" si="390"/>
        <v>0.626</v>
      </c>
      <c r="N691">
        <f t="shared" si="390"/>
        <v>7.4999999999999997E-2</v>
      </c>
      <c r="O691" s="21">
        <f t="shared" si="368"/>
        <v>3.5136311569301264</v>
      </c>
      <c r="P691" s="21">
        <f t="shared" si="369"/>
        <v>3.1694387170675831</v>
      </c>
      <c r="Q691" s="23">
        <f t="shared" si="363"/>
        <v>3.5136311569301264</v>
      </c>
      <c r="R691" s="23" t="str">
        <f t="shared" si="364"/>
        <v/>
      </c>
      <c r="T691" t="str">
        <f t="shared" si="365"/>
        <v/>
      </c>
    </row>
    <row r="692" spans="1:20" x14ac:dyDescent="0.2">
      <c r="A692">
        <v>703</v>
      </c>
      <c r="B692" s="13" t="s">
        <v>238</v>
      </c>
      <c r="C692" t="s">
        <v>238</v>
      </c>
      <c r="D692" s="13" t="s">
        <v>1</v>
      </c>
      <c r="E692" s="13" t="s">
        <v>9</v>
      </c>
      <c r="F692" s="13"/>
      <c r="G692" t="s">
        <v>12</v>
      </c>
      <c r="H692" s="13">
        <v>42</v>
      </c>
      <c r="I692" s="13">
        <v>34</v>
      </c>
      <c r="J692" s="13">
        <v>6.27</v>
      </c>
      <c r="K692" s="13">
        <v>4.2699999999999996</v>
      </c>
      <c r="L692" s="13">
        <v>0.65</v>
      </c>
      <c r="M692" s="13">
        <v>0.45800000000000002</v>
      </c>
      <c r="N692" s="13">
        <v>8.5999999999999993E-2</v>
      </c>
      <c r="O692" s="21">
        <f t="shared" si="368"/>
        <v>3.3430085470085471</v>
      </c>
      <c r="P692" s="21">
        <f t="shared" si="369"/>
        <v>3.2725470085470083</v>
      </c>
      <c r="Q692" s="23" t="str">
        <f t="shared" si="363"/>
        <v/>
      </c>
      <c r="R692" s="23">
        <f t="shared" si="364"/>
        <v>3.3430085470085471</v>
      </c>
      <c r="T692" t="str">
        <f t="shared" si="365"/>
        <v/>
      </c>
    </row>
    <row r="693" spans="1:20" x14ac:dyDescent="0.2">
      <c r="A693">
        <v>704</v>
      </c>
      <c r="B693" s="13" t="s">
        <v>238</v>
      </c>
      <c r="C693" t="s">
        <v>238</v>
      </c>
      <c r="D693" s="13" t="s">
        <v>1</v>
      </c>
      <c r="E693" s="13" t="s">
        <v>9</v>
      </c>
      <c r="F693" s="13"/>
      <c r="G693" t="s">
        <v>14</v>
      </c>
      <c r="H693" s="13">
        <v>36</v>
      </c>
      <c r="I693" s="13">
        <v>33</v>
      </c>
      <c r="J693" s="13">
        <v>4.7300000000000004</v>
      </c>
      <c r="K693" s="13">
        <v>3.94</v>
      </c>
      <c r="L693" s="13">
        <f t="shared" ref="L693:N693" si="391">L692</f>
        <v>0.65</v>
      </c>
      <c r="M693">
        <f t="shared" si="391"/>
        <v>0.45800000000000002</v>
      </c>
      <c r="N693">
        <f t="shared" si="391"/>
        <v>8.5999999999999993E-2</v>
      </c>
      <c r="O693" s="21">
        <f t="shared" si="368"/>
        <v>3.0846495726495728</v>
      </c>
      <c r="P693" s="21">
        <f t="shared" si="369"/>
        <v>2.4687635327635329</v>
      </c>
      <c r="Q693" s="23" t="str">
        <f t="shared" si="363"/>
        <v/>
      </c>
      <c r="R693" s="23">
        <f t="shared" si="364"/>
        <v>3.0846495726495728</v>
      </c>
      <c r="T693" t="str">
        <f t="shared" si="365"/>
        <v/>
      </c>
    </row>
    <row r="694" spans="1:20" x14ac:dyDescent="0.2">
      <c r="A694">
        <v>705</v>
      </c>
      <c r="B694" t="s">
        <v>239</v>
      </c>
      <c r="C694" s="14" t="s">
        <v>412</v>
      </c>
      <c r="D694" t="s">
        <v>16</v>
      </c>
      <c r="E694" t="s">
        <v>9</v>
      </c>
      <c r="G694" t="s">
        <v>10</v>
      </c>
      <c r="H694">
        <v>34</v>
      </c>
      <c r="I694">
        <v>41</v>
      </c>
      <c r="J694">
        <v>14.17</v>
      </c>
      <c r="K694">
        <v>6.5</v>
      </c>
      <c r="L694">
        <v>0.78</v>
      </c>
      <c r="M694">
        <v>0.48899999999999999</v>
      </c>
      <c r="N694">
        <v>0.13800000000000001</v>
      </c>
      <c r="O694" s="21">
        <f t="shared" si="368"/>
        <v>4.5277777777777786</v>
      </c>
      <c r="P694" s="21">
        <f t="shared" si="369"/>
        <v>6.5803703703703711</v>
      </c>
      <c r="Q694" s="23">
        <f t="shared" si="363"/>
        <v>4.5277777777777786</v>
      </c>
      <c r="R694" s="23" t="str">
        <f t="shared" si="364"/>
        <v/>
      </c>
      <c r="T694" t="str">
        <f t="shared" si="365"/>
        <v/>
      </c>
    </row>
    <row r="695" spans="1:20" x14ac:dyDescent="0.2">
      <c r="A695">
        <v>706</v>
      </c>
      <c r="B695" t="s">
        <v>239</v>
      </c>
      <c r="C695" s="14" t="s">
        <v>412</v>
      </c>
      <c r="D695" t="s">
        <v>16</v>
      </c>
      <c r="E695" t="s">
        <v>9</v>
      </c>
      <c r="G695" t="s">
        <v>11</v>
      </c>
      <c r="H695">
        <v>41</v>
      </c>
      <c r="I695">
        <v>41</v>
      </c>
      <c r="J695">
        <v>12</v>
      </c>
      <c r="K695">
        <v>5.23</v>
      </c>
      <c r="L695">
        <f t="shared" ref="L695:N695" si="392">L694</f>
        <v>0.78</v>
      </c>
      <c r="M695">
        <f t="shared" si="392"/>
        <v>0.48899999999999999</v>
      </c>
      <c r="N695">
        <f t="shared" si="392"/>
        <v>0.13800000000000001</v>
      </c>
      <c r="O695" s="21">
        <f t="shared" si="368"/>
        <v>3.6431196581196583</v>
      </c>
      <c r="P695" s="21">
        <f t="shared" si="369"/>
        <v>5.5726495726495733</v>
      </c>
      <c r="Q695" s="23">
        <f t="shared" ref="Q695:Q758" si="393">IF(LEFT(G695,7)="IMPROVE",O695,"")</f>
        <v>3.6431196581196583</v>
      </c>
      <c r="R695" s="23" t="str">
        <f t="shared" ref="R695:R758" si="394">IF(LEFT(G695,7)="FARMER ",O695,"")</f>
        <v/>
      </c>
      <c r="T695" t="str">
        <f t="shared" ref="T695:T758" si="395">IF(O695&gt;14,"VVVVVVVV","")</f>
        <v/>
      </c>
    </row>
    <row r="696" spans="1:20" x14ac:dyDescent="0.2">
      <c r="A696">
        <v>707</v>
      </c>
      <c r="B696" t="s">
        <v>239</v>
      </c>
      <c r="C696" s="14" t="s">
        <v>412</v>
      </c>
      <c r="D696" t="s">
        <v>16</v>
      </c>
      <c r="E696" t="s">
        <v>9</v>
      </c>
      <c r="G696" t="s">
        <v>12</v>
      </c>
      <c r="H696">
        <v>32</v>
      </c>
      <c r="I696">
        <v>37</v>
      </c>
      <c r="J696">
        <v>9.31</v>
      </c>
      <c r="K696">
        <v>4.07</v>
      </c>
      <c r="L696">
        <v>0.56999999999999995</v>
      </c>
      <c r="M696">
        <v>0.42899999999999999</v>
      </c>
      <c r="N696">
        <v>0.124</v>
      </c>
      <c r="O696" s="21">
        <f t="shared" si="368"/>
        <v>3.4035672514619888</v>
      </c>
      <c r="P696" s="21">
        <f t="shared" si="369"/>
        <v>5.1903703703703714</v>
      </c>
      <c r="Q696" s="23" t="str">
        <f t="shared" si="393"/>
        <v/>
      </c>
      <c r="R696" s="23">
        <f t="shared" si="394"/>
        <v>3.4035672514619888</v>
      </c>
      <c r="T696" t="str">
        <f t="shared" si="395"/>
        <v/>
      </c>
    </row>
    <row r="697" spans="1:20" x14ac:dyDescent="0.2">
      <c r="A697">
        <v>708</v>
      </c>
      <c r="B697" t="s">
        <v>239</v>
      </c>
      <c r="C697" s="14" t="s">
        <v>412</v>
      </c>
      <c r="D697" t="s">
        <v>16</v>
      </c>
      <c r="E697" t="s">
        <v>9</v>
      </c>
      <c r="G697" t="s">
        <v>14</v>
      </c>
      <c r="H697">
        <v>39</v>
      </c>
      <c r="I697">
        <v>36</v>
      </c>
      <c r="J697">
        <v>10.28</v>
      </c>
      <c r="K697">
        <v>4.8</v>
      </c>
      <c r="L697">
        <f t="shared" ref="L697:N697" si="396">L696</f>
        <v>0.56999999999999995</v>
      </c>
      <c r="M697">
        <f t="shared" si="396"/>
        <v>0.42899999999999999</v>
      </c>
      <c r="N697">
        <f t="shared" si="396"/>
        <v>0.124</v>
      </c>
      <c r="O697" s="21">
        <f t="shared" si="368"/>
        <v>4.0140350877192983</v>
      </c>
      <c r="P697" s="21">
        <f t="shared" si="369"/>
        <v>5.7311500974658873</v>
      </c>
      <c r="Q697" s="23" t="str">
        <f t="shared" si="393"/>
        <v/>
      </c>
      <c r="R697" s="23">
        <f t="shared" si="394"/>
        <v>4.0140350877192983</v>
      </c>
      <c r="T697" t="str">
        <f t="shared" si="395"/>
        <v/>
      </c>
    </row>
    <row r="698" spans="1:20" x14ac:dyDescent="0.2">
      <c r="A698">
        <v>709</v>
      </c>
      <c r="B698" t="s">
        <v>240</v>
      </c>
      <c r="C698" t="s">
        <v>378</v>
      </c>
      <c r="D698" t="s">
        <v>16</v>
      </c>
      <c r="E698" t="s">
        <v>9</v>
      </c>
      <c r="G698" t="s">
        <v>10</v>
      </c>
      <c r="H698">
        <v>39</v>
      </c>
      <c r="I698">
        <v>38</v>
      </c>
      <c r="J698">
        <v>11.34</v>
      </c>
      <c r="K698">
        <v>6.02</v>
      </c>
      <c r="L698">
        <v>0.85</v>
      </c>
      <c r="M698">
        <v>0.40100000000000002</v>
      </c>
      <c r="N698">
        <v>7.5999999999999998E-2</v>
      </c>
      <c r="O698" s="21">
        <f t="shared" ref="O698:O761" si="397">K698*(M698/L698)*(10/9)</f>
        <v>3.1555816993464054</v>
      </c>
      <c r="P698" s="21">
        <f t="shared" ref="P698:P761" si="398">J698*(M698/(L698*1.5))*(10/9)</f>
        <v>3.9628235294117653</v>
      </c>
      <c r="Q698" s="23">
        <f t="shared" si="393"/>
        <v>3.1555816993464054</v>
      </c>
      <c r="R698" s="23" t="str">
        <f t="shared" si="394"/>
        <v/>
      </c>
      <c r="T698" t="str">
        <f t="shared" si="395"/>
        <v/>
      </c>
    </row>
    <row r="699" spans="1:20" x14ac:dyDescent="0.2">
      <c r="A699">
        <v>710</v>
      </c>
      <c r="B699" t="s">
        <v>240</v>
      </c>
      <c r="C699" t="s">
        <v>378</v>
      </c>
      <c r="D699" t="s">
        <v>16</v>
      </c>
      <c r="E699" t="s">
        <v>9</v>
      </c>
      <c r="G699" t="s">
        <v>11</v>
      </c>
      <c r="H699">
        <v>30</v>
      </c>
      <c r="I699">
        <v>48</v>
      </c>
      <c r="J699">
        <v>10.97</v>
      </c>
      <c r="K699">
        <v>7.7</v>
      </c>
      <c r="L699">
        <f t="shared" ref="L699:N699" si="399">L698</f>
        <v>0.85</v>
      </c>
      <c r="M699">
        <f t="shared" si="399"/>
        <v>0.40100000000000002</v>
      </c>
      <c r="N699">
        <f t="shared" si="399"/>
        <v>7.5999999999999998E-2</v>
      </c>
      <c r="O699" s="21">
        <f t="shared" si="397"/>
        <v>4.0362091503267985</v>
      </c>
      <c r="P699" s="21">
        <f t="shared" si="398"/>
        <v>3.8335250544662318</v>
      </c>
      <c r="Q699" s="23">
        <f t="shared" si="393"/>
        <v>4.0362091503267985</v>
      </c>
      <c r="R699" s="23" t="str">
        <f t="shared" si="394"/>
        <v/>
      </c>
      <c r="T699" t="str">
        <f t="shared" si="395"/>
        <v/>
      </c>
    </row>
    <row r="700" spans="1:20" x14ac:dyDescent="0.2">
      <c r="A700">
        <v>711</v>
      </c>
      <c r="B700" t="s">
        <v>240</v>
      </c>
      <c r="C700" t="s">
        <v>378</v>
      </c>
      <c r="D700" t="s">
        <v>16</v>
      </c>
      <c r="E700" t="s">
        <v>9</v>
      </c>
      <c r="G700" t="s">
        <v>12</v>
      </c>
      <c r="H700">
        <v>21</v>
      </c>
      <c r="I700">
        <v>21</v>
      </c>
      <c r="J700">
        <v>5.47</v>
      </c>
      <c r="K700">
        <v>3.05</v>
      </c>
      <c r="L700">
        <v>0.66</v>
      </c>
      <c r="M700">
        <v>0.53200000000000003</v>
      </c>
      <c r="N700">
        <v>9.7000000000000003E-2</v>
      </c>
      <c r="O700" s="21">
        <f t="shared" si="397"/>
        <v>2.7316498316498312</v>
      </c>
      <c r="P700" s="21">
        <f t="shared" si="398"/>
        <v>3.2660381593714929</v>
      </c>
      <c r="Q700" s="23" t="str">
        <f t="shared" si="393"/>
        <v/>
      </c>
      <c r="R700" s="23">
        <f t="shared" si="394"/>
        <v>2.7316498316498312</v>
      </c>
      <c r="T700" t="str">
        <f t="shared" si="395"/>
        <v/>
      </c>
    </row>
    <row r="701" spans="1:20" x14ac:dyDescent="0.2">
      <c r="A701">
        <v>712</v>
      </c>
      <c r="B701" t="s">
        <v>240</v>
      </c>
      <c r="C701" t="s">
        <v>378</v>
      </c>
      <c r="D701" t="s">
        <v>16</v>
      </c>
      <c r="E701" t="s">
        <v>9</v>
      </c>
      <c r="G701" t="s">
        <v>14</v>
      </c>
      <c r="H701">
        <v>22</v>
      </c>
      <c r="I701">
        <v>22</v>
      </c>
      <c r="J701">
        <v>7.5</v>
      </c>
      <c r="K701">
        <v>3.76</v>
      </c>
      <c r="L701">
        <f t="shared" ref="L701:N701" si="400">L700</f>
        <v>0.66</v>
      </c>
      <c r="M701">
        <f t="shared" si="400"/>
        <v>0.53200000000000003</v>
      </c>
      <c r="N701">
        <f t="shared" si="400"/>
        <v>9.7000000000000003E-2</v>
      </c>
      <c r="O701" s="21">
        <f t="shared" si="397"/>
        <v>3.3675420875420876</v>
      </c>
      <c r="P701" s="21">
        <f t="shared" si="398"/>
        <v>4.4781144781144784</v>
      </c>
      <c r="Q701" s="23" t="str">
        <f t="shared" si="393"/>
        <v/>
      </c>
      <c r="R701" s="23">
        <f t="shared" si="394"/>
        <v>3.3675420875420876</v>
      </c>
      <c r="T701" t="str">
        <f t="shared" si="395"/>
        <v/>
      </c>
    </row>
    <row r="702" spans="1:20" x14ac:dyDescent="0.2">
      <c r="A702">
        <v>713</v>
      </c>
      <c r="B702" t="s">
        <v>241</v>
      </c>
      <c r="C702" t="s">
        <v>241</v>
      </c>
      <c r="D702" t="s">
        <v>16</v>
      </c>
      <c r="E702" t="s">
        <v>9</v>
      </c>
      <c r="G702" t="s">
        <v>10</v>
      </c>
      <c r="H702">
        <v>38</v>
      </c>
      <c r="I702">
        <v>38</v>
      </c>
      <c r="J702">
        <v>16.850000000000001</v>
      </c>
      <c r="K702">
        <v>6.85</v>
      </c>
      <c r="L702">
        <v>0.95</v>
      </c>
      <c r="M702">
        <v>0.53300000000000003</v>
      </c>
      <c r="N702">
        <v>8.4000000000000005E-2</v>
      </c>
      <c r="O702" s="21">
        <f t="shared" si="397"/>
        <v>4.2702339181286559</v>
      </c>
      <c r="P702" s="21">
        <f t="shared" si="398"/>
        <v>7.0027680311890865</v>
      </c>
      <c r="Q702" s="23">
        <f t="shared" si="393"/>
        <v>4.2702339181286559</v>
      </c>
      <c r="R702" s="23" t="str">
        <f t="shared" si="394"/>
        <v/>
      </c>
      <c r="T702" t="str">
        <f t="shared" si="395"/>
        <v/>
      </c>
    </row>
    <row r="703" spans="1:20" x14ac:dyDescent="0.2">
      <c r="A703">
        <v>714</v>
      </c>
      <c r="B703" t="s">
        <v>241</v>
      </c>
      <c r="C703" t="s">
        <v>241</v>
      </c>
      <c r="D703" t="s">
        <v>16</v>
      </c>
      <c r="E703" t="s">
        <v>9</v>
      </c>
      <c r="G703" t="s">
        <v>11</v>
      </c>
      <c r="H703">
        <v>37</v>
      </c>
      <c r="I703">
        <v>35</v>
      </c>
      <c r="J703">
        <v>14.8</v>
      </c>
      <c r="K703">
        <v>8.19</v>
      </c>
      <c r="L703">
        <f t="shared" ref="L703:N703" si="401">L702</f>
        <v>0.95</v>
      </c>
      <c r="M703">
        <f t="shared" si="401"/>
        <v>0.53300000000000003</v>
      </c>
      <c r="N703">
        <f t="shared" si="401"/>
        <v>8.4000000000000005E-2</v>
      </c>
      <c r="O703" s="21">
        <f t="shared" si="397"/>
        <v>5.1055789473684214</v>
      </c>
      <c r="P703" s="21">
        <f t="shared" si="398"/>
        <v>6.1507992202729058</v>
      </c>
      <c r="Q703" s="23">
        <f t="shared" si="393"/>
        <v>5.1055789473684214</v>
      </c>
      <c r="R703" s="23" t="str">
        <f t="shared" si="394"/>
        <v/>
      </c>
      <c r="T703" t="str">
        <f t="shared" si="395"/>
        <v/>
      </c>
    </row>
    <row r="704" spans="1:20" x14ac:dyDescent="0.2">
      <c r="A704">
        <v>715</v>
      </c>
      <c r="B704" t="s">
        <v>241</v>
      </c>
      <c r="C704" t="s">
        <v>241</v>
      </c>
      <c r="D704" t="s">
        <v>16</v>
      </c>
      <c r="E704" t="s">
        <v>9</v>
      </c>
      <c r="G704" t="s">
        <v>12</v>
      </c>
      <c r="H704">
        <v>34</v>
      </c>
      <c r="I704">
        <v>33</v>
      </c>
      <c r="J704">
        <v>16.649999999999999</v>
      </c>
      <c r="K704">
        <v>5.25</v>
      </c>
      <c r="L704">
        <v>1.35</v>
      </c>
      <c r="M704">
        <v>0.72699999999999998</v>
      </c>
      <c r="N704">
        <v>9.2999999999999999E-2</v>
      </c>
      <c r="O704" s="21">
        <f t="shared" si="397"/>
        <v>3.1413580246913582</v>
      </c>
      <c r="P704" s="21">
        <f t="shared" si="398"/>
        <v>6.6417283950617261</v>
      </c>
      <c r="Q704" s="23" t="str">
        <f t="shared" si="393"/>
        <v/>
      </c>
      <c r="R704" s="23">
        <f t="shared" si="394"/>
        <v>3.1413580246913582</v>
      </c>
      <c r="T704" t="str">
        <f t="shared" si="395"/>
        <v/>
      </c>
    </row>
    <row r="705" spans="1:20" x14ac:dyDescent="0.2">
      <c r="A705">
        <v>716</v>
      </c>
      <c r="B705" t="s">
        <v>241</v>
      </c>
      <c r="C705" t="s">
        <v>241</v>
      </c>
      <c r="D705" t="s">
        <v>16</v>
      </c>
      <c r="E705" t="s">
        <v>9</v>
      </c>
      <c r="G705" t="s">
        <v>14</v>
      </c>
      <c r="H705">
        <v>30</v>
      </c>
      <c r="I705">
        <v>27</v>
      </c>
      <c r="J705">
        <v>18.8</v>
      </c>
      <c r="K705">
        <v>7.05</v>
      </c>
      <c r="L705">
        <f t="shared" ref="L705:N705" si="402">L704</f>
        <v>1.35</v>
      </c>
      <c r="M705">
        <f t="shared" si="402"/>
        <v>0.72699999999999998</v>
      </c>
      <c r="N705">
        <f t="shared" si="402"/>
        <v>9.2999999999999999E-2</v>
      </c>
      <c r="O705" s="21">
        <f t="shared" si="397"/>
        <v>4.218395061728395</v>
      </c>
      <c r="P705" s="21">
        <f t="shared" si="398"/>
        <v>7.4993689986282561</v>
      </c>
      <c r="Q705" s="23" t="str">
        <f t="shared" si="393"/>
        <v/>
      </c>
      <c r="R705" s="23">
        <f t="shared" si="394"/>
        <v>4.218395061728395</v>
      </c>
      <c r="T705" t="str">
        <f t="shared" si="395"/>
        <v/>
      </c>
    </row>
    <row r="706" spans="1:20" x14ac:dyDescent="0.2">
      <c r="A706">
        <v>717</v>
      </c>
      <c r="B706" t="s">
        <v>242</v>
      </c>
      <c r="C706" t="s">
        <v>242</v>
      </c>
      <c r="D706" t="s">
        <v>16</v>
      </c>
      <c r="E706" t="s">
        <v>9</v>
      </c>
      <c r="G706" t="s">
        <v>10</v>
      </c>
      <c r="H706">
        <v>34</v>
      </c>
      <c r="I706">
        <v>36</v>
      </c>
      <c r="J706">
        <v>17.649999999999999</v>
      </c>
      <c r="K706">
        <v>6.8</v>
      </c>
      <c r="L706">
        <v>1.1499999999999999</v>
      </c>
      <c r="M706">
        <v>0.60599999999999998</v>
      </c>
      <c r="N706">
        <v>0.11</v>
      </c>
      <c r="O706" s="21">
        <f t="shared" si="397"/>
        <v>3.9814492753623187</v>
      </c>
      <c r="P706" s="21">
        <f t="shared" si="398"/>
        <v>6.8894685990338171</v>
      </c>
      <c r="Q706" s="23">
        <f t="shared" si="393"/>
        <v>3.9814492753623187</v>
      </c>
      <c r="R706" s="23" t="str">
        <f t="shared" si="394"/>
        <v/>
      </c>
      <c r="T706" t="str">
        <f t="shared" si="395"/>
        <v/>
      </c>
    </row>
    <row r="707" spans="1:20" x14ac:dyDescent="0.2">
      <c r="A707">
        <v>718</v>
      </c>
      <c r="B707" t="s">
        <v>242</v>
      </c>
      <c r="C707" t="s">
        <v>242</v>
      </c>
      <c r="D707" t="s">
        <v>16</v>
      </c>
      <c r="E707" t="s">
        <v>9</v>
      </c>
      <c r="G707" t="s">
        <v>11</v>
      </c>
      <c r="H707">
        <v>27</v>
      </c>
      <c r="I707">
        <v>31</v>
      </c>
      <c r="J707">
        <v>16.149999999999999</v>
      </c>
      <c r="K707">
        <v>7.65</v>
      </c>
      <c r="L707">
        <f t="shared" ref="L707:N707" si="403">L706</f>
        <v>1.1499999999999999</v>
      </c>
      <c r="M707">
        <f t="shared" si="403"/>
        <v>0.60599999999999998</v>
      </c>
      <c r="N707">
        <f t="shared" si="403"/>
        <v>0.11</v>
      </c>
      <c r="O707" s="21">
        <f t="shared" si="397"/>
        <v>4.4791304347826086</v>
      </c>
      <c r="P707" s="21">
        <f t="shared" si="398"/>
        <v>6.3039613526570051</v>
      </c>
      <c r="Q707" s="23">
        <f t="shared" si="393"/>
        <v>4.4791304347826086</v>
      </c>
      <c r="R707" s="23" t="str">
        <f t="shared" si="394"/>
        <v/>
      </c>
      <c r="T707" t="str">
        <f t="shared" si="395"/>
        <v/>
      </c>
    </row>
    <row r="708" spans="1:20" x14ac:dyDescent="0.2">
      <c r="A708">
        <v>719</v>
      </c>
      <c r="B708" t="s">
        <v>242</v>
      </c>
      <c r="C708" t="s">
        <v>242</v>
      </c>
      <c r="D708" t="s">
        <v>16</v>
      </c>
      <c r="E708" t="s">
        <v>9</v>
      </c>
      <c r="G708" t="s">
        <v>12</v>
      </c>
      <c r="H708">
        <v>22</v>
      </c>
      <c r="I708">
        <v>19</v>
      </c>
      <c r="J708">
        <v>15.55</v>
      </c>
      <c r="K708">
        <v>4.25</v>
      </c>
      <c r="L708">
        <v>0.85</v>
      </c>
      <c r="M708">
        <v>0.437</v>
      </c>
      <c r="N708">
        <v>8.8999999999999996E-2</v>
      </c>
      <c r="O708" s="21">
        <f t="shared" si="397"/>
        <v>2.427777777777778</v>
      </c>
      <c r="P708" s="21">
        <f t="shared" si="398"/>
        <v>5.9218736383442279</v>
      </c>
      <c r="Q708" s="23" t="str">
        <f t="shared" si="393"/>
        <v/>
      </c>
      <c r="R708" s="23">
        <f t="shared" si="394"/>
        <v>2.427777777777778</v>
      </c>
      <c r="T708" t="str">
        <f t="shared" si="395"/>
        <v/>
      </c>
    </row>
    <row r="709" spans="1:20" x14ac:dyDescent="0.2">
      <c r="A709">
        <v>720</v>
      </c>
      <c r="B709" t="s">
        <v>242</v>
      </c>
      <c r="C709" t="s">
        <v>242</v>
      </c>
      <c r="D709" t="s">
        <v>16</v>
      </c>
      <c r="E709" t="s">
        <v>9</v>
      </c>
      <c r="G709" t="s">
        <v>14</v>
      </c>
      <c r="H709">
        <v>21</v>
      </c>
      <c r="I709">
        <v>22</v>
      </c>
      <c r="J709">
        <v>14.85</v>
      </c>
      <c r="K709">
        <v>4.0999999999999996</v>
      </c>
      <c r="L709">
        <f t="shared" ref="L709:N709" si="404">L708</f>
        <v>0.85</v>
      </c>
      <c r="M709">
        <f t="shared" si="404"/>
        <v>0.437</v>
      </c>
      <c r="N709">
        <f t="shared" si="404"/>
        <v>8.8999999999999996E-2</v>
      </c>
      <c r="O709" s="21">
        <f t="shared" si="397"/>
        <v>2.3420915032679739</v>
      </c>
      <c r="P709" s="21">
        <f t="shared" si="398"/>
        <v>5.6552941176470597</v>
      </c>
      <c r="Q709" s="23" t="str">
        <f t="shared" si="393"/>
        <v/>
      </c>
      <c r="R709" s="23">
        <f t="shared" si="394"/>
        <v>2.3420915032679739</v>
      </c>
      <c r="T709" t="str">
        <f t="shared" si="395"/>
        <v/>
      </c>
    </row>
    <row r="710" spans="1:20" x14ac:dyDescent="0.2">
      <c r="A710">
        <v>721</v>
      </c>
      <c r="B710" t="s">
        <v>243</v>
      </c>
      <c r="C710" t="s">
        <v>243</v>
      </c>
      <c r="D710" t="s">
        <v>16</v>
      </c>
      <c r="E710" t="s">
        <v>9</v>
      </c>
      <c r="G710" t="s">
        <v>10</v>
      </c>
      <c r="H710">
        <v>43</v>
      </c>
      <c r="I710">
        <v>31</v>
      </c>
      <c r="J710">
        <v>14.1</v>
      </c>
      <c r="K710">
        <v>5</v>
      </c>
      <c r="L710">
        <v>0.95</v>
      </c>
      <c r="M710">
        <v>0.45</v>
      </c>
      <c r="N710">
        <v>0.08</v>
      </c>
      <c r="O710" s="21">
        <f t="shared" si="397"/>
        <v>2.6315789473684212</v>
      </c>
      <c r="P710" s="21">
        <f t="shared" si="398"/>
        <v>4.9473684210526319</v>
      </c>
      <c r="Q710" s="23">
        <f t="shared" si="393"/>
        <v>2.6315789473684212</v>
      </c>
      <c r="R710" s="23" t="str">
        <f t="shared" si="394"/>
        <v/>
      </c>
      <c r="T710" t="str">
        <f t="shared" si="395"/>
        <v/>
      </c>
    </row>
    <row r="711" spans="1:20" x14ac:dyDescent="0.2">
      <c r="A711">
        <v>722</v>
      </c>
      <c r="B711" t="s">
        <v>243</v>
      </c>
      <c r="C711" t="s">
        <v>243</v>
      </c>
      <c r="D711" t="s">
        <v>16</v>
      </c>
      <c r="E711" t="s">
        <v>9</v>
      </c>
      <c r="G711" t="s">
        <v>11</v>
      </c>
      <c r="H711">
        <v>43</v>
      </c>
      <c r="I711">
        <v>35</v>
      </c>
      <c r="J711">
        <v>16</v>
      </c>
      <c r="K711">
        <v>3.9</v>
      </c>
      <c r="L711">
        <f t="shared" ref="L711:N711" si="405">L710</f>
        <v>0.95</v>
      </c>
      <c r="M711">
        <f t="shared" si="405"/>
        <v>0.45</v>
      </c>
      <c r="N711">
        <f t="shared" si="405"/>
        <v>0.08</v>
      </c>
      <c r="O711" s="21">
        <f t="shared" si="397"/>
        <v>2.0526315789473686</v>
      </c>
      <c r="P711" s="21">
        <f t="shared" si="398"/>
        <v>5.6140350877192988</v>
      </c>
      <c r="Q711" s="23">
        <f t="shared" si="393"/>
        <v>2.0526315789473686</v>
      </c>
      <c r="R711" s="23" t="str">
        <f t="shared" si="394"/>
        <v/>
      </c>
      <c r="T711" t="str">
        <f t="shared" si="395"/>
        <v/>
      </c>
    </row>
    <row r="712" spans="1:20" x14ac:dyDescent="0.2">
      <c r="A712">
        <v>723</v>
      </c>
      <c r="B712" t="s">
        <v>243</v>
      </c>
      <c r="C712" t="s">
        <v>243</v>
      </c>
      <c r="D712" t="s">
        <v>16</v>
      </c>
      <c r="E712" t="s">
        <v>9</v>
      </c>
      <c r="G712" t="s">
        <v>12</v>
      </c>
      <c r="H712">
        <v>36</v>
      </c>
      <c r="I712">
        <v>38</v>
      </c>
      <c r="J712">
        <v>14.2</v>
      </c>
      <c r="K712">
        <v>4.3499999999999996</v>
      </c>
      <c r="L712">
        <v>0.95</v>
      </c>
      <c r="M712">
        <v>0.47399999999999998</v>
      </c>
      <c r="N712">
        <v>0.107</v>
      </c>
      <c r="O712" s="21">
        <f t="shared" si="397"/>
        <v>2.411578947368421</v>
      </c>
      <c r="P712" s="21">
        <f t="shared" si="398"/>
        <v>5.2481871345029241</v>
      </c>
      <c r="Q712" s="23" t="str">
        <f t="shared" si="393"/>
        <v/>
      </c>
      <c r="R712" s="23">
        <f t="shared" si="394"/>
        <v>2.411578947368421</v>
      </c>
      <c r="T712" t="str">
        <f t="shared" si="395"/>
        <v/>
      </c>
    </row>
    <row r="713" spans="1:20" x14ac:dyDescent="0.2">
      <c r="A713">
        <v>724</v>
      </c>
      <c r="B713" t="s">
        <v>243</v>
      </c>
      <c r="C713" t="s">
        <v>243</v>
      </c>
      <c r="D713" t="s">
        <v>16</v>
      </c>
      <c r="E713" t="s">
        <v>9</v>
      </c>
      <c r="G713" t="s">
        <v>14</v>
      </c>
      <c r="H713">
        <v>33</v>
      </c>
      <c r="I713">
        <v>26</v>
      </c>
      <c r="J713">
        <v>15.35</v>
      </c>
      <c r="K713">
        <v>4.4000000000000004</v>
      </c>
      <c r="L713">
        <f t="shared" ref="L713:N713" si="406">L712</f>
        <v>0.95</v>
      </c>
      <c r="M713">
        <f t="shared" si="406"/>
        <v>0.47399999999999998</v>
      </c>
      <c r="N713">
        <f t="shared" si="406"/>
        <v>0.107</v>
      </c>
      <c r="O713" s="21">
        <f t="shared" si="397"/>
        <v>2.4392982456140353</v>
      </c>
      <c r="P713" s="21">
        <f t="shared" si="398"/>
        <v>5.6732163742690069</v>
      </c>
      <c r="Q713" s="23" t="str">
        <f t="shared" si="393"/>
        <v/>
      </c>
      <c r="R713" s="23">
        <f t="shared" si="394"/>
        <v>2.4392982456140353</v>
      </c>
      <c r="T713" t="str">
        <f t="shared" si="395"/>
        <v/>
      </c>
    </row>
    <row r="714" spans="1:20" x14ac:dyDescent="0.2">
      <c r="A714">
        <v>725</v>
      </c>
      <c r="B714" t="s">
        <v>244</v>
      </c>
      <c r="C714" t="s">
        <v>379</v>
      </c>
      <c r="D714" t="s">
        <v>16</v>
      </c>
      <c r="E714" t="s">
        <v>9</v>
      </c>
      <c r="G714" t="s">
        <v>10</v>
      </c>
      <c r="H714">
        <v>20</v>
      </c>
      <c r="I714">
        <v>20</v>
      </c>
      <c r="J714">
        <v>12.65</v>
      </c>
      <c r="K714">
        <v>4.75</v>
      </c>
      <c r="L714">
        <v>1</v>
      </c>
      <c r="M714">
        <v>0.56200000000000006</v>
      </c>
      <c r="N714">
        <v>8.5999999999999993E-2</v>
      </c>
      <c r="O714" s="21">
        <f t="shared" si="397"/>
        <v>2.9661111111111116</v>
      </c>
      <c r="P714" s="21">
        <f t="shared" si="398"/>
        <v>5.2661481481481491</v>
      </c>
      <c r="Q714" s="23">
        <f t="shared" si="393"/>
        <v>2.9661111111111116</v>
      </c>
      <c r="R714" s="23" t="str">
        <f t="shared" si="394"/>
        <v/>
      </c>
      <c r="T714" t="str">
        <f t="shared" si="395"/>
        <v/>
      </c>
    </row>
    <row r="715" spans="1:20" x14ac:dyDescent="0.2">
      <c r="A715">
        <v>726</v>
      </c>
      <c r="B715" t="s">
        <v>244</v>
      </c>
      <c r="C715" t="s">
        <v>379</v>
      </c>
      <c r="D715" t="s">
        <v>16</v>
      </c>
      <c r="E715" t="s">
        <v>9</v>
      </c>
      <c r="G715" t="s">
        <v>11</v>
      </c>
      <c r="H715">
        <v>37</v>
      </c>
      <c r="I715">
        <v>29</v>
      </c>
      <c r="J715">
        <v>18.75</v>
      </c>
      <c r="K715">
        <v>4.6500000000000004</v>
      </c>
      <c r="L715">
        <f t="shared" ref="L715:N715" si="407">L714</f>
        <v>1</v>
      </c>
      <c r="M715">
        <f t="shared" si="407"/>
        <v>0.56200000000000006</v>
      </c>
      <c r="N715">
        <f t="shared" si="407"/>
        <v>8.5999999999999993E-2</v>
      </c>
      <c r="O715" s="21">
        <f t="shared" si="397"/>
        <v>2.9036666666666675</v>
      </c>
      <c r="P715" s="21">
        <f t="shared" si="398"/>
        <v>7.8055555555555562</v>
      </c>
      <c r="Q715" s="23">
        <f t="shared" si="393"/>
        <v>2.9036666666666675</v>
      </c>
      <c r="R715" s="23" t="str">
        <f t="shared" si="394"/>
        <v/>
      </c>
      <c r="T715" t="str">
        <f t="shared" si="395"/>
        <v/>
      </c>
    </row>
    <row r="716" spans="1:20" x14ac:dyDescent="0.2">
      <c r="A716">
        <v>727</v>
      </c>
      <c r="B716" t="s">
        <v>244</v>
      </c>
      <c r="C716" t="s">
        <v>379</v>
      </c>
      <c r="D716" t="s">
        <v>16</v>
      </c>
      <c r="E716" t="s">
        <v>9</v>
      </c>
      <c r="G716" t="s">
        <v>12</v>
      </c>
      <c r="H716">
        <v>25</v>
      </c>
      <c r="I716">
        <v>21</v>
      </c>
      <c r="J716">
        <v>10.6</v>
      </c>
      <c r="K716">
        <v>3.35</v>
      </c>
      <c r="L716">
        <v>1.2</v>
      </c>
      <c r="M716" s="4">
        <v>0.57099999999999995</v>
      </c>
      <c r="N716" s="4">
        <v>0.109</v>
      </c>
      <c r="O716" s="21">
        <f t="shared" si="397"/>
        <v>1.7711574074074077</v>
      </c>
      <c r="P716" s="21">
        <f t="shared" si="398"/>
        <v>3.7361728395061733</v>
      </c>
      <c r="Q716" s="23" t="str">
        <f t="shared" si="393"/>
        <v/>
      </c>
      <c r="R716" s="23">
        <f t="shared" si="394"/>
        <v>1.7711574074074077</v>
      </c>
      <c r="T716" t="str">
        <f t="shared" si="395"/>
        <v/>
      </c>
    </row>
    <row r="717" spans="1:20" x14ac:dyDescent="0.2">
      <c r="A717">
        <v>728</v>
      </c>
      <c r="B717" t="s">
        <v>244</v>
      </c>
      <c r="C717" t="s">
        <v>379</v>
      </c>
      <c r="D717" t="s">
        <v>16</v>
      </c>
      <c r="E717" t="s">
        <v>9</v>
      </c>
      <c r="G717" t="s">
        <v>14</v>
      </c>
      <c r="H717">
        <v>30</v>
      </c>
      <c r="I717">
        <v>21</v>
      </c>
      <c r="J717">
        <v>12.8</v>
      </c>
      <c r="K717">
        <v>2.4</v>
      </c>
      <c r="L717">
        <f t="shared" ref="L717:N717" si="408">L716</f>
        <v>1.2</v>
      </c>
      <c r="M717">
        <f t="shared" si="408"/>
        <v>0.57099999999999995</v>
      </c>
      <c r="N717">
        <f t="shared" si="408"/>
        <v>0.109</v>
      </c>
      <c r="O717" s="21">
        <f t="shared" si="397"/>
        <v>1.2688888888888887</v>
      </c>
      <c r="P717" s="21">
        <f t="shared" si="398"/>
        <v>4.5116049382716064</v>
      </c>
      <c r="Q717" s="23" t="str">
        <f t="shared" si="393"/>
        <v/>
      </c>
      <c r="R717" s="23">
        <f t="shared" si="394"/>
        <v>1.2688888888888887</v>
      </c>
      <c r="S717" s="17"/>
      <c r="T717" t="str">
        <f t="shared" si="395"/>
        <v/>
      </c>
    </row>
    <row r="718" spans="1:20" x14ac:dyDescent="0.2">
      <c r="A718">
        <v>729</v>
      </c>
      <c r="B718" t="s">
        <v>245</v>
      </c>
      <c r="C718" t="s">
        <v>380</v>
      </c>
      <c r="D718" t="s">
        <v>16</v>
      </c>
      <c r="E718" t="s">
        <v>9</v>
      </c>
      <c r="G718" t="s">
        <v>10</v>
      </c>
      <c r="H718">
        <v>36</v>
      </c>
      <c r="I718">
        <v>25</v>
      </c>
      <c r="J718">
        <v>7.68</v>
      </c>
      <c r="K718">
        <v>2.48</v>
      </c>
      <c r="L718">
        <v>0.48</v>
      </c>
      <c r="M718">
        <v>0.3</v>
      </c>
      <c r="N718">
        <v>0.08</v>
      </c>
      <c r="O718" s="21">
        <f t="shared" si="397"/>
        <v>1.7222222222222223</v>
      </c>
      <c r="P718" s="21">
        <f t="shared" si="398"/>
        <v>3.5555555555555558</v>
      </c>
      <c r="Q718" s="23">
        <f t="shared" si="393"/>
        <v>1.7222222222222223</v>
      </c>
      <c r="R718" s="23" t="str">
        <f t="shared" si="394"/>
        <v/>
      </c>
      <c r="S718" s="14"/>
      <c r="T718" t="str">
        <f t="shared" si="395"/>
        <v/>
      </c>
    </row>
    <row r="719" spans="1:20" x14ac:dyDescent="0.2">
      <c r="A719">
        <v>730</v>
      </c>
      <c r="B719" t="s">
        <v>245</v>
      </c>
      <c r="C719" t="s">
        <v>380</v>
      </c>
      <c r="D719" t="s">
        <v>16</v>
      </c>
      <c r="E719" t="s">
        <v>9</v>
      </c>
      <c r="G719" t="s">
        <v>11</v>
      </c>
      <c r="H719">
        <v>34</v>
      </c>
      <c r="I719">
        <v>31</v>
      </c>
      <c r="J719">
        <v>6.33</v>
      </c>
      <c r="K719">
        <v>2.83</v>
      </c>
      <c r="L719">
        <f t="shared" ref="L719:N719" si="409">L718</f>
        <v>0.48</v>
      </c>
      <c r="M719">
        <f t="shared" si="409"/>
        <v>0.3</v>
      </c>
      <c r="N719">
        <f t="shared" si="409"/>
        <v>0.08</v>
      </c>
      <c r="O719" s="21">
        <f t="shared" si="397"/>
        <v>1.9652777777777779</v>
      </c>
      <c r="P719" s="21">
        <f t="shared" si="398"/>
        <v>2.9305555555555558</v>
      </c>
      <c r="Q719" s="23">
        <f t="shared" si="393"/>
        <v>1.9652777777777779</v>
      </c>
      <c r="R719" s="23" t="str">
        <f t="shared" si="394"/>
        <v/>
      </c>
      <c r="T719" t="str">
        <f t="shared" si="395"/>
        <v/>
      </c>
    </row>
    <row r="720" spans="1:20" x14ac:dyDescent="0.2">
      <c r="A720">
        <v>731</v>
      </c>
      <c r="B720" t="s">
        <v>245</v>
      </c>
      <c r="C720" t="s">
        <v>380</v>
      </c>
      <c r="D720" t="s">
        <v>16</v>
      </c>
      <c r="E720" t="s">
        <v>9</v>
      </c>
      <c r="G720" t="s">
        <v>12</v>
      </c>
      <c r="H720">
        <v>34</v>
      </c>
      <c r="I720">
        <v>30</v>
      </c>
      <c r="J720">
        <v>9.0500000000000007</v>
      </c>
      <c r="K720">
        <v>4.82</v>
      </c>
      <c r="L720">
        <v>0.7</v>
      </c>
      <c r="M720">
        <v>0.44500000000000001</v>
      </c>
      <c r="N720">
        <v>7.3999999999999996E-2</v>
      </c>
      <c r="O720" s="21">
        <f t="shared" si="397"/>
        <v>3.4046031746031753</v>
      </c>
      <c r="P720" s="21">
        <f t="shared" si="398"/>
        <v>4.2616402116402128</v>
      </c>
      <c r="Q720" s="23" t="str">
        <f t="shared" si="393"/>
        <v/>
      </c>
      <c r="R720" s="23">
        <f t="shared" si="394"/>
        <v>3.4046031746031753</v>
      </c>
      <c r="T720" t="str">
        <f t="shared" si="395"/>
        <v/>
      </c>
    </row>
    <row r="721" spans="1:20" x14ac:dyDescent="0.2">
      <c r="A721">
        <v>732</v>
      </c>
      <c r="B721" t="s">
        <v>245</v>
      </c>
      <c r="C721" t="s">
        <v>380</v>
      </c>
      <c r="D721" t="s">
        <v>16</v>
      </c>
      <c r="E721" t="s">
        <v>9</v>
      </c>
      <c r="G721" t="s">
        <v>14</v>
      </c>
      <c r="H721">
        <v>40</v>
      </c>
      <c r="I721">
        <v>39</v>
      </c>
      <c r="J721">
        <v>11.73</v>
      </c>
      <c r="K721">
        <v>7.69</v>
      </c>
      <c r="L721">
        <f t="shared" ref="L721:N721" si="410">L720</f>
        <v>0.7</v>
      </c>
      <c r="M721">
        <f t="shared" si="410"/>
        <v>0.44500000000000001</v>
      </c>
      <c r="N721">
        <f t="shared" si="410"/>
        <v>7.3999999999999996E-2</v>
      </c>
      <c r="O721" s="21">
        <f t="shared" si="397"/>
        <v>5.4318253968253982</v>
      </c>
      <c r="P721" s="21">
        <f t="shared" si="398"/>
        <v>5.5236507936507957</v>
      </c>
      <c r="Q721" s="23" t="str">
        <f t="shared" si="393"/>
        <v/>
      </c>
      <c r="R721" s="23">
        <f t="shared" si="394"/>
        <v>5.4318253968253982</v>
      </c>
      <c r="T721" t="str">
        <f t="shared" si="395"/>
        <v/>
      </c>
    </row>
    <row r="722" spans="1:20" x14ac:dyDescent="0.2">
      <c r="A722">
        <v>733</v>
      </c>
      <c r="B722" t="s">
        <v>246</v>
      </c>
      <c r="C722" t="s">
        <v>246</v>
      </c>
      <c r="D722" t="s">
        <v>16</v>
      </c>
      <c r="E722" t="s">
        <v>9</v>
      </c>
      <c r="G722" t="s">
        <v>10</v>
      </c>
      <c r="H722">
        <v>26</v>
      </c>
      <c r="I722">
        <v>25</v>
      </c>
      <c r="J722">
        <v>12.2</v>
      </c>
      <c r="K722">
        <v>7.7</v>
      </c>
      <c r="L722">
        <v>1.05</v>
      </c>
      <c r="M722">
        <v>0.68799999999999994</v>
      </c>
      <c r="N722">
        <v>8.7999999999999995E-2</v>
      </c>
      <c r="O722" s="21">
        <f>K722*(M722/L722)*(10/9)*35/26</f>
        <v>7.5464387464387448</v>
      </c>
      <c r="P722" s="21">
        <f t="shared" si="398"/>
        <v>5.9214109347442667</v>
      </c>
      <c r="Q722" s="23">
        <f t="shared" si="393"/>
        <v>7.5464387464387448</v>
      </c>
      <c r="R722" s="23" t="str">
        <f t="shared" si="394"/>
        <v/>
      </c>
      <c r="T722" t="str">
        <f t="shared" si="395"/>
        <v/>
      </c>
    </row>
    <row r="723" spans="1:20" x14ac:dyDescent="0.2">
      <c r="A723">
        <v>734</v>
      </c>
      <c r="B723" t="s">
        <v>246</v>
      </c>
      <c r="C723" t="s">
        <v>246</v>
      </c>
      <c r="D723" t="s">
        <v>16</v>
      </c>
      <c r="E723" t="s">
        <v>9</v>
      </c>
      <c r="G723" t="s">
        <v>11</v>
      </c>
      <c r="H723">
        <v>36</v>
      </c>
      <c r="I723">
        <v>33</v>
      </c>
      <c r="J723">
        <v>17.25</v>
      </c>
      <c r="K723">
        <v>10.7</v>
      </c>
      <c r="L723">
        <v>1.05</v>
      </c>
      <c r="M723">
        <v>0.68799999999999994</v>
      </c>
      <c r="N723">
        <f t="shared" ref="N723" si="411">N722</f>
        <v>8.7999999999999995E-2</v>
      </c>
      <c r="O723" s="21">
        <f t="shared" si="397"/>
        <v>7.7900529100529097</v>
      </c>
      <c r="P723" s="21">
        <f t="shared" si="398"/>
        <v>8.3724867724867718</v>
      </c>
      <c r="Q723" s="23">
        <f t="shared" si="393"/>
        <v>7.7900529100529097</v>
      </c>
      <c r="R723" s="23" t="str">
        <f t="shared" si="394"/>
        <v/>
      </c>
      <c r="T723" t="str">
        <f t="shared" si="395"/>
        <v/>
      </c>
    </row>
    <row r="724" spans="1:20" x14ac:dyDescent="0.2">
      <c r="A724">
        <v>735</v>
      </c>
      <c r="B724" t="s">
        <v>246</v>
      </c>
      <c r="C724" t="s">
        <v>246</v>
      </c>
      <c r="D724" t="s">
        <v>16</v>
      </c>
      <c r="E724" t="s">
        <v>9</v>
      </c>
      <c r="G724" t="s">
        <v>12</v>
      </c>
      <c r="H724">
        <v>36</v>
      </c>
      <c r="I724">
        <v>36</v>
      </c>
      <c r="J724">
        <v>14</v>
      </c>
      <c r="K724">
        <v>9.75</v>
      </c>
      <c r="L724">
        <v>1.05</v>
      </c>
      <c r="M724">
        <v>0.68799999999999994</v>
      </c>
      <c r="N724">
        <v>0.11899999999999999</v>
      </c>
      <c r="O724" s="21">
        <f t="shared" si="397"/>
        <v>7.0984126984126981</v>
      </c>
      <c r="P724" s="21">
        <f t="shared" si="398"/>
        <v>6.7950617283950603</v>
      </c>
      <c r="Q724" s="23" t="str">
        <f t="shared" si="393"/>
        <v/>
      </c>
      <c r="R724" s="23">
        <f t="shared" si="394"/>
        <v>7.0984126984126981</v>
      </c>
      <c r="T724" t="str">
        <f t="shared" si="395"/>
        <v/>
      </c>
    </row>
    <row r="725" spans="1:20" x14ac:dyDescent="0.2">
      <c r="A725">
        <v>736</v>
      </c>
      <c r="B725" t="s">
        <v>246</v>
      </c>
      <c r="C725" t="s">
        <v>246</v>
      </c>
      <c r="D725" t="s">
        <v>16</v>
      </c>
      <c r="E725" t="s">
        <v>9</v>
      </c>
      <c r="G725" t="s">
        <v>14</v>
      </c>
      <c r="H725">
        <v>33</v>
      </c>
      <c r="I725">
        <v>34</v>
      </c>
      <c r="J725">
        <v>19.2</v>
      </c>
      <c r="K725">
        <v>11.7</v>
      </c>
      <c r="L725">
        <f t="shared" ref="L725:N725" si="412">L724</f>
        <v>1.05</v>
      </c>
      <c r="M725">
        <f t="shared" si="412"/>
        <v>0.68799999999999994</v>
      </c>
      <c r="N725">
        <f t="shared" si="412"/>
        <v>0.11899999999999999</v>
      </c>
      <c r="O725" s="21">
        <f t="shared" si="397"/>
        <v>8.5180952380952384</v>
      </c>
      <c r="P725" s="21">
        <f t="shared" si="398"/>
        <v>9.3189417989417969</v>
      </c>
      <c r="Q725" s="23" t="str">
        <f t="shared" si="393"/>
        <v/>
      </c>
      <c r="R725" s="23">
        <f t="shared" si="394"/>
        <v>8.5180952380952384</v>
      </c>
      <c r="T725" t="str">
        <f t="shared" si="395"/>
        <v/>
      </c>
    </row>
    <row r="726" spans="1:20" x14ac:dyDescent="0.2">
      <c r="A726">
        <v>737</v>
      </c>
      <c r="B726" t="s">
        <v>381</v>
      </c>
      <c r="C726" t="s">
        <v>381</v>
      </c>
      <c r="D726" t="s">
        <v>16</v>
      </c>
      <c r="E726" t="s">
        <v>9</v>
      </c>
      <c r="G726" t="s">
        <v>10</v>
      </c>
      <c r="H726">
        <v>35</v>
      </c>
      <c r="I726">
        <v>30</v>
      </c>
      <c r="J726">
        <v>11.75</v>
      </c>
      <c r="K726">
        <v>4.2</v>
      </c>
      <c r="L726">
        <v>0.6</v>
      </c>
      <c r="M726">
        <v>0.45100000000000001</v>
      </c>
      <c r="N726">
        <v>0.10100000000000001</v>
      </c>
      <c r="O726" s="21">
        <f t="shared" si="397"/>
        <v>3.5077777777777785</v>
      </c>
      <c r="P726" s="21">
        <f t="shared" si="398"/>
        <v>6.5422839506172856</v>
      </c>
      <c r="Q726" s="23">
        <f t="shared" si="393"/>
        <v>3.5077777777777785</v>
      </c>
      <c r="R726" s="23" t="str">
        <f t="shared" si="394"/>
        <v/>
      </c>
      <c r="T726" t="str">
        <f t="shared" si="395"/>
        <v/>
      </c>
    </row>
    <row r="727" spans="1:20" x14ac:dyDescent="0.2">
      <c r="A727">
        <v>738</v>
      </c>
      <c r="B727" t="s">
        <v>381</v>
      </c>
      <c r="C727" t="s">
        <v>381</v>
      </c>
      <c r="D727" t="s">
        <v>16</v>
      </c>
      <c r="E727" t="s">
        <v>9</v>
      </c>
      <c r="G727" t="s">
        <v>11</v>
      </c>
      <c r="H727">
        <v>32</v>
      </c>
      <c r="I727">
        <v>23</v>
      </c>
      <c r="J727">
        <v>10.95</v>
      </c>
      <c r="K727">
        <v>2.4500000000000002</v>
      </c>
      <c r="L727">
        <f t="shared" ref="L727:N727" si="413">L726</f>
        <v>0.6</v>
      </c>
      <c r="M727">
        <f t="shared" si="413"/>
        <v>0.45100000000000001</v>
      </c>
      <c r="N727">
        <f t="shared" si="413"/>
        <v>0.10100000000000001</v>
      </c>
      <c r="O727" s="21">
        <f t="shared" si="397"/>
        <v>2.046203703703704</v>
      </c>
      <c r="P727" s="21">
        <f t="shared" si="398"/>
        <v>6.0968518518518522</v>
      </c>
      <c r="Q727" s="23">
        <f t="shared" si="393"/>
        <v>2.046203703703704</v>
      </c>
      <c r="R727" s="23" t="str">
        <f t="shared" si="394"/>
        <v/>
      </c>
      <c r="T727" t="str">
        <f t="shared" si="395"/>
        <v/>
      </c>
    </row>
    <row r="728" spans="1:20" x14ac:dyDescent="0.2">
      <c r="A728">
        <v>739</v>
      </c>
      <c r="B728" t="s">
        <v>381</v>
      </c>
      <c r="C728" t="s">
        <v>381</v>
      </c>
      <c r="D728" t="s">
        <v>16</v>
      </c>
      <c r="E728" t="s">
        <v>9</v>
      </c>
      <c r="G728" t="s">
        <v>12</v>
      </c>
      <c r="H728">
        <v>20</v>
      </c>
      <c r="I728">
        <v>17</v>
      </c>
      <c r="J728">
        <v>12.95</v>
      </c>
      <c r="K728">
        <v>2.9</v>
      </c>
      <c r="L728">
        <v>0.7</v>
      </c>
      <c r="M728">
        <v>0.36799999999999999</v>
      </c>
      <c r="N728">
        <v>9.9000000000000005E-2</v>
      </c>
      <c r="O728" s="21">
        <f t="shared" si="397"/>
        <v>1.6939682539682539</v>
      </c>
      <c r="P728" s="21">
        <f t="shared" si="398"/>
        <v>5.0429629629629646</v>
      </c>
      <c r="Q728" s="23" t="str">
        <f t="shared" si="393"/>
        <v/>
      </c>
      <c r="R728" s="23">
        <f t="shared" si="394"/>
        <v>1.6939682539682539</v>
      </c>
      <c r="T728" t="str">
        <f t="shared" si="395"/>
        <v/>
      </c>
    </row>
    <row r="729" spans="1:20" x14ac:dyDescent="0.2">
      <c r="A729">
        <v>740</v>
      </c>
      <c r="B729" t="s">
        <v>381</v>
      </c>
      <c r="C729" t="s">
        <v>381</v>
      </c>
      <c r="D729" t="s">
        <v>16</v>
      </c>
      <c r="E729" t="s">
        <v>9</v>
      </c>
      <c r="G729" t="s">
        <v>14</v>
      </c>
      <c r="H729">
        <v>25</v>
      </c>
      <c r="I729">
        <v>20</v>
      </c>
      <c r="J729">
        <v>9.5500000000000007</v>
      </c>
      <c r="K729">
        <v>2.5499999999999998</v>
      </c>
      <c r="L729">
        <f t="shared" ref="L729:N729" si="414">L728</f>
        <v>0.7</v>
      </c>
      <c r="M729">
        <f t="shared" si="414"/>
        <v>0.36799999999999999</v>
      </c>
      <c r="N729">
        <f t="shared" si="414"/>
        <v>9.9000000000000005E-2</v>
      </c>
      <c r="O729" s="21">
        <f t="shared" si="397"/>
        <v>1.4895238095238095</v>
      </c>
      <c r="P729" s="21">
        <f t="shared" si="398"/>
        <v>3.7189417989418003</v>
      </c>
      <c r="Q729" s="23" t="str">
        <f t="shared" si="393"/>
        <v/>
      </c>
      <c r="R729" s="23">
        <f t="shared" si="394"/>
        <v>1.4895238095238095</v>
      </c>
      <c r="T729" t="str">
        <f t="shared" si="395"/>
        <v/>
      </c>
    </row>
    <row r="730" spans="1:20" x14ac:dyDescent="0.2">
      <c r="A730">
        <v>741</v>
      </c>
      <c r="B730" t="s">
        <v>247</v>
      </c>
      <c r="C730" t="s">
        <v>247</v>
      </c>
      <c r="D730" t="s">
        <v>16</v>
      </c>
      <c r="E730" t="s">
        <v>9</v>
      </c>
      <c r="G730" t="s">
        <v>10</v>
      </c>
      <c r="H730">
        <v>36</v>
      </c>
      <c r="I730">
        <v>34</v>
      </c>
      <c r="J730">
        <v>15</v>
      </c>
      <c r="K730">
        <v>7</v>
      </c>
      <c r="L730">
        <v>1.2</v>
      </c>
      <c r="M730">
        <v>0.61599999999999999</v>
      </c>
      <c r="N730">
        <v>9.6000000000000002E-2</v>
      </c>
      <c r="O730" s="21">
        <f t="shared" si="397"/>
        <v>3.9925925925925929</v>
      </c>
      <c r="P730" s="21">
        <f t="shared" si="398"/>
        <v>5.7037037037037042</v>
      </c>
      <c r="Q730" s="23">
        <f t="shared" si="393"/>
        <v>3.9925925925925929</v>
      </c>
      <c r="R730" s="23" t="str">
        <f t="shared" si="394"/>
        <v/>
      </c>
      <c r="T730" t="str">
        <f t="shared" si="395"/>
        <v/>
      </c>
    </row>
    <row r="731" spans="1:20" x14ac:dyDescent="0.2">
      <c r="A731">
        <v>742</v>
      </c>
      <c r="B731" t="s">
        <v>247</v>
      </c>
      <c r="C731" t="s">
        <v>247</v>
      </c>
      <c r="D731" t="s">
        <v>16</v>
      </c>
      <c r="E731" t="s">
        <v>9</v>
      </c>
      <c r="G731" t="s">
        <v>11</v>
      </c>
      <c r="H731">
        <v>37</v>
      </c>
      <c r="I731">
        <v>29</v>
      </c>
      <c r="J731">
        <v>14.35</v>
      </c>
      <c r="K731">
        <v>7</v>
      </c>
      <c r="L731">
        <f t="shared" ref="L731:N731" si="415">L730</f>
        <v>1.2</v>
      </c>
      <c r="M731">
        <f t="shared" si="415"/>
        <v>0.61599999999999999</v>
      </c>
      <c r="N731">
        <f t="shared" si="415"/>
        <v>9.6000000000000002E-2</v>
      </c>
      <c r="O731" s="21">
        <f t="shared" si="397"/>
        <v>3.9925925925925929</v>
      </c>
      <c r="P731" s="21">
        <f t="shared" si="398"/>
        <v>5.4565432098765445</v>
      </c>
      <c r="Q731" s="23">
        <f t="shared" si="393"/>
        <v>3.9925925925925929</v>
      </c>
      <c r="R731" s="23" t="str">
        <f t="shared" si="394"/>
        <v/>
      </c>
      <c r="T731" t="str">
        <f t="shared" si="395"/>
        <v/>
      </c>
    </row>
    <row r="732" spans="1:20" x14ac:dyDescent="0.2">
      <c r="A732">
        <v>743</v>
      </c>
      <c r="B732" t="s">
        <v>247</v>
      </c>
      <c r="C732" t="s">
        <v>247</v>
      </c>
      <c r="D732" t="s">
        <v>16</v>
      </c>
      <c r="E732" t="s">
        <v>9</v>
      </c>
      <c r="G732" t="s">
        <v>12</v>
      </c>
      <c r="H732">
        <v>30</v>
      </c>
      <c r="I732">
        <v>31</v>
      </c>
      <c r="J732">
        <v>10.55</v>
      </c>
      <c r="K732">
        <v>8.25</v>
      </c>
      <c r="L732">
        <v>1.2</v>
      </c>
      <c r="M732">
        <v>0.71499999999999997</v>
      </c>
      <c r="N732">
        <v>9.7000000000000003E-2</v>
      </c>
      <c r="O732" s="21">
        <f t="shared" si="397"/>
        <v>5.4618055555555562</v>
      </c>
      <c r="P732" s="21">
        <f t="shared" si="398"/>
        <v>4.6563271604938281</v>
      </c>
      <c r="Q732" s="23" t="str">
        <f t="shared" si="393"/>
        <v/>
      </c>
      <c r="R732" s="23">
        <f t="shared" si="394"/>
        <v>5.4618055555555562</v>
      </c>
      <c r="T732" t="str">
        <f t="shared" si="395"/>
        <v/>
      </c>
    </row>
    <row r="733" spans="1:20" x14ac:dyDescent="0.2">
      <c r="A733">
        <v>744</v>
      </c>
      <c r="B733" t="s">
        <v>247</v>
      </c>
      <c r="C733" t="s">
        <v>247</v>
      </c>
      <c r="D733" t="s">
        <v>16</v>
      </c>
      <c r="E733" t="s">
        <v>9</v>
      </c>
      <c r="G733" t="s">
        <v>14</v>
      </c>
      <c r="H733">
        <v>28</v>
      </c>
      <c r="I733">
        <v>27</v>
      </c>
      <c r="J733">
        <v>10.4</v>
      </c>
      <c r="K733">
        <v>5.05</v>
      </c>
      <c r="L733">
        <f t="shared" ref="L733:N733" si="416">L732</f>
        <v>1.2</v>
      </c>
      <c r="M733">
        <f t="shared" si="416"/>
        <v>0.71499999999999997</v>
      </c>
      <c r="N733">
        <f t="shared" si="416"/>
        <v>9.7000000000000003E-2</v>
      </c>
      <c r="O733" s="21">
        <f t="shared" si="397"/>
        <v>3.3432870370370371</v>
      </c>
      <c r="P733" s="21">
        <f t="shared" si="398"/>
        <v>4.5901234567901241</v>
      </c>
      <c r="Q733" s="23" t="str">
        <f t="shared" si="393"/>
        <v/>
      </c>
      <c r="R733" s="23">
        <f t="shared" si="394"/>
        <v>3.3432870370370371</v>
      </c>
      <c r="T733" t="str">
        <f t="shared" si="395"/>
        <v/>
      </c>
    </row>
    <row r="734" spans="1:20" x14ac:dyDescent="0.2">
      <c r="A734">
        <v>745</v>
      </c>
      <c r="B734" t="s">
        <v>248</v>
      </c>
      <c r="C734" s="28" t="s">
        <v>427</v>
      </c>
      <c r="D734" t="s">
        <v>16</v>
      </c>
      <c r="E734" t="s">
        <v>9</v>
      </c>
      <c r="G734" t="s">
        <v>10</v>
      </c>
      <c r="H734">
        <v>26</v>
      </c>
      <c r="I734">
        <v>27</v>
      </c>
      <c r="J734">
        <v>7.2</v>
      </c>
      <c r="K734">
        <v>4.4000000000000004</v>
      </c>
      <c r="L734">
        <v>1</v>
      </c>
      <c r="M734">
        <v>0.56899999999999995</v>
      </c>
      <c r="N734">
        <v>8.5000000000000006E-2</v>
      </c>
      <c r="O734" s="21">
        <f t="shared" si="397"/>
        <v>2.7817777777777781</v>
      </c>
      <c r="P734" s="21">
        <f t="shared" si="398"/>
        <v>3.0346666666666668</v>
      </c>
      <c r="Q734" s="23">
        <f t="shared" si="393"/>
        <v>2.7817777777777781</v>
      </c>
      <c r="R734" s="23" t="str">
        <f t="shared" si="394"/>
        <v/>
      </c>
      <c r="T734" t="str">
        <f t="shared" si="395"/>
        <v/>
      </c>
    </row>
    <row r="735" spans="1:20" x14ac:dyDescent="0.2">
      <c r="A735">
        <v>746</v>
      </c>
      <c r="B735" t="s">
        <v>248</v>
      </c>
      <c r="C735" s="28" t="s">
        <v>427</v>
      </c>
      <c r="D735" t="s">
        <v>16</v>
      </c>
      <c r="E735" t="s">
        <v>9</v>
      </c>
      <c r="G735" t="s">
        <v>11</v>
      </c>
      <c r="H735">
        <v>35</v>
      </c>
      <c r="I735">
        <v>44</v>
      </c>
      <c r="J735">
        <v>15.4</v>
      </c>
      <c r="K735">
        <v>7.8</v>
      </c>
      <c r="L735">
        <f t="shared" ref="L735:N735" si="417">L734</f>
        <v>1</v>
      </c>
      <c r="M735">
        <f t="shared" si="417"/>
        <v>0.56899999999999995</v>
      </c>
      <c r="N735">
        <f t="shared" si="417"/>
        <v>8.5000000000000006E-2</v>
      </c>
      <c r="O735" s="21">
        <f t="shared" si="397"/>
        <v>4.9313333333333329</v>
      </c>
      <c r="P735" s="21">
        <f t="shared" si="398"/>
        <v>6.490814814814815</v>
      </c>
      <c r="Q735" s="23">
        <f t="shared" si="393"/>
        <v>4.9313333333333329</v>
      </c>
      <c r="R735" s="23" t="str">
        <f t="shared" si="394"/>
        <v/>
      </c>
      <c r="T735" t="str">
        <f t="shared" si="395"/>
        <v/>
      </c>
    </row>
    <row r="736" spans="1:20" x14ac:dyDescent="0.2">
      <c r="A736">
        <v>747</v>
      </c>
      <c r="B736" t="s">
        <v>248</v>
      </c>
      <c r="C736" s="28" t="s">
        <v>427</v>
      </c>
      <c r="D736" t="s">
        <v>16</v>
      </c>
      <c r="E736" t="s">
        <v>9</v>
      </c>
      <c r="G736" t="s">
        <v>12</v>
      </c>
      <c r="H736">
        <v>18</v>
      </c>
      <c r="I736">
        <v>20</v>
      </c>
      <c r="J736">
        <v>11.6</v>
      </c>
      <c r="K736">
        <v>5.45</v>
      </c>
      <c r="L736">
        <v>1</v>
      </c>
      <c r="M736">
        <v>0.501</v>
      </c>
      <c r="N736">
        <v>0.10199999999999999</v>
      </c>
      <c r="O736" s="21">
        <f t="shared" si="397"/>
        <v>3.0338333333333338</v>
      </c>
      <c r="P736" s="21">
        <f t="shared" si="398"/>
        <v>4.3048888888888888</v>
      </c>
      <c r="Q736" s="23" t="str">
        <f t="shared" si="393"/>
        <v/>
      </c>
      <c r="R736" s="23">
        <f t="shared" si="394"/>
        <v>3.0338333333333338</v>
      </c>
      <c r="T736" t="str">
        <f t="shared" si="395"/>
        <v/>
      </c>
    </row>
    <row r="737" spans="1:20" x14ac:dyDescent="0.2">
      <c r="A737">
        <v>748</v>
      </c>
      <c r="B737" t="s">
        <v>248</v>
      </c>
      <c r="C737" s="28" t="s">
        <v>427</v>
      </c>
      <c r="D737" t="s">
        <v>16</v>
      </c>
      <c r="E737" t="s">
        <v>9</v>
      </c>
      <c r="G737" t="s">
        <v>14</v>
      </c>
      <c r="H737">
        <v>18</v>
      </c>
      <c r="I737">
        <v>20</v>
      </c>
      <c r="J737">
        <v>11.6</v>
      </c>
      <c r="K737">
        <v>5.45</v>
      </c>
      <c r="L737">
        <f t="shared" ref="L737:N737" si="418">L736</f>
        <v>1</v>
      </c>
      <c r="M737">
        <f t="shared" si="418"/>
        <v>0.501</v>
      </c>
      <c r="N737">
        <f t="shared" si="418"/>
        <v>0.10199999999999999</v>
      </c>
      <c r="O737" s="21">
        <f t="shared" si="397"/>
        <v>3.0338333333333338</v>
      </c>
      <c r="P737" s="21">
        <f t="shared" si="398"/>
        <v>4.3048888888888888</v>
      </c>
      <c r="Q737" s="23" t="str">
        <f t="shared" si="393"/>
        <v/>
      </c>
      <c r="R737" s="23">
        <f t="shared" si="394"/>
        <v>3.0338333333333338</v>
      </c>
      <c r="T737" t="str">
        <f t="shared" si="395"/>
        <v/>
      </c>
    </row>
    <row r="738" spans="1:20" x14ac:dyDescent="0.2">
      <c r="A738">
        <v>749</v>
      </c>
      <c r="B738" t="s">
        <v>249</v>
      </c>
      <c r="C738" t="s">
        <v>382</v>
      </c>
      <c r="D738" t="s">
        <v>16</v>
      </c>
      <c r="E738" t="s">
        <v>9</v>
      </c>
      <c r="G738" t="s">
        <v>10</v>
      </c>
      <c r="H738">
        <v>18</v>
      </c>
      <c r="I738">
        <v>18</v>
      </c>
      <c r="J738">
        <v>6.45</v>
      </c>
      <c r="K738">
        <v>3.35</v>
      </c>
      <c r="L738">
        <v>0.95</v>
      </c>
      <c r="M738">
        <v>0.52300000000000002</v>
      </c>
      <c r="N738">
        <v>0.129</v>
      </c>
      <c r="O738" s="21"/>
      <c r="P738" s="21">
        <f t="shared" si="398"/>
        <v>2.6302923976608192</v>
      </c>
      <c r="Q738" s="23"/>
      <c r="R738" s="23" t="str">
        <f t="shared" si="394"/>
        <v/>
      </c>
      <c r="T738" t="str">
        <f t="shared" si="395"/>
        <v/>
      </c>
    </row>
    <row r="739" spans="1:20" x14ac:dyDescent="0.2">
      <c r="A739">
        <v>750</v>
      </c>
      <c r="B739" t="s">
        <v>249</v>
      </c>
      <c r="C739" t="s">
        <v>382</v>
      </c>
      <c r="D739" t="s">
        <v>16</v>
      </c>
      <c r="E739" t="s">
        <v>9</v>
      </c>
      <c r="G739" t="s">
        <v>11</v>
      </c>
      <c r="H739">
        <v>29</v>
      </c>
      <c r="I739">
        <v>31</v>
      </c>
      <c r="J739">
        <v>8.5500000000000007</v>
      </c>
      <c r="K739">
        <v>4.9000000000000004</v>
      </c>
      <c r="L739">
        <f t="shared" ref="L739:N739" si="419">L738</f>
        <v>0.95</v>
      </c>
      <c r="M739">
        <f t="shared" si="419"/>
        <v>0.52300000000000002</v>
      </c>
      <c r="N739">
        <f t="shared" si="419"/>
        <v>0.129</v>
      </c>
      <c r="O739" s="21">
        <f>K739*(M739/L739)*(10/9)</f>
        <v>2.9973099415204687</v>
      </c>
      <c r="P739" s="21">
        <f t="shared" si="398"/>
        <v>3.4866666666666677</v>
      </c>
      <c r="Q739" s="23">
        <f t="shared" si="393"/>
        <v>2.9973099415204687</v>
      </c>
      <c r="R739" s="23" t="str">
        <f t="shared" si="394"/>
        <v/>
      </c>
      <c r="T739" t="str">
        <f t="shared" si="395"/>
        <v/>
      </c>
    </row>
    <row r="740" spans="1:20" x14ac:dyDescent="0.2">
      <c r="A740">
        <v>751</v>
      </c>
      <c r="B740" t="s">
        <v>249</v>
      </c>
      <c r="C740" t="s">
        <v>382</v>
      </c>
      <c r="D740" t="s">
        <v>16</v>
      </c>
      <c r="E740" t="s">
        <v>9</v>
      </c>
      <c r="G740" t="s">
        <v>12</v>
      </c>
      <c r="H740">
        <v>30</v>
      </c>
      <c r="I740">
        <v>26</v>
      </c>
      <c r="J740">
        <v>10.1</v>
      </c>
      <c r="K740">
        <v>3.4</v>
      </c>
      <c r="L740">
        <v>0.95</v>
      </c>
      <c r="M740">
        <v>0.54500000000000004</v>
      </c>
      <c r="N740">
        <v>0.122</v>
      </c>
      <c r="O740" s="21">
        <f t="shared" ref="O740:O741" si="420">K740*(M740/L740)*(10/9)</f>
        <v>2.1672514619883048</v>
      </c>
      <c r="P740" s="21">
        <f t="shared" si="398"/>
        <v>4.2920077972709558</v>
      </c>
      <c r="Q740" s="23" t="str">
        <f t="shared" si="393"/>
        <v/>
      </c>
      <c r="R740" s="23">
        <f t="shared" si="394"/>
        <v>2.1672514619883048</v>
      </c>
      <c r="T740" t="str">
        <f t="shared" si="395"/>
        <v/>
      </c>
    </row>
    <row r="741" spans="1:20" x14ac:dyDescent="0.2">
      <c r="A741">
        <v>752</v>
      </c>
      <c r="B741" t="s">
        <v>249</v>
      </c>
      <c r="C741" t="s">
        <v>382</v>
      </c>
      <c r="D741" t="s">
        <v>16</v>
      </c>
      <c r="E741" t="s">
        <v>9</v>
      </c>
      <c r="G741" t="s">
        <v>14</v>
      </c>
      <c r="H741">
        <v>32</v>
      </c>
      <c r="I741">
        <v>30</v>
      </c>
      <c r="J741">
        <v>11.6</v>
      </c>
      <c r="K741">
        <v>3.95</v>
      </c>
      <c r="L741">
        <f t="shared" ref="L741:N741" si="421">L740</f>
        <v>0.95</v>
      </c>
      <c r="M741">
        <f t="shared" si="421"/>
        <v>0.54500000000000004</v>
      </c>
      <c r="N741">
        <f t="shared" si="421"/>
        <v>0.122</v>
      </c>
      <c r="O741" s="21">
        <f t="shared" si="420"/>
        <v>2.5178362573099422</v>
      </c>
      <c r="P741" s="21">
        <f t="shared" si="398"/>
        <v>4.9294346978557515</v>
      </c>
      <c r="Q741" s="23" t="str">
        <f t="shared" si="393"/>
        <v/>
      </c>
      <c r="R741" s="23">
        <f t="shared" si="394"/>
        <v>2.5178362573099422</v>
      </c>
      <c r="T741" t="str">
        <f t="shared" si="395"/>
        <v/>
      </c>
    </row>
    <row r="742" spans="1:20" x14ac:dyDescent="0.2">
      <c r="A742">
        <v>753</v>
      </c>
      <c r="B742" t="s">
        <v>250</v>
      </c>
      <c r="C742" s="12" t="s">
        <v>433</v>
      </c>
      <c r="D742" t="s">
        <v>16</v>
      </c>
      <c r="E742" t="s">
        <v>9</v>
      </c>
      <c r="G742" t="s">
        <v>10</v>
      </c>
      <c r="H742">
        <v>26</v>
      </c>
      <c r="I742">
        <v>26</v>
      </c>
      <c r="J742">
        <v>9.85</v>
      </c>
      <c r="K742">
        <v>6.05</v>
      </c>
      <c r="L742">
        <v>0.78</v>
      </c>
      <c r="M742">
        <v>0.72099999999999997</v>
      </c>
      <c r="N742">
        <v>0.14000000000000001</v>
      </c>
      <c r="O742" s="21">
        <f t="shared" ref="O742" si="422">K742*(0.55/0.964)*(10/9)</f>
        <v>3.8352927616413104</v>
      </c>
      <c r="P742" s="21">
        <f t="shared" ref="P742" si="423">J742*(0.55/(0.964*1.5))*(10/9)</f>
        <v>4.1628246503765176</v>
      </c>
      <c r="Q742" s="23">
        <f t="shared" si="393"/>
        <v>3.8352927616413104</v>
      </c>
      <c r="R742" s="23" t="str">
        <f t="shared" si="394"/>
        <v/>
      </c>
      <c r="T742" t="str">
        <f t="shared" si="395"/>
        <v/>
      </c>
    </row>
    <row r="743" spans="1:20" x14ac:dyDescent="0.2">
      <c r="A743">
        <v>754</v>
      </c>
      <c r="B743" t="s">
        <v>250</v>
      </c>
      <c r="C743" s="12" t="s">
        <v>433</v>
      </c>
      <c r="D743" t="s">
        <v>16</v>
      </c>
      <c r="E743" t="s">
        <v>9</v>
      </c>
      <c r="G743" t="s">
        <v>11</v>
      </c>
      <c r="H743">
        <v>35</v>
      </c>
      <c r="I743">
        <v>33</v>
      </c>
      <c r="J743">
        <v>9.19</v>
      </c>
      <c r="K743">
        <v>6.5</v>
      </c>
      <c r="L743">
        <f t="shared" ref="L743:N743" si="424">L742</f>
        <v>0.78</v>
      </c>
      <c r="M743">
        <f t="shared" si="424"/>
        <v>0.72099999999999997</v>
      </c>
      <c r="N743">
        <f t="shared" si="424"/>
        <v>0.14000000000000001</v>
      </c>
      <c r="O743" s="21">
        <f t="shared" ref="O743:O745" si="425">K743*(0.55/0.964)*(10/9)</f>
        <v>4.1205624711848783</v>
      </c>
      <c r="P743" s="21">
        <f t="shared" ref="P743:P745" si="426">J743*(0.55/(0.964*1.5))*(10/9)</f>
        <v>3.8838942677116952</v>
      </c>
      <c r="Q743" s="23">
        <f t="shared" si="393"/>
        <v>4.1205624711848783</v>
      </c>
      <c r="R743" s="23" t="str">
        <f t="shared" si="394"/>
        <v/>
      </c>
      <c r="T743" t="str">
        <f t="shared" si="395"/>
        <v/>
      </c>
    </row>
    <row r="744" spans="1:20" x14ac:dyDescent="0.2">
      <c r="A744">
        <v>755</v>
      </c>
      <c r="B744" t="s">
        <v>250</v>
      </c>
      <c r="C744" s="12" t="s">
        <v>433</v>
      </c>
      <c r="D744" t="s">
        <v>16</v>
      </c>
      <c r="E744" t="s">
        <v>9</v>
      </c>
      <c r="G744" t="s">
        <v>12</v>
      </c>
      <c r="H744">
        <v>40</v>
      </c>
      <c r="I744">
        <v>33</v>
      </c>
      <c r="J744">
        <v>6.52</v>
      </c>
      <c r="K744">
        <v>6.87</v>
      </c>
      <c r="L744">
        <v>0.54</v>
      </c>
      <c r="M744">
        <v>0.66800000000000004</v>
      </c>
      <c r="N744">
        <v>0.108</v>
      </c>
      <c r="O744" s="21">
        <f t="shared" si="425"/>
        <v>4.35511756569848</v>
      </c>
      <c r="P744" s="21">
        <f t="shared" si="426"/>
        <v>2.7554940832949133</v>
      </c>
      <c r="Q744" s="23" t="str">
        <f t="shared" si="393"/>
        <v/>
      </c>
      <c r="R744" s="23">
        <f t="shared" si="394"/>
        <v>4.35511756569848</v>
      </c>
      <c r="T744" t="str">
        <f t="shared" si="395"/>
        <v/>
      </c>
    </row>
    <row r="745" spans="1:20" x14ac:dyDescent="0.2">
      <c r="A745">
        <v>756</v>
      </c>
      <c r="B745" t="s">
        <v>250</v>
      </c>
      <c r="C745" s="12" t="s">
        <v>433</v>
      </c>
      <c r="D745" t="s">
        <v>16</v>
      </c>
      <c r="E745" t="s">
        <v>9</v>
      </c>
      <c r="G745" t="s">
        <v>14</v>
      </c>
      <c r="H745">
        <v>40</v>
      </c>
      <c r="I745">
        <v>32</v>
      </c>
      <c r="J745">
        <v>7.33</v>
      </c>
      <c r="K745">
        <v>9.3000000000000007</v>
      </c>
      <c r="L745">
        <f t="shared" ref="L745:N745" si="427">L744</f>
        <v>0.54</v>
      </c>
      <c r="M745">
        <f t="shared" si="427"/>
        <v>0.66800000000000004</v>
      </c>
      <c r="N745">
        <f t="shared" si="427"/>
        <v>0.108</v>
      </c>
      <c r="O745" s="21">
        <f t="shared" si="425"/>
        <v>5.8955739972337504</v>
      </c>
      <c r="P745" s="21">
        <f t="shared" si="426"/>
        <v>3.097817734747196</v>
      </c>
      <c r="Q745" s="23" t="str">
        <f t="shared" si="393"/>
        <v/>
      </c>
      <c r="R745" s="23">
        <f t="shared" si="394"/>
        <v>5.8955739972337504</v>
      </c>
      <c r="T745" t="str">
        <f t="shared" si="395"/>
        <v/>
      </c>
    </row>
    <row r="746" spans="1:20" x14ac:dyDescent="0.2">
      <c r="A746">
        <v>757</v>
      </c>
      <c r="B746" t="s">
        <v>251</v>
      </c>
      <c r="C746" t="s">
        <v>383</v>
      </c>
      <c r="D746" t="s">
        <v>16</v>
      </c>
      <c r="E746" t="s">
        <v>9</v>
      </c>
      <c r="G746" t="s">
        <v>10</v>
      </c>
      <c r="H746">
        <v>32</v>
      </c>
      <c r="I746">
        <v>41</v>
      </c>
      <c r="J746">
        <v>9.6</v>
      </c>
      <c r="K746">
        <v>4.8099999999999996</v>
      </c>
      <c r="L746">
        <v>0.34</v>
      </c>
      <c r="M746">
        <v>0.55200000000000005</v>
      </c>
      <c r="N746">
        <v>9.8000000000000004E-2</v>
      </c>
      <c r="O746" s="21">
        <f t="shared" si="397"/>
        <v>8.67686274509804</v>
      </c>
      <c r="P746" s="21">
        <f t="shared" si="398"/>
        <v>11.54509803921569</v>
      </c>
      <c r="Q746" s="23">
        <f t="shared" si="393"/>
        <v>8.67686274509804</v>
      </c>
      <c r="R746" s="23" t="str">
        <f t="shared" si="394"/>
        <v/>
      </c>
      <c r="T746" t="str">
        <f t="shared" si="395"/>
        <v/>
      </c>
    </row>
    <row r="747" spans="1:20" x14ac:dyDescent="0.2">
      <c r="A747">
        <v>758</v>
      </c>
      <c r="B747" t="s">
        <v>251</v>
      </c>
      <c r="C747" t="s">
        <v>383</v>
      </c>
      <c r="D747" t="s">
        <v>16</v>
      </c>
      <c r="E747" t="s">
        <v>9</v>
      </c>
      <c r="G747" t="s">
        <v>11</v>
      </c>
      <c r="H747">
        <v>39</v>
      </c>
      <c r="I747">
        <v>37</v>
      </c>
      <c r="J747">
        <v>7.82</v>
      </c>
      <c r="K747">
        <v>4.47</v>
      </c>
      <c r="L747">
        <f t="shared" ref="L747:N747" si="428">L746</f>
        <v>0.34</v>
      </c>
      <c r="M747">
        <f t="shared" si="428"/>
        <v>0.55200000000000005</v>
      </c>
      <c r="N747">
        <f t="shared" si="428"/>
        <v>9.8000000000000004E-2</v>
      </c>
      <c r="O747" s="21">
        <f t="shared" si="397"/>
        <v>8.0635294117647067</v>
      </c>
      <c r="P747" s="21">
        <f t="shared" si="398"/>
        <v>9.4044444444444473</v>
      </c>
      <c r="Q747" s="23">
        <f t="shared" si="393"/>
        <v>8.0635294117647067</v>
      </c>
      <c r="R747" s="23" t="str">
        <f t="shared" si="394"/>
        <v/>
      </c>
      <c r="T747" t="str">
        <f t="shared" si="395"/>
        <v/>
      </c>
    </row>
    <row r="748" spans="1:20" x14ac:dyDescent="0.2">
      <c r="A748">
        <v>759</v>
      </c>
      <c r="B748" t="s">
        <v>251</v>
      </c>
      <c r="C748" t="s">
        <v>383</v>
      </c>
      <c r="D748" t="s">
        <v>16</v>
      </c>
      <c r="E748" t="s">
        <v>9</v>
      </c>
      <c r="G748" t="s">
        <v>12</v>
      </c>
      <c r="H748">
        <v>22</v>
      </c>
      <c r="I748">
        <v>19</v>
      </c>
      <c r="J748">
        <v>7.39</v>
      </c>
      <c r="K748">
        <v>2.5499999999999998</v>
      </c>
      <c r="L748">
        <v>0.62</v>
      </c>
      <c r="M748">
        <v>0.46500000000000002</v>
      </c>
      <c r="N748">
        <v>0.10299999999999999</v>
      </c>
      <c r="O748" s="21">
        <f t="shared" si="397"/>
        <v>2.125</v>
      </c>
      <c r="P748" s="21">
        <f t="shared" si="398"/>
        <v>4.105555555555557</v>
      </c>
      <c r="Q748" s="23" t="str">
        <f t="shared" si="393"/>
        <v/>
      </c>
      <c r="R748" s="23">
        <f t="shared" si="394"/>
        <v>2.125</v>
      </c>
      <c r="T748" t="str">
        <f t="shared" si="395"/>
        <v/>
      </c>
    </row>
    <row r="749" spans="1:20" x14ac:dyDescent="0.2">
      <c r="A749">
        <v>760</v>
      </c>
      <c r="B749" t="s">
        <v>251</v>
      </c>
      <c r="C749" t="s">
        <v>383</v>
      </c>
      <c r="D749" t="s">
        <v>16</v>
      </c>
      <c r="E749" t="s">
        <v>9</v>
      </c>
      <c r="G749" t="s">
        <v>14</v>
      </c>
      <c r="H749">
        <v>25</v>
      </c>
      <c r="I749">
        <v>26</v>
      </c>
      <c r="J749">
        <v>4.57</v>
      </c>
      <c r="K749">
        <v>6.17</v>
      </c>
      <c r="L749">
        <f t="shared" ref="L749:N749" si="429">L748</f>
        <v>0.62</v>
      </c>
      <c r="M749">
        <f t="shared" si="429"/>
        <v>0.46500000000000002</v>
      </c>
      <c r="N749">
        <f t="shared" si="429"/>
        <v>0.10299999999999999</v>
      </c>
      <c r="O749" s="21">
        <f t="shared" si="397"/>
        <v>5.1416666666666666</v>
      </c>
      <c r="P749" s="21">
        <f t="shared" si="398"/>
        <v>2.5388888888888896</v>
      </c>
      <c r="Q749" s="23" t="str">
        <f t="shared" si="393"/>
        <v/>
      </c>
      <c r="R749" s="23">
        <f t="shared" si="394"/>
        <v>5.1416666666666666</v>
      </c>
      <c r="T749" t="str">
        <f t="shared" si="395"/>
        <v/>
      </c>
    </row>
    <row r="750" spans="1:20" x14ac:dyDescent="0.2">
      <c r="A750">
        <v>761</v>
      </c>
      <c r="B750" t="s">
        <v>252</v>
      </c>
      <c r="C750" t="s">
        <v>252</v>
      </c>
      <c r="D750" t="s">
        <v>16</v>
      </c>
      <c r="E750" t="s">
        <v>9</v>
      </c>
      <c r="G750" t="s">
        <v>10</v>
      </c>
      <c r="H750">
        <v>27</v>
      </c>
      <c r="I750">
        <v>29</v>
      </c>
      <c r="J750">
        <v>13.05</v>
      </c>
      <c r="K750">
        <v>4.5999999999999996</v>
      </c>
      <c r="L750">
        <v>0.95</v>
      </c>
      <c r="M750">
        <v>0.49199999999999999</v>
      </c>
      <c r="N750">
        <v>0.14599999999999999</v>
      </c>
      <c r="O750" s="21">
        <f t="shared" si="397"/>
        <v>2.6470175438596493</v>
      </c>
      <c r="P750" s="21">
        <f t="shared" si="398"/>
        <v>5.0063157894736854</v>
      </c>
      <c r="Q750" s="23">
        <f t="shared" si="393"/>
        <v>2.6470175438596493</v>
      </c>
      <c r="R750" s="23" t="str">
        <f t="shared" si="394"/>
        <v/>
      </c>
      <c r="T750" t="str">
        <f t="shared" si="395"/>
        <v/>
      </c>
    </row>
    <row r="751" spans="1:20" x14ac:dyDescent="0.2">
      <c r="A751">
        <v>762</v>
      </c>
      <c r="B751" t="s">
        <v>252</v>
      </c>
      <c r="C751" t="s">
        <v>252</v>
      </c>
      <c r="D751" t="s">
        <v>16</v>
      </c>
      <c r="E751" t="s">
        <v>9</v>
      </c>
      <c r="G751" t="s">
        <v>11</v>
      </c>
      <c r="H751">
        <v>41</v>
      </c>
      <c r="I751">
        <v>43</v>
      </c>
      <c r="J751">
        <v>17.149999999999999</v>
      </c>
      <c r="K751">
        <v>5.65</v>
      </c>
      <c r="L751">
        <f t="shared" ref="L751:N751" si="430">L750</f>
        <v>0.95</v>
      </c>
      <c r="M751">
        <f t="shared" si="430"/>
        <v>0.49199999999999999</v>
      </c>
      <c r="N751">
        <f t="shared" si="430"/>
        <v>0.14599999999999999</v>
      </c>
      <c r="O751" s="21">
        <f t="shared" si="397"/>
        <v>3.2512280701754395</v>
      </c>
      <c r="P751" s="21">
        <f t="shared" si="398"/>
        <v>6.5791812865497077</v>
      </c>
      <c r="Q751" s="23">
        <f t="shared" si="393"/>
        <v>3.2512280701754395</v>
      </c>
      <c r="R751" s="23" t="str">
        <f t="shared" si="394"/>
        <v/>
      </c>
      <c r="T751" t="str">
        <f t="shared" si="395"/>
        <v/>
      </c>
    </row>
    <row r="752" spans="1:20" x14ac:dyDescent="0.2">
      <c r="A752">
        <v>763</v>
      </c>
      <c r="B752" t="s">
        <v>252</v>
      </c>
      <c r="C752" t="s">
        <v>252</v>
      </c>
      <c r="D752" t="s">
        <v>16</v>
      </c>
      <c r="E752" t="s">
        <v>9</v>
      </c>
      <c r="G752" t="s">
        <v>12</v>
      </c>
      <c r="H752">
        <v>25</v>
      </c>
      <c r="I752">
        <v>19</v>
      </c>
      <c r="J752">
        <v>7.4</v>
      </c>
      <c r="K752">
        <v>1.4</v>
      </c>
      <c r="L752">
        <v>0.45</v>
      </c>
      <c r="M752">
        <v>0.247</v>
      </c>
      <c r="N752">
        <v>5.1999999999999998E-2</v>
      </c>
      <c r="O752" s="21">
        <f t="shared" si="397"/>
        <v>0.85382716049382712</v>
      </c>
      <c r="P752" s="21">
        <f t="shared" si="398"/>
        <v>3.0087242798353908</v>
      </c>
      <c r="Q752" s="23" t="str">
        <f t="shared" si="393"/>
        <v/>
      </c>
      <c r="R752" s="23">
        <f t="shared" si="394"/>
        <v>0.85382716049382712</v>
      </c>
      <c r="T752" t="str">
        <f t="shared" si="395"/>
        <v/>
      </c>
    </row>
    <row r="753" spans="1:20" x14ac:dyDescent="0.2">
      <c r="A753">
        <v>764</v>
      </c>
      <c r="B753" t="s">
        <v>252</v>
      </c>
      <c r="C753" t="s">
        <v>252</v>
      </c>
      <c r="D753" t="s">
        <v>16</v>
      </c>
      <c r="E753" t="s">
        <v>9</v>
      </c>
      <c r="G753" t="s">
        <v>14</v>
      </c>
      <c r="H753">
        <v>30</v>
      </c>
      <c r="I753">
        <v>25</v>
      </c>
      <c r="J753">
        <v>10.1</v>
      </c>
      <c r="K753">
        <v>2.65</v>
      </c>
      <c r="L753">
        <f t="shared" ref="L753:N753" si="431">L752</f>
        <v>0.45</v>
      </c>
      <c r="M753">
        <f t="shared" si="431"/>
        <v>0.247</v>
      </c>
      <c r="N753">
        <f t="shared" si="431"/>
        <v>5.1999999999999998E-2</v>
      </c>
      <c r="O753" s="21">
        <f t="shared" si="397"/>
        <v>1.6161728395061727</v>
      </c>
      <c r="P753" s="21">
        <f t="shared" si="398"/>
        <v>4.1065020576131683</v>
      </c>
      <c r="Q753" s="23" t="str">
        <f t="shared" si="393"/>
        <v/>
      </c>
      <c r="R753" s="23">
        <f t="shared" si="394"/>
        <v>1.6161728395061727</v>
      </c>
      <c r="T753" t="str">
        <f t="shared" si="395"/>
        <v/>
      </c>
    </row>
    <row r="754" spans="1:20" x14ac:dyDescent="0.2">
      <c r="A754">
        <v>765</v>
      </c>
      <c r="B754" t="s">
        <v>253</v>
      </c>
      <c r="C754" t="s">
        <v>430</v>
      </c>
      <c r="D754" t="s">
        <v>16</v>
      </c>
      <c r="E754" t="s">
        <v>9</v>
      </c>
      <c r="G754" t="s">
        <v>10</v>
      </c>
      <c r="H754">
        <v>40</v>
      </c>
      <c r="I754">
        <v>41</v>
      </c>
      <c r="J754">
        <v>8.17</v>
      </c>
      <c r="K754">
        <v>4.0999999999999996</v>
      </c>
      <c r="L754">
        <v>0.62</v>
      </c>
      <c r="M754">
        <v>0.39800000000000002</v>
      </c>
      <c r="N754">
        <v>0.111</v>
      </c>
      <c r="O754" s="21">
        <f t="shared" si="397"/>
        <v>2.9243727598566309</v>
      </c>
      <c r="P754" s="21">
        <f t="shared" si="398"/>
        <v>3.8848984468339314</v>
      </c>
      <c r="Q754" s="23">
        <f t="shared" si="393"/>
        <v>2.9243727598566309</v>
      </c>
      <c r="R754" s="23" t="str">
        <f t="shared" si="394"/>
        <v/>
      </c>
      <c r="T754" t="str">
        <f t="shared" si="395"/>
        <v/>
      </c>
    </row>
    <row r="755" spans="1:20" x14ac:dyDescent="0.2">
      <c r="A755">
        <v>766</v>
      </c>
      <c r="B755" t="s">
        <v>253</v>
      </c>
      <c r="C755" t="s">
        <v>430</v>
      </c>
      <c r="D755" t="s">
        <v>16</v>
      </c>
      <c r="E755" t="s">
        <v>9</v>
      </c>
      <c r="G755" t="s">
        <v>11</v>
      </c>
      <c r="H755">
        <v>39</v>
      </c>
      <c r="I755">
        <v>42</v>
      </c>
      <c r="J755">
        <v>9.2200000000000006</v>
      </c>
      <c r="K755">
        <v>4.93</v>
      </c>
      <c r="L755">
        <f t="shared" ref="L755:N755" si="432">L754</f>
        <v>0.62</v>
      </c>
      <c r="M755">
        <f t="shared" si="432"/>
        <v>0.39800000000000002</v>
      </c>
      <c r="N755">
        <f t="shared" si="432"/>
        <v>0.111</v>
      </c>
      <c r="O755" s="21">
        <f t="shared" si="397"/>
        <v>3.5163799283154122</v>
      </c>
      <c r="P755" s="21">
        <f t="shared" si="398"/>
        <v>4.3841816009557952</v>
      </c>
      <c r="Q755" s="23">
        <f t="shared" si="393"/>
        <v>3.5163799283154122</v>
      </c>
      <c r="R755" s="23" t="str">
        <f t="shared" si="394"/>
        <v/>
      </c>
      <c r="T755" t="str">
        <f t="shared" si="395"/>
        <v/>
      </c>
    </row>
    <row r="756" spans="1:20" x14ac:dyDescent="0.2">
      <c r="A756">
        <v>767</v>
      </c>
      <c r="B756" t="s">
        <v>253</v>
      </c>
      <c r="C756" t="s">
        <v>430</v>
      </c>
      <c r="D756" t="s">
        <v>16</v>
      </c>
      <c r="E756" t="s">
        <v>9</v>
      </c>
      <c r="G756" t="s">
        <v>12</v>
      </c>
      <c r="H756">
        <v>25</v>
      </c>
      <c r="I756">
        <v>22</v>
      </c>
      <c r="J756">
        <v>3.7</v>
      </c>
      <c r="K756">
        <v>1.88</v>
      </c>
      <c r="L756">
        <v>0.64</v>
      </c>
      <c r="M756">
        <v>0.46700000000000003</v>
      </c>
      <c r="N756">
        <v>8.2000000000000003E-2</v>
      </c>
      <c r="O756" s="21">
        <f t="shared" si="397"/>
        <v>1.5242361111111113</v>
      </c>
      <c r="P756" s="21">
        <f t="shared" si="398"/>
        <v>1.9998842592592598</v>
      </c>
      <c r="Q756" s="23" t="str">
        <f t="shared" si="393"/>
        <v/>
      </c>
      <c r="R756" s="23">
        <f t="shared" si="394"/>
        <v>1.5242361111111113</v>
      </c>
      <c r="T756" t="str">
        <f t="shared" si="395"/>
        <v/>
      </c>
    </row>
    <row r="757" spans="1:20" x14ac:dyDescent="0.2">
      <c r="A757">
        <v>768</v>
      </c>
      <c r="B757" t="s">
        <v>253</v>
      </c>
      <c r="C757" t="s">
        <v>430</v>
      </c>
      <c r="D757" t="s">
        <v>16</v>
      </c>
      <c r="E757" t="s">
        <v>9</v>
      </c>
      <c r="G757" t="s">
        <v>14</v>
      </c>
      <c r="H757">
        <v>37</v>
      </c>
      <c r="I757">
        <v>33</v>
      </c>
      <c r="J757">
        <v>6.46</v>
      </c>
      <c r="K757">
        <v>3.16</v>
      </c>
      <c r="L757">
        <f t="shared" ref="L757:N757" si="433">L756</f>
        <v>0.64</v>
      </c>
      <c r="M757">
        <f t="shared" si="433"/>
        <v>0.46700000000000003</v>
      </c>
      <c r="N757">
        <f t="shared" si="433"/>
        <v>8.2000000000000003E-2</v>
      </c>
      <c r="O757" s="21">
        <f t="shared" si="397"/>
        <v>2.562013888888889</v>
      </c>
      <c r="P757" s="21">
        <f t="shared" si="398"/>
        <v>3.4916898148148152</v>
      </c>
      <c r="Q757" s="23" t="str">
        <f t="shared" si="393"/>
        <v/>
      </c>
      <c r="R757" s="23">
        <f t="shared" si="394"/>
        <v>2.562013888888889</v>
      </c>
      <c r="T757" t="str">
        <f t="shared" si="395"/>
        <v/>
      </c>
    </row>
    <row r="758" spans="1:20" x14ac:dyDescent="0.2">
      <c r="A758">
        <v>769</v>
      </c>
      <c r="B758" t="s">
        <v>254</v>
      </c>
      <c r="C758" t="s">
        <v>384</v>
      </c>
      <c r="D758" t="s">
        <v>16</v>
      </c>
      <c r="E758" t="s">
        <v>9</v>
      </c>
      <c r="G758" t="s">
        <v>10</v>
      </c>
      <c r="H758">
        <v>28</v>
      </c>
      <c r="I758">
        <v>32</v>
      </c>
      <c r="J758">
        <v>5.64</v>
      </c>
      <c r="K758">
        <v>5.41</v>
      </c>
      <c r="L758">
        <v>0.47</v>
      </c>
      <c r="M758">
        <v>0.35899999999999999</v>
      </c>
      <c r="N758">
        <v>0.10199999999999999</v>
      </c>
      <c r="O758" s="21">
        <f t="shared" si="397"/>
        <v>4.5914657210401897</v>
      </c>
      <c r="P758" s="21">
        <f t="shared" si="398"/>
        <v>3.1911111111111108</v>
      </c>
      <c r="Q758" s="23">
        <f t="shared" si="393"/>
        <v>4.5914657210401897</v>
      </c>
      <c r="R758" s="23" t="str">
        <f t="shared" si="394"/>
        <v/>
      </c>
      <c r="T758" t="str">
        <f t="shared" si="395"/>
        <v/>
      </c>
    </row>
    <row r="759" spans="1:20" x14ac:dyDescent="0.2">
      <c r="A759">
        <v>770</v>
      </c>
      <c r="B759" t="s">
        <v>254</v>
      </c>
      <c r="C759" t="s">
        <v>384</v>
      </c>
      <c r="D759" t="s">
        <v>16</v>
      </c>
      <c r="E759" t="s">
        <v>9</v>
      </c>
      <c r="G759" t="s">
        <v>11</v>
      </c>
      <c r="H759">
        <v>36</v>
      </c>
      <c r="I759">
        <v>44</v>
      </c>
      <c r="J759">
        <v>7.62</v>
      </c>
      <c r="K759">
        <v>6.58</v>
      </c>
      <c r="L759">
        <f t="shared" ref="L759:N759" si="434">L758</f>
        <v>0.47</v>
      </c>
      <c r="M759">
        <f t="shared" si="434"/>
        <v>0.35899999999999999</v>
      </c>
      <c r="N759">
        <f t="shared" si="434"/>
        <v>0.10199999999999999</v>
      </c>
      <c r="O759" s="21">
        <f t="shared" si="397"/>
        <v>5.5844444444444452</v>
      </c>
      <c r="P759" s="21">
        <f t="shared" si="398"/>
        <v>4.3113947990543728</v>
      </c>
      <c r="Q759" s="23">
        <f t="shared" ref="Q759:Q822" si="435">IF(LEFT(G759,7)="IMPROVE",O759,"")</f>
        <v>5.5844444444444452</v>
      </c>
      <c r="R759" s="23" t="str">
        <f t="shared" ref="R759:R822" si="436">IF(LEFT(G759,7)="FARMER ",O759,"")</f>
        <v/>
      </c>
      <c r="T759" t="str">
        <f t="shared" ref="T759:T822" si="437">IF(O759&gt;14,"VVVVVVVV","")</f>
        <v/>
      </c>
    </row>
    <row r="760" spans="1:20" x14ac:dyDescent="0.2">
      <c r="A760">
        <v>771</v>
      </c>
      <c r="B760" t="s">
        <v>254</v>
      </c>
      <c r="C760" t="s">
        <v>384</v>
      </c>
      <c r="D760" t="s">
        <v>16</v>
      </c>
      <c r="E760" t="s">
        <v>9</v>
      </c>
      <c r="G760" t="s">
        <v>12</v>
      </c>
      <c r="H760">
        <v>33</v>
      </c>
      <c r="I760">
        <v>35</v>
      </c>
      <c r="J760">
        <v>6.31</v>
      </c>
      <c r="K760">
        <v>5.89</v>
      </c>
      <c r="L760">
        <v>0.48</v>
      </c>
      <c r="M760" s="8">
        <v>0.47299999999999998</v>
      </c>
      <c r="N760" s="8">
        <v>0.13100000000000001</v>
      </c>
      <c r="O760" s="21">
        <f t="shared" si="397"/>
        <v>6.4490046296296288</v>
      </c>
      <c r="P760" s="21">
        <f t="shared" si="398"/>
        <v>4.6059104938271611</v>
      </c>
      <c r="Q760" s="23" t="str">
        <f t="shared" si="435"/>
        <v/>
      </c>
      <c r="R760" s="23">
        <f t="shared" si="436"/>
        <v>6.4490046296296288</v>
      </c>
      <c r="T760" t="str">
        <f t="shared" si="437"/>
        <v/>
      </c>
    </row>
    <row r="761" spans="1:20" x14ac:dyDescent="0.2">
      <c r="A761">
        <v>772</v>
      </c>
      <c r="B761" t="s">
        <v>254</v>
      </c>
      <c r="C761" t="s">
        <v>384</v>
      </c>
      <c r="D761" t="s">
        <v>16</v>
      </c>
      <c r="E761" t="s">
        <v>9</v>
      </c>
      <c r="G761" t="s">
        <v>14</v>
      </c>
      <c r="H761">
        <v>35</v>
      </c>
      <c r="I761">
        <v>44</v>
      </c>
      <c r="J761">
        <v>8.4</v>
      </c>
      <c r="K761">
        <v>8.1199999999999992</v>
      </c>
      <c r="L761">
        <f t="shared" ref="L761:N761" si="438">L760</f>
        <v>0.48</v>
      </c>
      <c r="M761">
        <f t="shared" si="438"/>
        <v>0.47299999999999998</v>
      </c>
      <c r="N761">
        <f t="shared" si="438"/>
        <v>0.13100000000000001</v>
      </c>
      <c r="O761" s="21">
        <f t="shared" si="397"/>
        <v>8.8906481481481485</v>
      </c>
      <c r="P761" s="21">
        <f t="shared" si="398"/>
        <v>6.1314814814814822</v>
      </c>
      <c r="Q761" s="23" t="str">
        <f t="shared" si="435"/>
        <v/>
      </c>
      <c r="R761" s="23">
        <f t="shared" si="436"/>
        <v>8.8906481481481485</v>
      </c>
      <c r="T761" t="str">
        <f t="shared" si="437"/>
        <v/>
      </c>
    </row>
    <row r="762" spans="1:20" x14ac:dyDescent="0.2">
      <c r="A762">
        <v>773</v>
      </c>
      <c r="B762" t="s">
        <v>255</v>
      </c>
      <c r="C762" t="s">
        <v>255</v>
      </c>
      <c r="D762" t="s">
        <v>16</v>
      </c>
      <c r="E762" t="s">
        <v>9</v>
      </c>
      <c r="G762" t="s">
        <v>10</v>
      </c>
      <c r="H762">
        <v>38</v>
      </c>
      <c r="I762">
        <v>34</v>
      </c>
      <c r="J762">
        <v>19.350000000000001</v>
      </c>
      <c r="K762">
        <v>5.8</v>
      </c>
      <c r="L762">
        <v>1.2</v>
      </c>
      <c r="M762">
        <v>0.55200000000000005</v>
      </c>
      <c r="N762">
        <v>0.123</v>
      </c>
      <c r="O762" s="21">
        <f t="shared" ref="O762:O825" si="439">K762*(M762/L762)*(10/9)</f>
        <v>2.9644444444444447</v>
      </c>
      <c r="P762" s="21">
        <f t="shared" ref="P762:P825" si="440">J762*(M762/(L762*1.5))*(10/9)</f>
        <v>6.5933333333333346</v>
      </c>
      <c r="Q762" s="23">
        <f t="shared" si="435"/>
        <v>2.9644444444444447</v>
      </c>
      <c r="R762" s="23" t="str">
        <f t="shared" si="436"/>
        <v/>
      </c>
      <c r="T762" t="str">
        <f t="shared" si="437"/>
        <v/>
      </c>
    </row>
    <row r="763" spans="1:20" x14ac:dyDescent="0.2">
      <c r="A763">
        <v>774</v>
      </c>
      <c r="B763" t="s">
        <v>255</v>
      </c>
      <c r="C763" t="s">
        <v>255</v>
      </c>
      <c r="D763" t="s">
        <v>16</v>
      </c>
      <c r="E763" t="s">
        <v>9</v>
      </c>
      <c r="G763" t="s">
        <v>11</v>
      </c>
      <c r="H763">
        <v>41</v>
      </c>
      <c r="I763">
        <v>39</v>
      </c>
      <c r="J763">
        <v>23.1</v>
      </c>
      <c r="K763">
        <v>7.05</v>
      </c>
      <c r="L763">
        <f t="shared" ref="L763:N763" si="441">L762</f>
        <v>1.2</v>
      </c>
      <c r="M763">
        <f t="shared" si="441"/>
        <v>0.55200000000000005</v>
      </c>
      <c r="N763">
        <f t="shared" si="441"/>
        <v>0.123</v>
      </c>
      <c r="O763" s="21">
        <f t="shared" si="439"/>
        <v>3.6033333333333339</v>
      </c>
      <c r="P763" s="21">
        <f t="shared" si="440"/>
        <v>7.8711111111111132</v>
      </c>
      <c r="Q763" s="23">
        <f t="shared" si="435"/>
        <v>3.6033333333333339</v>
      </c>
      <c r="R763" s="23" t="str">
        <f t="shared" si="436"/>
        <v/>
      </c>
      <c r="T763" t="str">
        <f t="shared" si="437"/>
        <v/>
      </c>
    </row>
    <row r="764" spans="1:20" x14ac:dyDescent="0.2">
      <c r="A764">
        <v>775</v>
      </c>
      <c r="B764" t="s">
        <v>255</v>
      </c>
      <c r="C764" t="s">
        <v>255</v>
      </c>
      <c r="D764" t="s">
        <v>16</v>
      </c>
      <c r="E764" t="s">
        <v>9</v>
      </c>
      <c r="G764" t="s">
        <v>12</v>
      </c>
      <c r="H764">
        <v>31</v>
      </c>
      <c r="I764">
        <v>33</v>
      </c>
      <c r="J764">
        <v>16.7</v>
      </c>
      <c r="K764">
        <v>7.15</v>
      </c>
      <c r="L764">
        <v>1.05</v>
      </c>
      <c r="M764">
        <v>0.47199999999999998</v>
      </c>
      <c r="N764">
        <v>8.2000000000000003E-2</v>
      </c>
      <c r="O764" s="21">
        <f t="shared" si="439"/>
        <v>3.5712169312169313</v>
      </c>
      <c r="P764" s="21">
        <f t="shared" si="440"/>
        <v>5.5607760141093454</v>
      </c>
      <c r="Q764" s="23" t="str">
        <f t="shared" si="435"/>
        <v/>
      </c>
      <c r="R764" s="23">
        <f t="shared" si="436"/>
        <v>3.5712169312169313</v>
      </c>
      <c r="T764" t="str">
        <f t="shared" si="437"/>
        <v/>
      </c>
    </row>
    <row r="765" spans="1:20" x14ac:dyDescent="0.2">
      <c r="A765">
        <v>776</v>
      </c>
      <c r="B765" t="s">
        <v>255</v>
      </c>
      <c r="C765" t="s">
        <v>255</v>
      </c>
      <c r="D765" t="s">
        <v>16</v>
      </c>
      <c r="E765" t="s">
        <v>9</v>
      </c>
      <c r="G765" t="s">
        <v>14</v>
      </c>
      <c r="H765">
        <v>25</v>
      </c>
      <c r="I765">
        <v>24</v>
      </c>
      <c r="J765">
        <v>12.65</v>
      </c>
      <c r="K765">
        <v>3.95</v>
      </c>
      <c r="L765">
        <f t="shared" ref="L765:N765" si="442">L764</f>
        <v>1.05</v>
      </c>
      <c r="M765">
        <f t="shared" si="442"/>
        <v>0.47199999999999998</v>
      </c>
      <c r="N765">
        <f t="shared" si="442"/>
        <v>8.2000000000000003E-2</v>
      </c>
      <c r="O765" s="21">
        <f t="shared" si="439"/>
        <v>1.9729100529100529</v>
      </c>
      <c r="P765" s="21">
        <f t="shared" si="440"/>
        <v>4.2122045855379184</v>
      </c>
      <c r="Q765" s="23" t="str">
        <f t="shared" si="435"/>
        <v/>
      </c>
      <c r="R765" s="23">
        <f t="shared" si="436"/>
        <v>1.9729100529100529</v>
      </c>
      <c r="T765" t="str">
        <f t="shared" si="437"/>
        <v/>
      </c>
    </row>
    <row r="766" spans="1:20" x14ac:dyDescent="0.2">
      <c r="A766">
        <v>777</v>
      </c>
      <c r="B766" t="s">
        <v>256</v>
      </c>
      <c r="C766" t="s">
        <v>385</v>
      </c>
      <c r="D766" t="s">
        <v>16</v>
      </c>
      <c r="E766" t="s">
        <v>9</v>
      </c>
      <c r="G766" t="s">
        <v>10</v>
      </c>
      <c r="H766">
        <v>33</v>
      </c>
      <c r="I766">
        <v>32</v>
      </c>
      <c r="J766">
        <v>10.7</v>
      </c>
      <c r="K766">
        <v>5.6</v>
      </c>
      <c r="L766">
        <v>0.9</v>
      </c>
      <c r="M766">
        <v>0.44800000000000001</v>
      </c>
      <c r="N766">
        <v>0.11799999999999999</v>
      </c>
      <c r="O766" s="21">
        <f t="shared" si="439"/>
        <v>3.0972839506172836</v>
      </c>
      <c r="P766" s="21">
        <f t="shared" si="440"/>
        <v>3.945349794238683</v>
      </c>
      <c r="Q766" s="23">
        <f t="shared" si="435"/>
        <v>3.0972839506172836</v>
      </c>
      <c r="R766" s="23" t="str">
        <f t="shared" si="436"/>
        <v/>
      </c>
      <c r="T766" t="str">
        <f t="shared" si="437"/>
        <v/>
      </c>
    </row>
    <row r="767" spans="1:20" x14ac:dyDescent="0.2">
      <c r="A767">
        <v>778</v>
      </c>
      <c r="B767" t="s">
        <v>256</v>
      </c>
      <c r="C767" t="s">
        <v>385</v>
      </c>
      <c r="D767" t="s">
        <v>16</v>
      </c>
      <c r="E767" t="s">
        <v>9</v>
      </c>
      <c r="G767" t="s">
        <v>11</v>
      </c>
      <c r="H767">
        <v>33</v>
      </c>
      <c r="I767">
        <v>28</v>
      </c>
      <c r="J767">
        <v>8.3000000000000007</v>
      </c>
      <c r="K767">
        <v>4.3</v>
      </c>
      <c r="L767">
        <f t="shared" ref="L767:N767" si="443">L766</f>
        <v>0.9</v>
      </c>
      <c r="M767">
        <f t="shared" si="443"/>
        <v>0.44800000000000001</v>
      </c>
      <c r="N767">
        <f t="shared" si="443"/>
        <v>0.11799999999999999</v>
      </c>
      <c r="O767" s="21">
        <f t="shared" si="439"/>
        <v>2.3782716049382717</v>
      </c>
      <c r="P767" s="21">
        <f t="shared" si="440"/>
        <v>3.0604115226337454</v>
      </c>
      <c r="Q767" s="23">
        <f t="shared" si="435"/>
        <v>2.3782716049382717</v>
      </c>
      <c r="R767" s="23" t="str">
        <f t="shared" si="436"/>
        <v/>
      </c>
      <c r="T767" t="str">
        <f t="shared" si="437"/>
        <v/>
      </c>
    </row>
    <row r="768" spans="1:20" x14ac:dyDescent="0.2">
      <c r="A768">
        <v>779</v>
      </c>
      <c r="B768" t="s">
        <v>256</v>
      </c>
      <c r="C768" t="s">
        <v>385</v>
      </c>
      <c r="D768" t="s">
        <v>16</v>
      </c>
      <c r="E768" t="s">
        <v>9</v>
      </c>
      <c r="G768" t="s">
        <v>12</v>
      </c>
      <c r="H768">
        <v>29</v>
      </c>
      <c r="I768">
        <v>29</v>
      </c>
      <c r="J768">
        <v>5.75</v>
      </c>
      <c r="K768">
        <v>3.5</v>
      </c>
      <c r="L768">
        <v>0.85</v>
      </c>
      <c r="M768">
        <v>0.46100000000000002</v>
      </c>
      <c r="N768">
        <v>8.6999999999999994E-2</v>
      </c>
      <c r="O768" s="21">
        <f t="shared" si="439"/>
        <v>2.1091503267973857</v>
      </c>
      <c r="P768" s="21">
        <f t="shared" si="440"/>
        <v>2.3100217864923756</v>
      </c>
      <c r="Q768" s="23" t="str">
        <f t="shared" si="435"/>
        <v/>
      </c>
      <c r="R768" s="23">
        <f t="shared" si="436"/>
        <v>2.1091503267973857</v>
      </c>
      <c r="T768" t="str">
        <f t="shared" si="437"/>
        <v/>
      </c>
    </row>
    <row r="769" spans="1:20" x14ac:dyDescent="0.2">
      <c r="A769">
        <v>780</v>
      </c>
      <c r="B769" t="s">
        <v>256</v>
      </c>
      <c r="C769" t="s">
        <v>385</v>
      </c>
      <c r="D769" t="s">
        <v>16</v>
      </c>
      <c r="E769" t="s">
        <v>9</v>
      </c>
      <c r="G769" t="s">
        <v>14</v>
      </c>
      <c r="H769">
        <v>32</v>
      </c>
      <c r="I769">
        <v>29</v>
      </c>
      <c r="J769">
        <v>6.8</v>
      </c>
      <c r="K769">
        <v>4</v>
      </c>
      <c r="L769">
        <f t="shared" ref="L769:N769" si="444">L768</f>
        <v>0.85</v>
      </c>
      <c r="M769">
        <f t="shared" si="444"/>
        <v>0.46100000000000002</v>
      </c>
      <c r="N769">
        <f t="shared" si="444"/>
        <v>8.6999999999999994E-2</v>
      </c>
      <c r="O769" s="21">
        <f t="shared" si="439"/>
        <v>2.4104575163398696</v>
      </c>
      <c r="P769" s="21">
        <f t="shared" si="440"/>
        <v>2.7318518518518524</v>
      </c>
      <c r="Q769" s="23" t="str">
        <f t="shared" si="435"/>
        <v/>
      </c>
      <c r="R769" s="23">
        <f t="shared" si="436"/>
        <v>2.4104575163398696</v>
      </c>
      <c r="T769" t="str">
        <f t="shared" si="437"/>
        <v/>
      </c>
    </row>
    <row r="770" spans="1:20" x14ac:dyDescent="0.2">
      <c r="A770">
        <v>781</v>
      </c>
      <c r="B770" t="s">
        <v>257</v>
      </c>
      <c r="C770" t="s">
        <v>257</v>
      </c>
      <c r="D770" t="s">
        <v>24</v>
      </c>
      <c r="E770" t="s">
        <v>9</v>
      </c>
      <c r="G770" t="s">
        <v>10</v>
      </c>
      <c r="H770">
        <v>33</v>
      </c>
      <c r="I770">
        <v>32</v>
      </c>
      <c r="J770">
        <v>3.18</v>
      </c>
      <c r="K770">
        <v>2.67</v>
      </c>
      <c r="L770">
        <v>0.53</v>
      </c>
      <c r="M770">
        <v>0.35099999999999998</v>
      </c>
      <c r="N770">
        <v>7.0000000000000007E-2</v>
      </c>
      <c r="O770" s="21">
        <f t="shared" si="439"/>
        <v>1.9647169811320753</v>
      </c>
      <c r="P770" s="21">
        <f t="shared" si="440"/>
        <v>1.56</v>
      </c>
      <c r="Q770" s="23">
        <f t="shared" si="435"/>
        <v>1.9647169811320753</v>
      </c>
      <c r="R770" s="23" t="str">
        <f t="shared" si="436"/>
        <v/>
      </c>
      <c r="T770" t="str">
        <f t="shared" si="437"/>
        <v/>
      </c>
    </row>
    <row r="771" spans="1:20" x14ac:dyDescent="0.2">
      <c r="A771">
        <v>782</v>
      </c>
      <c r="B771" t="s">
        <v>257</v>
      </c>
      <c r="C771" t="s">
        <v>257</v>
      </c>
      <c r="D771" t="s">
        <v>24</v>
      </c>
      <c r="E771" t="s">
        <v>9</v>
      </c>
      <c r="G771" t="s">
        <v>11</v>
      </c>
      <c r="H771">
        <v>22</v>
      </c>
      <c r="I771">
        <v>21</v>
      </c>
      <c r="J771">
        <v>2.5</v>
      </c>
      <c r="K771">
        <v>1.78</v>
      </c>
      <c r="L771">
        <f t="shared" ref="L771:N771" si="445">L770</f>
        <v>0.53</v>
      </c>
      <c r="M771">
        <f t="shared" si="445"/>
        <v>0.35099999999999998</v>
      </c>
      <c r="N771">
        <f t="shared" si="445"/>
        <v>7.0000000000000007E-2</v>
      </c>
      <c r="O771" s="21">
        <f t="shared" si="439"/>
        <v>1.3098113207547168</v>
      </c>
      <c r="P771" s="21">
        <f t="shared" si="440"/>
        <v>1.2264150943396226</v>
      </c>
      <c r="Q771" s="23">
        <f t="shared" si="435"/>
        <v>1.3098113207547168</v>
      </c>
      <c r="R771" s="23" t="str">
        <f t="shared" si="436"/>
        <v/>
      </c>
      <c r="T771" t="str">
        <f t="shared" si="437"/>
        <v/>
      </c>
    </row>
    <row r="772" spans="1:20" x14ac:dyDescent="0.2">
      <c r="A772">
        <v>783</v>
      </c>
      <c r="B772" t="s">
        <v>257</v>
      </c>
      <c r="C772" t="s">
        <v>257</v>
      </c>
      <c r="D772" t="s">
        <v>24</v>
      </c>
      <c r="E772" t="s">
        <v>9</v>
      </c>
      <c r="G772" t="s">
        <v>12</v>
      </c>
      <c r="H772">
        <v>34</v>
      </c>
      <c r="I772">
        <v>31</v>
      </c>
      <c r="J772">
        <v>3.82</v>
      </c>
      <c r="K772">
        <v>3.7</v>
      </c>
      <c r="L772">
        <v>0.71</v>
      </c>
      <c r="M772">
        <v>0.495</v>
      </c>
      <c r="N772">
        <v>8.8999999999999996E-2</v>
      </c>
      <c r="O772" s="21">
        <f t="shared" si="439"/>
        <v>2.8661971830985924</v>
      </c>
      <c r="P772" s="21">
        <f t="shared" si="440"/>
        <v>1.9727699530516434</v>
      </c>
      <c r="Q772" s="23" t="str">
        <f t="shared" si="435"/>
        <v/>
      </c>
      <c r="R772" s="23">
        <f t="shared" si="436"/>
        <v>2.8661971830985924</v>
      </c>
      <c r="T772" t="str">
        <f t="shared" si="437"/>
        <v/>
      </c>
    </row>
    <row r="773" spans="1:20" x14ac:dyDescent="0.2">
      <c r="A773">
        <v>784</v>
      </c>
      <c r="B773" t="s">
        <v>257</v>
      </c>
      <c r="C773" t="s">
        <v>257</v>
      </c>
      <c r="D773" t="s">
        <v>24</v>
      </c>
      <c r="E773" t="s">
        <v>9</v>
      </c>
      <c r="G773" t="s">
        <v>14</v>
      </c>
      <c r="H773">
        <v>29</v>
      </c>
      <c r="I773">
        <v>31</v>
      </c>
      <c r="J773">
        <v>4.01</v>
      </c>
      <c r="K773">
        <v>4.32</v>
      </c>
      <c r="L773">
        <f t="shared" ref="L773:N773" si="446">L772</f>
        <v>0.71</v>
      </c>
      <c r="M773">
        <f t="shared" si="446"/>
        <v>0.495</v>
      </c>
      <c r="N773">
        <f t="shared" si="446"/>
        <v>8.8999999999999996E-2</v>
      </c>
      <c r="O773" s="21">
        <f t="shared" si="439"/>
        <v>3.3464788732394375</v>
      </c>
      <c r="P773" s="21">
        <f t="shared" si="440"/>
        <v>2.0708920187793427</v>
      </c>
      <c r="Q773" s="23" t="str">
        <f t="shared" si="435"/>
        <v/>
      </c>
      <c r="R773" s="23">
        <f t="shared" si="436"/>
        <v>3.3464788732394375</v>
      </c>
      <c r="T773" t="str">
        <f t="shared" si="437"/>
        <v/>
      </c>
    </row>
    <row r="774" spans="1:20" x14ac:dyDescent="0.2">
      <c r="A774">
        <v>785</v>
      </c>
      <c r="B774" t="s">
        <v>258</v>
      </c>
      <c r="C774" t="s">
        <v>258</v>
      </c>
      <c r="D774" t="s">
        <v>24</v>
      </c>
      <c r="E774" t="s">
        <v>9</v>
      </c>
      <c r="G774" t="s">
        <v>10</v>
      </c>
      <c r="H774">
        <v>59</v>
      </c>
      <c r="I774">
        <v>47</v>
      </c>
      <c r="J774">
        <v>8.68</v>
      </c>
      <c r="K774">
        <v>5.83</v>
      </c>
      <c r="L774">
        <v>1.01</v>
      </c>
      <c r="M774">
        <v>0.55800000000000005</v>
      </c>
      <c r="N774">
        <v>0.11600000000000001</v>
      </c>
      <c r="O774" s="21">
        <f t="shared" si="439"/>
        <v>3.5788118811881193</v>
      </c>
      <c r="P774" s="21">
        <f t="shared" si="440"/>
        <v>3.552211221122112</v>
      </c>
      <c r="Q774" s="23">
        <f t="shared" si="435"/>
        <v>3.5788118811881193</v>
      </c>
      <c r="R774" s="23" t="str">
        <f t="shared" si="436"/>
        <v/>
      </c>
      <c r="T774" t="str">
        <f t="shared" si="437"/>
        <v/>
      </c>
    </row>
    <row r="775" spans="1:20" x14ac:dyDescent="0.2">
      <c r="A775">
        <v>786</v>
      </c>
      <c r="B775" t="s">
        <v>258</v>
      </c>
      <c r="C775" t="s">
        <v>258</v>
      </c>
      <c r="D775" t="s">
        <v>24</v>
      </c>
      <c r="E775" t="s">
        <v>9</v>
      </c>
      <c r="G775" t="s">
        <v>11</v>
      </c>
      <c r="H775">
        <v>36</v>
      </c>
      <c r="I775">
        <v>41</v>
      </c>
      <c r="J775">
        <v>6.66</v>
      </c>
      <c r="K775">
        <v>10.48</v>
      </c>
      <c r="L775">
        <f t="shared" ref="L775:N775" si="447">L774</f>
        <v>1.01</v>
      </c>
      <c r="M775">
        <f t="shared" si="447"/>
        <v>0.55800000000000005</v>
      </c>
      <c r="N775">
        <f t="shared" si="447"/>
        <v>0.11600000000000001</v>
      </c>
      <c r="O775" s="21">
        <f t="shared" si="439"/>
        <v>6.4332673267326745</v>
      </c>
      <c r="P775" s="21">
        <f t="shared" si="440"/>
        <v>2.7255445544554457</v>
      </c>
      <c r="Q775" s="23">
        <f t="shared" si="435"/>
        <v>6.4332673267326745</v>
      </c>
      <c r="R775" s="23" t="str">
        <f t="shared" si="436"/>
        <v/>
      </c>
      <c r="T775" t="str">
        <f t="shared" si="437"/>
        <v/>
      </c>
    </row>
    <row r="776" spans="1:20" x14ac:dyDescent="0.2">
      <c r="A776">
        <v>787</v>
      </c>
      <c r="B776" t="s">
        <v>258</v>
      </c>
      <c r="C776" t="s">
        <v>258</v>
      </c>
      <c r="D776" t="s">
        <v>24</v>
      </c>
      <c r="E776" t="s">
        <v>9</v>
      </c>
      <c r="G776" t="s">
        <v>12</v>
      </c>
      <c r="H776">
        <v>29</v>
      </c>
      <c r="I776">
        <v>24</v>
      </c>
      <c r="J776">
        <v>2.5099999999999998</v>
      </c>
      <c r="K776">
        <v>3.65</v>
      </c>
      <c r="L776">
        <v>0.76</v>
      </c>
      <c r="M776">
        <v>0.46200000000000002</v>
      </c>
      <c r="N776">
        <v>7.4999999999999997E-2</v>
      </c>
      <c r="O776" s="21">
        <f t="shared" si="439"/>
        <v>2.4653508771929822</v>
      </c>
      <c r="P776" s="21">
        <f t="shared" si="440"/>
        <v>1.1302339181286549</v>
      </c>
      <c r="Q776" s="23" t="str">
        <f t="shared" si="435"/>
        <v/>
      </c>
      <c r="R776" s="23">
        <f t="shared" si="436"/>
        <v>2.4653508771929822</v>
      </c>
      <c r="T776" t="str">
        <f t="shared" si="437"/>
        <v/>
      </c>
    </row>
    <row r="777" spans="1:20" x14ac:dyDescent="0.2">
      <c r="A777">
        <v>788</v>
      </c>
      <c r="B777" t="s">
        <v>258</v>
      </c>
      <c r="C777" t="s">
        <v>258</v>
      </c>
      <c r="D777" t="s">
        <v>24</v>
      </c>
      <c r="E777" t="s">
        <v>9</v>
      </c>
      <c r="G777" t="s">
        <v>14</v>
      </c>
      <c r="H777">
        <v>49</v>
      </c>
      <c r="I777">
        <v>49</v>
      </c>
      <c r="J777">
        <v>4.2699999999999996</v>
      </c>
      <c r="K777">
        <v>6.72</v>
      </c>
      <c r="L777">
        <f t="shared" ref="L777:N777" si="448">L776</f>
        <v>0.76</v>
      </c>
      <c r="M777">
        <f t="shared" si="448"/>
        <v>0.46200000000000002</v>
      </c>
      <c r="N777">
        <f t="shared" si="448"/>
        <v>7.4999999999999997E-2</v>
      </c>
      <c r="O777" s="21">
        <f t="shared" si="439"/>
        <v>4.5389473684210531</v>
      </c>
      <c r="P777" s="21">
        <f t="shared" si="440"/>
        <v>1.9227485380116958</v>
      </c>
      <c r="Q777" s="23" t="str">
        <f t="shared" si="435"/>
        <v/>
      </c>
      <c r="R777" s="23">
        <f t="shared" si="436"/>
        <v>4.5389473684210531</v>
      </c>
      <c r="T777" t="str">
        <f t="shared" si="437"/>
        <v/>
      </c>
    </row>
    <row r="778" spans="1:20" x14ac:dyDescent="0.2">
      <c r="A778">
        <v>789</v>
      </c>
      <c r="B778" s="12" t="s">
        <v>259</v>
      </c>
      <c r="C778" s="12" t="s">
        <v>259</v>
      </c>
      <c r="D778" s="12" t="s">
        <v>24</v>
      </c>
      <c r="E778" s="12" t="s">
        <v>17</v>
      </c>
      <c r="F778" s="12"/>
      <c r="G778" s="12">
        <v>1</v>
      </c>
      <c r="H778" s="12">
        <v>41</v>
      </c>
      <c r="I778" s="12">
        <v>60</v>
      </c>
      <c r="J778" s="12">
        <v>10.37</v>
      </c>
      <c r="K778" s="12">
        <v>9.4</v>
      </c>
      <c r="L778" s="12">
        <v>1.1000000000000001</v>
      </c>
      <c r="M778" s="4">
        <v>0.28199999999999997</v>
      </c>
      <c r="N778" s="4">
        <v>0.08</v>
      </c>
      <c r="O778" s="21">
        <f t="shared" si="439"/>
        <v>2.6775757575757573</v>
      </c>
      <c r="P778" s="21">
        <f t="shared" si="440"/>
        <v>1.9692525252525248</v>
      </c>
      <c r="Q778" s="23" t="str">
        <f t="shared" si="435"/>
        <v/>
      </c>
      <c r="R778" s="23" t="str">
        <f t="shared" si="436"/>
        <v/>
      </c>
      <c r="S778" s="12" t="s">
        <v>25</v>
      </c>
      <c r="T778" t="str">
        <f t="shared" si="437"/>
        <v/>
      </c>
    </row>
    <row r="779" spans="1:20" x14ac:dyDescent="0.2">
      <c r="A779">
        <v>790</v>
      </c>
      <c r="B779" s="12" t="s">
        <v>259</v>
      </c>
      <c r="C779" s="12" t="s">
        <v>259</v>
      </c>
      <c r="D779" s="12" t="s">
        <v>24</v>
      </c>
      <c r="E779" s="12" t="s">
        <v>17</v>
      </c>
      <c r="F779" s="12"/>
      <c r="G779" s="12">
        <v>2</v>
      </c>
      <c r="H779" s="12">
        <v>45</v>
      </c>
      <c r="I779" s="12">
        <v>46</v>
      </c>
      <c r="J779" s="12">
        <v>9.81</v>
      </c>
      <c r="K779" s="12">
        <v>7.64</v>
      </c>
      <c r="L779" s="12">
        <f t="shared" ref="L779:N779" si="449">L778</f>
        <v>1.1000000000000001</v>
      </c>
      <c r="M779" s="12">
        <f t="shared" si="449"/>
        <v>0.28199999999999997</v>
      </c>
      <c r="N779">
        <f t="shared" si="449"/>
        <v>0.08</v>
      </c>
      <c r="O779" s="21">
        <f t="shared" si="439"/>
        <v>2.1762424242424236</v>
      </c>
      <c r="P779" s="21">
        <f t="shared" si="440"/>
        <v>1.8629090909090906</v>
      </c>
      <c r="Q779" s="23" t="str">
        <f t="shared" si="435"/>
        <v/>
      </c>
      <c r="R779" s="23" t="str">
        <f t="shared" si="436"/>
        <v/>
      </c>
      <c r="S779" s="12" t="s">
        <v>25</v>
      </c>
      <c r="T779" t="str">
        <f t="shared" si="437"/>
        <v/>
      </c>
    </row>
    <row r="780" spans="1:20" x14ac:dyDescent="0.2">
      <c r="A780">
        <v>791</v>
      </c>
      <c r="B780" t="s">
        <v>260</v>
      </c>
      <c r="C780" t="s">
        <v>260</v>
      </c>
      <c r="D780" t="s">
        <v>24</v>
      </c>
      <c r="E780" t="s">
        <v>9</v>
      </c>
      <c r="G780" t="s">
        <v>10</v>
      </c>
      <c r="H780">
        <v>36</v>
      </c>
      <c r="I780">
        <v>38</v>
      </c>
      <c r="J780">
        <v>5.8</v>
      </c>
      <c r="K780">
        <v>5.34</v>
      </c>
      <c r="L780">
        <v>0.91</v>
      </c>
      <c r="M780">
        <v>0.60299999999999998</v>
      </c>
      <c r="N780">
        <v>0.11</v>
      </c>
      <c r="O780" s="21">
        <f t="shared" si="439"/>
        <v>3.9316483516483514</v>
      </c>
      <c r="P780" s="21">
        <f t="shared" si="440"/>
        <v>2.846886446886447</v>
      </c>
      <c r="Q780" s="23">
        <f t="shared" si="435"/>
        <v>3.9316483516483514</v>
      </c>
      <c r="R780" s="23" t="str">
        <f t="shared" si="436"/>
        <v/>
      </c>
      <c r="T780" t="str">
        <f t="shared" si="437"/>
        <v/>
      </c>
    </row>
    <row r="781" spans="1:20" x14ac:dyDescent="0.2">
      <c r="A781">
        <v>792</v>
      </c>
      <c r="B781" t="s">
        <v>260</v>
      </c>
      <c r="C781" t="s">
        <v>260</v>
      </c>
      <c r="D781" t="s">
        <v>24</v>
      </c>
      <c r="E781" t="s">
        <v>9</v>
      </c>
      <c r="G781" t="s">
        <v>11</v>
      </c>
      <c r="H781">
        <v>37</v>
      </c>
      <c r="I781">
        <v>36</v>
      </c>
      <c r="J781">
        <v>7.46</v>
      </c>
      <c r="K781">
        <v>5.4</v>
      </c>
      <c r="L781">
        <f t="shared" ref="L781:N781" si="450">L780</f>
        <v>0.91</v>
      </c>
      <c r="M781">
        <f t="shared" si="450"/>
        <v>0.60299999999999998</v>
      </c>
      <c r="N781">
        <f t="shared" si="450"/>
        <v>0.11</v>
      </c>
      <c r="O781" s="21">
        <f t="shared" si="439"/>
        <v>3.9758241758241764</v>
      </c>
      <c r="P781" s="21">
        <f t="shared" si="440"/>
        <v>3.6616849816849819</v>
      </c>
      <c r="Q781" s="23">
        <f t="shared" si="435"/>
        <v>3.9758241758241764</v>
      </c>
      <c r="R781" s="23" t="str">
        <f t="shared" si="436"/>
        <v/>
      </c>
      <c r="T781" t="str">
        <f t="shared" si="437"/>
        <v/>
      </c>
    </row>
    <row r="782" spans="1:20" x14ac:dyDescent="0.2">
      <c r="A782">
        <v>793</v>
      </c>
      <c r="B782" t="s">
        <v>260</v>
      </c>
      <c r="C782" t="s">
        <v>260</v>
      </c>
      <c r="D782" t="s">
        <v>24</v>
      </c>
      <c r="E782" t="s">
        <v>9</v>
      </c>
      <c r="G782" t="s">
        <v>12</v>
      </c>
      <c r="H782">
        <v>29</v>
      </c>
      <c r="I782">
        <v>25</v>
      </c>
      <c r="J782">
        <v>3.36</v>
      </c>
      <c r="K782">
        <v>1.98</v>
      </c>
      <c r="L782">
        <v>0.56000000000000005</v>
      </c>
      <c r="M782">
        <v>0.42599999999999999</v>
      </c>
      <c r="N782">
        <v>7.1999999999999995E-2</v>
      </c>
      <c r="O782" s="21">
        <f t="shared" si="439"/>
        <v>1.6735714285714287</v>
      </c>
      <c r="P782" s="21">
        <f t="shared" si="440"/>
        <v>1.8933333333333333</v>
      </c>
      <c r="Q782" s="23" t="str">
        <f t="shared" si="435"/>
        <v/>
      </c>
      <c r="R782" s="23">
        <f t="shared" si="436"/>
        <v>1.6735714285714287</v>
      </c>
      <c r="T782" t="str">
        <f t="shared" si="437"/>
        <v/>
      </c>
    </row>
    <row r="783" spans="1:20" x14ac:dyDescent="0.2">
      <c r="A783">
        <v>794</v>
      </c>
      <c r="B783" t="s">
        <v>260</v>
      </c>
      <c r="C783" t="s">
        <v>260</v>
      </c>
      <c r="D783" t="s">
        <v>24</v>
      </c>
      <c r="E783" t="s">
        <v>9</v>
      </c>
      <c r="G783" t="s">
        <v>14</v>
      </c>
      <c r="H783">
        <v>28</v>
      </c>
      <c r="I783">
        <v>28</v>
      </c>
      <c r="J783">
        <v>3.92</v>
      </c>
      <c r="K783">
        <v>3.17</v>
      </c>
      <c r="L783">
        <f t="shared" ref="L783:N783" si="451">L782</f>
        <v>0.56000000000000005</v>
      </c>
      <c r="M783">
        <f t="shared" si="451"/>
        <v>0.42599999999999999</v>
      </c>
      <c r="N783">
        <f t="shared" si="451"/>
        <v>7.1999999999999995E-2</v>
      </c>
      <c r="O783" s="21">
        <f t="shared" si="439"/>
        <v>2.6794047619047618</v>
      </c>
      <c r="P783" s="21">
        <f t="shared" si="440"/>
        <v>2.2088888888888887</v>
      </c>
      <c r="Q783" s="23" t="str">
        <f t="shared" si="435"/>
        <v/>
      </c>
      <c r="R783" s="23">
        <f t="shared" si="436"/>
        <v>2.6794047619047618</v>
      </c>
      <c r="T783" t="str">
        <f t="shared" si="437"/>
        <v/>
      </c>
    </row>
    <row r="784" spans="1:20" x14ac:dyDescent="0.2">
      <c r="A784">
        <v>795</v>
      </c>
      <c r="B784" t="s">
        <v>261</v>
      </c>
      <c r="C784" t="s">
        <v>261</v>
      </c>
      <c r="D784" t="s">
        <v>24</v>
      </c>
      <c r="E784" t="s">
        <v>9</v>
      </c>
      <c r="G784" t="s">
        <v>10</v>
      </c>
      <c r="H784">
        <v>34</v>
      </c>
      <c r="I784">
        <v>32</v>
      </c>
      <c r="J784">
        <v>3.28</v>
      </c>
      <c r="K784">
        <v>2.97</v>
      </c>
      <c r="L784">
        <v>0.74</v>
      </c>
      <c r="M784">
        <v>0.5</v>
      </c>
      <c r="N784">
        <v>0.1</v>
      </c>
      <c r="O784" s="21">
        <f t="shared" si="439"/>
        <v>2.2297297297297303</v>
      </c>
      <c r="P784" s="21">
        <f t="shared" si="440"/>
        <v>1.6416416416416417</v>
      </c>
      <c r="Q784" s="23">
        <f t="shared" si="435"/>
        <v>2.2297297297297303</v>
      </c>
      <c r="R784" s="23" t="str">
        <f t="shared" si="436"/>
        <v/>
      </c>
      <c r="T784" t="str">
        <f t="shared" si="437"/>
        <v/>
      </c>
    </row>
    <row r="785" spans="1:20" x14ac:dyDescent="0.2">
      <c r="A785">
        <v>796</v>
      </c>
      <c r="B785" t="s">
        <v>261</v>
      </c>
      <c r="C785" t="s">
        <v>261</v>
      </c>
      <c r="D785" t="s">
        <v>24</v>
      </c>
      <c r="E785" t="s">
        <v>9</v>
      </c>
      <c r="G785" t="s">
        <v>11</v>
      </c>
      <c r="H785">
        <v>32</v>
      </c>
      <c r="I785">
        <v>27</v>
      </c>
      <c r="J785">
        <v>2.4</v>
      </c>
      <c r="K785">
        <v>2.48</v>
      </c>
      <c r="L785">
        <f t="shared" ref="L785:N785" si="452">L784</f>
        <v>0.74</v>
      </c>
      <c r="M785">
        <f t="shared" si="452"/>
        <v>0.5</v>
      </c>
      <c r="N785">
        <f t="shared" si="452"/>
        <v>0.1</v>
      </c>
      <c r="O785" s="21">
        <f t="shared" si="439"/>
        <v>1.8618618618618619</v>
      </c>
      <c r="P785" s="21">
        <f t="shared" si="440"/>
        <v>1.2012012012012012</v>
      </c>
      <c r="Q785" s="23">
        <f t="shared" si="435"/>
        <v>1.8618618618618619</v>
      </c>
      <c r="R785" s="23" t="str">
        <f t="shared" si="436"/>
        <v/>
      </c>
      <c r="T785" t="str">
        <f t="shared" si="437"/>
        <v/>
      </c>
    </row>
    <row r="786" spans="1:20" x14ac:dyDescent="0.2">
      <c r="A786">
        <v>797</v>
      </c>
      <c r="B786" t="s">
        <v>261</v>
      </c>
      <c r="C786" t="s">
        <v>261</v>
      </c>
      <c r="D786" t="s">
        <v>24</v>
      </c>
      <c r="E786" t="s">
        <v>9</v>
      </c>
      <c r="G786" t="s">
        <v>12</v>
      </c>
      <c r="H786">
        <v>23</v>
      </c>
      <c r="I786">
        <v>27</v>
      </c>
      <c r="J786">
        <v>7.96</v>
      </c>
      <c r="K786">
        <v>6.62</v>
      </c>
      <c r="L786">
        <v>1.1399999999999999</v>
      </c>
      <c r="M786">
        <v>0.79200000000000004</v>
      </c>
      <c r="N786">
        <v>7.8E-2</v>
      </c>
      <c r="O786" s="21">
        <f t="shared" si="439"/>
        <v>5.1101754385964924</v>
      </c>
      <c r="P786" s="21">
        <f t="shared" si="440"/>
        <v>4.0963742690058487</v>
      </c>
      <c r="Q786" s="23" t="str">
        <f t="shared" si="435"/>
        <v/>
      </c>
      <c r="R786" s="23">
        <f t="shared" si="436"/>
        <v>5.1101754385964924</v>
      </c>
      <c r="T786" t="str">
        <f t="shared" si="437"/>
        <v/>
      </c>
    </row>
    <row r="787" spans="1:20" x14ac:dyDescent="0.2">
      <c r="A787">
        <v>798</v>
      </c>
      <c r="B787" t="s">
        <v>261</v>
      </c>
      <c r="C787" t="s">
        <v>261</v>
      </c>
      <c r="D787" t="s">
        <v>24</v>
      </c>
      <c r="E787" t="s">
        <v>9</v>
      </c>
      <c r="G787" t="s">
        <v>14</v>
      </c>
      <c r="H787">
        <v>32</v>
      </c>
      <c r="I787">
        <v>36</v>
      </c>
      <c r="J787">
        <v>4.76</v>
      </c>
      <c r="K787">
        <v>6.48</v>
      </c>
      <c r="L787">
        <f t="shared" ref="L787:N787" si="453">L786</f>
        <v>1.1399999999999999</v>
      </c>
      <c r="M787">
        <f t="shared" si="453"/>
        <v>0.79200000000000004</v>
      </c>
      <c r="N787">
        <f t="shared" si="453"/>
        <v>7.8E-2</v>
      </c>
      <c r="O787" s="21">
        <f t="shared" si="439"/>
        <v>5.0021052631578957</v>
      </c>
      <c r="P787" s="21">
        <f t="shared" si="440"/>
        <v>2.4495906432748544</v>
      </c>
      <c r="Q787" s="23" t="str">
        <f t="shared" si="435"/>
        <v/>
      </c>
      <c r="R787" s="23">
        <f t="shared" si="436"/>
        <v>5.0021052631578957</v>
      </c>
      <c r="T787" t="str">
        <f t="shared" si="437"/>
        <v/>
      </c>
    </row>
    <row r="788" spans="1:20" x14ac:dyDescent="0.2">
      <c r="A788">
        <v>799</v>
      </c>
      <c r="B788" t="s">
        <v>262</v>
      </c>
      <c r="C788" t="s">
        <v>262</v>
      </c>
      <c r="D788" t="s">
        <v>24</v>
      </c>
      <c r="E788" t="s">
        <v>9</v>
      </c>
      <c r="G788" t="s">
        <v>10</v>
      </c>
      <c r="H788">
        <v>51</v>
      </c>
      <c r="I788">
        <v>36</v>
      </c>
      <c r="J788">
        <v>15.43</v>
      </c>
      <c r="K788">
        <v>7.85</v>
      </c>
      <c r="L788">
        <v>1.1000000000000001</v>
      </c>
      <c r="M788">
        <v>0.54100000000000004</v>
      </c>
      <c r="N788">
        <v>6.3E-2</v>
      </c>
      <c r="O788" s="21">
        <f t="shared" si="439"/>
        <v>4.2897474747474753</v>
      </c>
      <c r="P788" s="21">
        <f t="shared" si="440"/>
        <v>5.6212996632996637</v>
      </c>
      <c r="Q788" s="23">
        <f t="shared" si="435"/>
        <v>4.2897474747474753</v>
      </c>
      <c r="R788" s="23" t="str">
        <f t="shared" si="436"/>
        <v/>
      </c>
      <c r="T788" t="str">
        <f t="shared" si="437"/>
        <v/>
      </c>
    </row>
    <row r="789" spans="1:20" x14ac:dyDescent="0.2">
      <c r="A789">
        <v>800</v>
      </c>
      <c r="B789" t="s">
        <v>262</v>
      </c>
      <c r="C789" t="s">
        <v>262</v>
      </c>
      <c r="D789" t="s">
        <v>24</v>
      </c>
      <c r="E789" t="s">
        <v>9</v>
      </c>
      <c r="G789" t="s">
        <v>11</v>
      </c>
      <c r="H789">
        <v>41</v>
      </c>
      <c r="I789">
        <v>49</v>
      </c>
      <c r="J789">
        <v>18.309999999999999</v>
      </c>
      <c r="K789">
        <v>11.5</v>
      </c>
      <c r="L789">
        <f t="shared" ref="L789:N789" si="454">L788</f>
        <v>1.1000000000000001</v>
      </c>
      <c r="M789">
        <f t="shared" si="454"/>
        <v>0.54100000000000004</v>
      </c>
      <c r="N789">
        <f t="shared" si="454"/>
        <v>6.3E-2</v>
      </c>
      <c r="O789" s="21">
        <f t="shared" si="439"/>
        <v>6.2843434343434348</v>
      </c>
      <c r="P789" s="21">
        <f t="shared" si="440"/>
        <v>6.6705117845117847</v>
      </c>
      <c r="Q789" s="23">
        <f t="shared" si="435"/>
        <v>6.2843434343434348</v>
      </c>
      <c r="R789" s="23" t="str">
        <f t="shared" si="436"/>
        <v/>
      </c>
      <c r="T789" t="str">
        <f t="shared" si="437"/>
        <v/>
      </c>
    </row>
    <row r="790" spans="1:20" x14ac:dyDescent="0.2">
      <c r="A790">
        <v>801</v>
      </c>
      <c r="B790" t="s">
        <v>262</v>
      </c>
      <c r="C790" t="s">
        <v>262</v>
      </c>
      <c r="D790" t="s">
        <v>24</v>
      </c>
      <c r="E790" t="s">
        <v>9</v>
      </c>
      <c r="G790" t="s">
        <v>12</v>
      </c>
      <c r="H790">
        <v>34</v>
      </c>
      <c r="I790">
        <v>28</v>
      </c>
      <c r="J790">
        <v>12.13</v>
      </c>
      <c r="K790">
        <v>5.38</v>
      </c>
      <c r="L790">
        <v>0.97</v>
      </c>
      <c r="M790">
        <v>0.48599999999999999</v>
      </c>
      <c r="N790">
        <v>9.1999999999999998E-2</v>
      </c>
      <c r="O790" s="21">
        <f t="shared" si="439"/>
        <v>2.9950515463917529</v>
      </c>
      <c r="P790" s="21">
        <f t="shared" si="440"/>
        <v>4.501855670103093</v>
      </c>
      <c r="Q790" s="23" t="str">
        <f t="shared" si="435"/>
        <v/>
      </c>
      <c r="R790" s="23">
        <f t="shared" si="436"/>
        <v>2.9950515463917529</v>
      </c>
      <c r="T790" t="str">
        <f t="shared" si="437"/>
        <v/>
      </c>
    </row>
    <row r="791" spans="1:20" x14ac:dyDescent="0.2">
      <c r="A791">
        <v>802</v>
      </c>
      <c r="B791" t="s">
        <v>262</v>
      </c>
      <c r="C791" t="s">
        <v>262</v>
      </c>
      <c r="D791" t="s">
        <v>24</v>
      </c>
      <c r="E791" t="s">
        <v>9</v>
      </c>
      <c r="G791" t="s">
        <v>14</v>
      </c>
      <c r="H791">
        <v>31</v>
      </c>
      <c r="I791">
        <v>29</v>
      </c>
      <c r="J791">
        <v>10.64</v>
      </c>
      <c r="K791">
        <v>3.38</v>
      </c>
      <c r="L791">
        <f t="shared" ref="L791:N791" si="455">L790</f>
        <v>0.97</v>
      </c>
      <c r="M791">
        <f t="shared" si="455"/>
        <v>0.48599999999999999</v>
      </c>
      <c r="N791">
        <f t="shared" si="455"/>
        <v>9.1999999999999998E-2</v>
      </c>
      <c r="O791" s="21">
        <f t="shared" si="439"/>
        <v>1.8816494845360825</v>
      </c>
      <c r="P791" s="21">
        <f t="shared" si="440"/>
        <v>3.9488659793814431</v>
      </c>
      <c r="Q791" s="23" t="str">
        <f t="shared" si="435"/>
        <v/>
      </c>
      <c r="R791" s="23">
        <f t="shared" si="436"/>
        <v>1.8816494845360825</v>
      </c>
      <c r="T791" t="str">
        <f t="shared" si="437"/>
        <v/>
      </c>
    </row>
    <row r="792" spans="1:20" x14ac:dyDescent="0.2">
      <c r="A792">
        <v>803</v>
      </c>
      <c r="B792" s="12" t="s">
        <v>263</v>
      </c>
      <c r="C792" t="s">
        <v>263</v>
      </c>
      <c r="D792" s="12" t="s">
        <v>24</v>
      </c>
      <c r="E792" s="12" t="s">
        <v>17</v>
      </c>
      <c r="F792" s="12"/>
      <c r="G792" s="12">
        <v>1</v>
      </c>
      <c r="H792" s="12">
        <v>42</v>
      </c>
      <c r="I792" s="12">
        <v>48</v>
      </c>
      <c r="J792" s="12">
        <v>12.84</v>
      </c>
      <c r="K792" s="12">
        <v>10.59</v>
      </c>
      <c r="L792" s="12">
        <v>1.26</v>
      </c>
      <c r="M792" s="12">
        <v>0.31</v>
      </c>
      <c r="N792" s="12">
        <v>0.128</v>
      </c>
      <c r="O792" s="21">
        <f t="shared" si="439"/>
        <v>2.8949735449735448</v>
      </c>
      <c r="P792" s="21">
        <f t="shared" si="440"/>
        <v>2.3400352733686067</v>
      </c>
      <c r="Q792" s="23" t="str">
        <f t="shared" si="435"/>
        <v/>
      </c>
      <c r="R792" s="23" t="str">
        <f t="shared" si="436"/>
        <v/>
      </c>
      <c r="S792" s="12" t="s">
        <v>25</v>
      </c>
      <c r="T792" t="str">
        <f t="shared" si="437"/>
        <v/>
      </c>
    </row>
    <row r="793" spans="1:20" x14ac:dyDescent="0.2">
      <c r="A793">
        <v>804</v>
      </c>
      <c r="B793" s="12" t="s">
        <v>263</v>
      </c>
      <c r="C793" t="s">
        <v>263</v>
      </c>
      <c r="D793" s="12" t="s">
        <v>24</v>
      </c>
      <c r="E793" s="12" t="s">
        <v>17</v>
      </c>
      <c r="F793" s="12"/>
      <c r="G793" s="12">
        <v>2</v>
      </c>
      <c r="H793" s="12">
        <v>32</v>
      </c>
      <c r="I793" s="12">
        <v>43</v>
      </c>
      <c r="J793" s="12">
        <v>9.35</v>
      </c>
      <c r="K793" s="12">
        <v>7.43</v>
      </c>
      <c r="L793" s="12">
        <f t="shared" ref="L793:N793" si="456">L792</f>
        <v>1.26</v>
      </c>
      <c r="M793" s="12">
        <f t="shared" si="456"/>
        <v>0.31</v>
      </c>
      <c r="N793">
        <f t="shared" si="456"/>
        <v>0.128</v>
      </c>
      <c r="O793" s="21">
        <f t="shared" si="439"/>
        <v>2.0311287477954143</v>
      </c>
      <c r="P793" s="21">
        <f t="shared" si="440"/>
        <v>1.7039976484420927</v>
      </c>
      <c r="Q793" s="23" t="str">
        <f t="shared" si="435"/>
        <v/>
      </c>
      <c r="R793" s="23" t="str">
        <f t="shared" si="436"/>
        <v/>
      </c>
      <c r="T793" t="str">
        <f t="shared" si="437"/>
        <v/>
      </c>
    </row>
    <row r="794" spans="1:20" x14ac:dyDescent="0.2">
      <c r="A794">
        <v>805</v>
      </c>
      <c r="B794" t="s">
        <v>264</v>
      </c>
      <c r="C794" t="s">
        <v>264</v>
      </c>
      <c r="D794" t="s">
        <v>24</v>
      </c>
      <c r="E794" t="s">
        <v>9</v>
      </c>
      <c r="G794" t="s">
        <v>10</v>
      </c>
      <c r="H794">
        <v>61</v>
      </c>
      <c r="I794">
        <v>58</v>
      </c>
      <c r="J794">
        <v>5.71</v>
      </c>
      <c r="K794">
        <v>10.35</v>
      </c>
      <c r="L794">
        <v>0.98</v>
      </c>
      <c r="M794">
        <v>0.65700000000000003</v>
      </c>
      <c r="N794">
        <v>0.107</v>
      </c>
      <c r="O794" s="21">
        <f t="shared" si="439"/>
        <v>7.7096938775510209</v>
      </c>
      <c r="P794" s="21">
        <f t="shared" si="440"/>
        <v>2.8355782312925175</v>
      </c>
      <c r="Q794" s="23">
        <f t="shared" si="435"/>
        <v>7.7096938775510209</v>
      </c>
      <c r="R794" s="23" t="str">
        <f t="shared" si="436"/>
        <v/>
      </c>
      <c r="T794" t="str">
        <f t="shared" si="437"/>
        <v/>
      </c>
    </row>
    <row r="795" spans="1:20" x14ac:dyDescent="0.2">
      <c r="A795">
        <v>806</v>
      </c>
      <c r="B795" t="s">
        <v>264</v>
      </c>
      <c r="C795" t="s">
        <v>264</v>
      </c>
      <c r="D795" t="s">
        <v>24</v>
      </c>
      <c r="E795" t="s">
        <v>9</v>
      </c>
      <c r="G795" t="s">
        <v>11</v>
      </c>
      <c r="H795">
        <v>57</v>
      </c>
      <c r="I795">
        <v>55</v>
      </c>
      <c r="J795">
        <v>6.4</v>
      </c>
      <c r="K795">
        <v>9.9600000000000009</v>
      </c>
      <c r="L795">
        <f t="shared" ref="L795:N795" si="457">L794</f>
        <v>0.98</v>
      </c>
      <c r="M795">
        <f t="shared" si="457"/>
        <v>0.65700000000000003</v>
      </c>
      <c r="N795">
        <f t="shared" si="457"/>
        <v>0.107</v>
      </c>
      <c r="O795" s="21">
        <f t="shared" si="439"/>
        <v>7.4191836734693899</v>
      </c>
      <c r="P795" s="21">
        <f t="shared" si="440"/>
        <v>3.1782312925170078</v>
      </c>
      <c r="Q795" s="23">
        <f t="shared" si="435"/>
        <v>7.4191836734693899</v>
      </c>
      <c r="R795" s="23" t="str">
        <f t="shared" si="436"/>
        <v/>
      </c>
      <c r="T795" t="str">
        <f t="shared" si="437"/>
        <v/>
      </c>
    </row>
    <row r="796" spans="1:20" x14ac:dyDescent="0.2">
      <c r="A796">
        <v>807</v>
      </c>
      <c r="B796" t="s">
        <v>264</v>
      </c>
      <c r="C796" t="s">
        <v>264</v>
      </c>
      <c r="D796" t="s">
        <v>24</v>
      </c>
      <c r="E796" t="s">
        <v>9</v>
      </c>
      <c r="G796" t="s">
        <v>12</v>
      </c>
      <c r="H796">
        <v>38</v>
      </c>
      <c r="I796">
        <v>47</v>
      </c>
      <c r="J796">
        <v>9.17</v>
      </c>
      <c r="K796">
        <v>7.28</v>
      </c>
      <c r="L796">
        <v>0.7</v>
      </c>
      <c r="M796">
        <v>0.51500000000000001</v>
      </c>
      <c r="N796">
        <v>8.5000000000000006E-2</v>
      </c>
      <c r="O796" s="21">
        <f t="shared" si="439"/>
        <v>5.9511111111111124</v>
      </c>
      <c r="P796" s="21">
        <f t="shared" si="440"/>
        <v>4.9974074074074082</v>
      </c>
      <c r="Q796" s="23" t="str">
        <f t="shared" si="435"/>
        <v/>
      </c>
      <c r="R796" s="23">
        <f t="shared" si="436"/>
        <v>5.9511111111111124</v>
      </c>
      <c r="T796" t="str">
        <f t="shared" si="437"/>
        <v/>
      </c>
    </row>
    <row r="797" spans="1:20" x14ac:dyDescent="0.2">
      <c r="A797">
        <v>808</v>
      </c>
      <c r="B797" t="s">
        <v>264</v>
      </c>
      <c r="C797" t="s">
        <v>264</v>
      </c>
      <c r="D797" t="s">
        <v>24</v>
      </c>
      <c r="E797" t="s">
        <v>9</v>
      </c>
      <c r="G797" t="s">
        <v>14</v>
      </c>
      <c r="H797">
        <v>24</v>
      </c>
      <c r="I797">
        <v>28</v>
      </c>
      <c r="J797">
        <v>7.75</v>
      </c>
      <c r="K797">
        <v>4.54</v>
      </c>
      <c r="L797">
        <f t="shared" ref="L797:N797" si="458">L796</f>
        <v>0.7</v>
      </c>
      <c r="M797">
        <f t="shared" si="458"/>
        <v>0.51500000000000001</v>
      </c>
      <c r="N797">
        <f t="shared" si="458"/>
        <v>8.5000000000000006E-2</v>
      </c>
      <c r="O797" s="21">
        <f t="shared" si="439"/>
        <v>3.7112698412698415</v>
      </c>
      <c r="P797" s="21">
        <f t="shared" si="440"/>
        <v>4.2235449735449748</v>
      </c>
      <c r="Q797" s="23" t="str">
        <f t="shared" si="435"/>
        <v/>
      </c>
      <c r="R797" s="23">
        <f t="shared" si="436"/>
        <v>3.7112698412698415</v>
      </c>
      <c r="T797" t="str">
        <f t="shared" si="437"/>
        <v/>
      </c>
    </row>
    <row r="798" spans="1:20" x14ac:dyDescent="0.2">
      <c r="A798">
        <v>809</v>
      </c>
      <c r="B798" t="s">
        <v>265</v>
      </c>
      <c r="C798" t="s">
        <v>386</v>
      </c>
      <c r="D798" t="s">
        <v>24</v>
      </c>
      <c r="E798" t="s">
        <v>9</v>
      </c>
      <c r="G798" t="s">
        <v>10</v>
      </c>
      <c r="H798">
        <v>41</v>
      </c>
      <c r="I798">
        <v>57</v>
      </c>
      <c r="J798">
        <v>7.96</v>
      </c>
      <c r="K798">
        <v>9.07</v>
      </c>
      <c r="L798">
        <v>0.93</v>
      </c>
      <c r="M798">
        <v>0.56200000000000006</v>
      </c>
      <c r="N798">
        <v>0.11600000000000001</v>
      </c>
      <c r="O798" s="21">
        <f t="shared" si="439"/>
        <v>6.0900119474313028</v>
      </c>
      <c r="P798" s="21">
        <f t="shared" si="440"/>
        <v>3.5631381919553968</v>
      </c>
      <c r="Q798" s="23">
        <f t="shared" si="435"/>
        <v>6.0900119474313028</v>
      </c>
      <c r="R798" s="23" t="str">
        <f t="shared" si="436"/>
        <v/>
      </c>
      <c r="T798" t="str">
        <f t="shared" si="437"/>
        <v/>
      </c>
    </row>
    <row r="799" spans="1:20" x14ac:dyDescent="0.2">
      <c r="A799">
        <v>810</v>
      </c>
      <c r="B799" t="s">
        <v>265</v>
      </c>
      <c r="C799" t="s">
        <v>386</v>
      </c>
      <c r="D799" t="s">
        <v>24</v>
      </c>
      <c r="E799" t="s">
        <v>9</v>
      </c>
      <c r="G799" t="s">
        <v>11</v>
      </c>
      <c r="H799">
        <v>40</v>
      </c>
      <c r="I799">
        <v>43</v>
      </c>
      <c r="J799">
        <v>8.1</v>
      </c>
      <c r="K799">
        <v>8.7899999999999991</v>
      </c>
      <c r="L799">
        <f t="shared" ref="L799:N799" si="459">L798</f>
        <v>0.93</v>
      </c>
      <c r="M799">
        <f t="shared" si="459"/>
        <v>0.56200000000000006</v>
      </c>
      <c r="N799">
        <f t="shared" si="459"/>
        <v>0.11600000000000001</v>
      </c>
      <c r="O799" s="21">
        <f t="shared" si="439"/>
        <v>5.9020071684587814</v>
      </c>
      <c r="P799" s="21">
        <f t="shared" si="440"/>
        <v>3.6258064516129038</v>
      </c>
      <c r="Q799" s="23">
        <f t="shared" si="435"/>
        <v>5.9020071684587814</v>
      </c>
      <c r="R799" s="23" t="str">
        <f t="shared" si="436"/>
        <v/>
      </c>
      <c r="T799" t="str">
        <f t="shared" si="437"/>
        <v/>
      </c>
    </row>
    <row r="800" spans="1:20" x14ac:dyDescent="0.2">
      <c r="A800">
        <v>811</v>
      </c>
      <c r="B800" t="s">
        <v>265</v>
      </c>
      <c r="C800" t="s">
        <v>386</v>
      </c>
      <c r="D800" t="s">
        <v>24</v>
      </c>
      <c r="E800" t="s">
        <v>9</v>
      </c>
      <c r="G800" t="s">
        <v>12</v>
      </c>
      <c r="H800">
        <v>39</v>
      </c>
      <c r="I800">
        <v>41</v>
      </c>
      <c r="J800">
        <v>4.72</v>
      </c>
      <c r="K800">
        <v>6.74</v>
      </c>
      <c r="L800">
        <v>0.8</v>
      </c>
      <c r="M800">
        <v>0.56399999999999995</v>
      </c>
      <c r="N800">
        <v>8.3000000000000004E-2</v>
      </c>
      <c r="O800" s="21">
        <f t="shared" si="439"/>
        <v>5.2796666666666656</v>
      </c>
      <c r="P800" s="21">
        <f t="shared" si="440"/>
        <v>2.464888888888888</v>
      </c>
      <c r="Q800" s="23" t="str">
        <f t="shared" si="435"/>
        <v/>
      </c>
      <c r="R800" s="23">
        <f t="shared" si="436"/>
        <v>5.2796666666666656</v>
      </c>
      <c r="T800" t="str">
        <f t="shared" si="437"/>
        <v/>
      </c>
    </row>
    <row r="801" spans="1:20" x14ac:dyDescent="0.2">
      <c r="A801">
        <v>812</v>
      </c>
      <c r="B801" t="s">
        <v>265</v>
      </c>
      <c r="C801" t="s">
        <v>386</v>
      </c>
      <c r="D801" t="s">
        <v>24</v>
      </c>
      <c r="E801" t="s">
        <v>9</v>
      </c>
      <c r="G801" t="s">
        <v>14</v>
      </c>
      <c r="H801">
        <v>40</v>
      </c>
      <c r="I801">
        <v>37</v>
      </c>
      <c r="J801">
        <v>4.0599999999999996</v>
      </c>
      <c r="K801">
        <v>5.41</v>
      </c>
      <c r="L801">
        <f t="shared" ref="L801:N801" si="460">L800</f>
        <v>0.8</v>
      </c>
      <c r="M801">
        <f t="shared" si="460"/>
        <v>0.56399999999999995</v>
      </c>
      <c r="N801">
        <f t="shared" si="460"/>
        <v>8.3000000000000004E-2</v>
      </c>
      <c r="O801" s="21">
        <f t="shared" si="439"/>
        <v>4.2378333333333327</v>
      </c>
      <c r="P801" s="21">
        <f t="shared" si="440"/>
        <v>2.1202222222222216</v>
      </c>
      <c r="Q801" s="23" t="str">
        <f t="shared" si="435"/>
        <v/>
      </c>
      <c r="R801" s="23">
        <f t="shared" si="436"/>
        <v>4.2378333333333327</v>
      </c>
      <c r="T801" t="str">
        <f t="shared" si="437"/>
        <v/>
      </c>
    </row>
    <row r="802" spans="1:20" x14ac:dyDescent="0.2">
      <c r="A802">
        <v>813</v>
      </c>
      <c r="B802" s="12" t="s">
        <v>266</v>
      </c>
      <c r="C802" t="s">
        <v>266</v>
      </c>
      <c r="D802" s="12" t="s">
        <v>24</v>
      </c>
      <c r="E802" s="12" t="s">
        <v>17</v>
      </c>
      <c r="F802" s="12"/>
      <c r="G802" s="12">
        <v>1</v>
      </c>
      <c r="H802" s="12">
        <v>48</v>
      </c>
      <c r="I802" s="12">
        <v>53</v>
      </c>
      <c r="J802" s="12">
        <v>6.48</v>
      </c>
      <c r="K802" s="12">
        <v>7.1</v>
      </c>
      <c r="L802" s="12">
        <v>0.8</v>
      </c>
      <c r="M802" s="12">
        <v>0.57799999999999996</v>
      </c>
      <c r="N802" s="12">
        <v>0.127</v>
      </c>
      <c r="O802" s="21">
        <f t="shared" si="439"/>
        <v>5.6997222222222224</v>
      </c>
      <c r="P802" s="21">
        <f t="shared" si="440"/>
        <v>3.4679999999999995</v>
      </c>
      <c r="Q802" s="23" t="str">
        <f t="shared" si="435"/>
        <v/>
      </c>
      <c r="R802" s="23" t="str">
        <f t="shared" si="436"/>
        <v/>
      </c>
      <c r="T802" t="str">
        <f t="shared" si="437"/>
        <v/>
      </c>
    </row>
    <row r="803" spans="1:20" x14ac:dyDescent="0.2">
      <c r="A803">
        <v>814</v>
      </c>
      <c r="B803" s="12" t="s">
        <v>266</v>
      </c>
      <c r="C803" t="s">
        <v>266</v>
      </c>
      <c r="D803" s="12" t="s">
        <v>24</v>
      </c>
      <c r="E803" s="12" t="s">
        <v>17</v>
      </c>
      <c r="F803" s="12"/>
      <c r="G803" s="12">
        <v>2</v>
      </c>
      <c r="H803" s="12">
        <v>37</v>
      </c>
      <c r="I803" s="12">
        <v>40</v>
      </c>
      <c r="J803" s="12">
        <v>4.32</v>
      </c>
      <c r="K803" s="12">
        <v>5.13</v>
      </c>
      <c r="L803" s="12">
        <f t="shared" ref="L803:N803" si="461">L802</f>
        <v>0.8</v>
      </c>
      <c r="M803" s="12">
        <f t="shared" si="461"/>
        <v>0.57799999999999996</v>
      </c>
      <c r="N803">
        <f t="shared" si="461"/>
        <v>0.127</v>
      </c>
      <c r="O803" s="21">
        <f t="shared" si="439"/>
        <v>4.1182499999999997</v>
      </c>
      <c r="P803" s="21">
        <f t="shared" si="440"/>
        <v>2.3119999999999994</v>
      </c>
      <c r="Q803" s="23" t="str">
        <f t="shared" si="435"/>
        <v/>
      </c>
      <c r="R803" s="23" t="str">
        <f t="shared" si="436"/>
        <v/>
      </c>
      <c r="T803" t="str">
        <f t="shared" si="437"/>
        <v/>
      </c>
    </row>
    <row r="804" spans="1:20" x14ac:dyDescent="0.2">
      <c r="A804">
        <v>815</v>
      </c>
      <c r="B804" t="s">
        <v>267</v>
      </c>
      <c r="C804" t="s">
        <v>387</v>
      </c>
      <c r="D804" t="s">
        <v>24</v>
      </c>
      <c r="E804" t="s">
        <v>9</v>
      </c>
      <c r="G804" t="s">
        <v>10</v>
      </c>
      <c r="H804">
        <v>33</v>
      </c>
      <c r="I804">
        <v>30</v>
      </c>
      <c r="J804">
        <v>4.46</v>
      </c>
      <c r="K804">
        <v>3.76</v>
      </c>
      <c r="L804">
        <v>0.99</v>
      </c>
      <c r="M804">
        <v>0.59799999999999998</v>
      </c>
      <c r="N804">
        <v>0.11700000000000001</v>
      </c>
      <c r="O804" s="21">
        <f t="shared" si="439"/>
        <v>2.5235465768799101</v>
      </c>
      <c r="P804" s="21">
        <f t="shared" si="440"/>
        <v>1.9955705200149647</v>
      </c>
      <c r="Q804" s="23">
        <f t="shared" si="435"/>
        <v>2.5235465768799101</v>
      </c>
      <c r="R804" s="23" t="str">
        <f t="shared" si="436"/>
        <v/>
      </c>
      <c r="T804" t="str">
        <f t="shared" si="437"/>
        <v/>
      </c>
    </row>
    <row r="805" spans="1:20" x14ac:dyDescent="0.2">
      <c r="A805">
        <v>816</v>
      </c>
      <c r="B805" t="s">
        <v>267</v>
      </c>
      <c r="C805" t="s">
        <v>387</v>
      </c>
      <c r="D805" t="s">
        <v>24</v>
      </c>
      <c r="E805" t="s">
        <v>9</v>
      </c>
      <c r="G805" t="s">
        <v>11</v>
      </c>
      <c r="H805">
        <v>32</v>
      </c>
      <c r="I805">
        <v>35</v>
      </c>
      <c r="J805">
        <v>7.03</v>
      </c>
      <c r="K805">
        <v>5.12</v>
      </c>
      <c r="L805">
        <f t="shared" ref="L805:N805" si="462">L804</f>
        <v>0.99</v>
      </c>
      <c r="M805">
        <f t="shared" si="462"/>
        <v>0.59799999999999998</v>
      </c>
      <c r="N805">
        <f t="shared" si="462"/>
        <v>0.11700000000000001</v>
      </c>
      <c r="O805" s="21">
        <f t="shared" si="439"/>
        <v>3.4363187429854096</v>
      </c>
      <c r="P805" s="21">
        <f t="shared" si="440"/>
        <v>3.1454844743733634</v>
      </c>
      <c r="Q805" s="23">
        <f t="shared" si="435"/>
        <v>3.4363187429854096</v>
      </c>
      <c r="R805" s="23" t="str">
        <f t="shared" si="436"/>
        <v/>
      </c>
      <c r="T805" t="str">
        <f t="shared" si="437"/>
        <v/>
      </c>
    </row>
    <row r="806" spans="1:20" x14ac:dyDescent="0.2">
      <c r="A806">
        <v>817</v>
      </c>
      <c r="B806" t="s">
        <v>267</v>
      </c>
      <c r="C806" t="s">
        <v>387</v>
      </c>
      <c r="D806" t="s">
        <v>24</v>
      </c>
      <c r="E806" t="s">
        <v>9</v>
      </c>
      <c r="G806" t="s">
        <v>12</v>
      </c>
      <c r="H806">
        <v>35</v>
      </c>
      <c r="I806">
        <v>35</v>
      </c>
      <c r="J806">
        <v>3.37</v>
      </c>
      <c r="K806">
        <v>5.55</v>
      </c>
      <c r="L806">
        <v>0.72</v>
      </c>
      <c r="M806">
        <v>0.54800000000000004</v>
      </c>
      <c r="N806">
        <v>8.5000000000000006E-2</v>
      </c>
      <c r="O806" s="21">
        <f t="shared" si="439"/>
        <v>4.6935185185185189</v>
      </c>
      <c r="P806" s="21">
        <f t="shared" si="440"/>
        <v>1.8999588477366258</v>
      </c>
      <c r="Q806" s="23" t="str">
        <f t="shared" si="435"/>
        <v/>
      </c>
      <c r="R806" s="23">
        <f t="shared" si="436"/>
        <v>4.6935185185185189</v>
      </c>
      <c r="T806" t="str">
        <f t="shared" si="437"/>
        <v/>
      </c>
    </row>
    <row r="807" spans="1:20" x14ac:dyDescent="0.2">
      <c r="A807">
        <v>818</v>
      </c>
      <c r="B807" t="s">
        <v>267</v>
      </c>
      <c r="C807" t="s">
        <v>387</v>
      </c>
      <c r="D807" t="s">
        <v>24</v>
      </c>
      <c r="E807" t="s">
        <v>9</v>
      </c>
      <c r="G807" t="s">
        <v>14</v>
      </c>
      <c r="H807">
        <v>38</v>
      </c>
      <c r="I807">
        <v>39</v>
      </c>
      <c r="J807">
        <v>3.59</v>
      </c>
      <c r="K807">
        <v>5.39</v>
      </c>
      <c r="L807">
        <f t="shared" ref="L807:N807" si="463">L806</f>
        <v>0.72</v>
      </c>
      <c r="M807">
        <f t="shared" si="463"/>
        <v>0.54800000000000004</v>
      </c>
      <c r="N807">
        <f t="shared" si="463"/>
        <v>8.5000000000000006E-2</v>
      </c>
      <c r="O807" s="21">
        <f t="shared" si="439"/>
        <v>4.5582098765432102</v>
      </c>
      <c r="P807" s="21">
        <f t="shared" si="440"/>
        <v>2.0239917695473251</v>
      </c>
      <c r="Q807" s="23" t="str">
        <f t="shared" si="435"/>
        <v/>
      </c>
      <c r="R807" s="23">
        <f t="shared" si="436"/>
        <v>4.5582098765432102</v>
      </c>
      <c r="T807" t="str">
        <f t="shared" si="437"/>
        <v/>
      </c>
    </row>
    <row r="808" spans="1:20" x14ac:dyDescent="0.2">
      <c r="A808">
        <v>819</v>
      </c>
      <c r="B808" t="s">
        <v>268</v>
      </c>
      <c r="C808" s="18" t="s">
        <v>388</v>
      </c>
      <c r="D808" t="s">
        <v>24</v>
      </c>
      <c r="E808" t="s">
        <v>9</v>
      </c>
      <c r="G808" t="s">
        <v>10</v>
      </c>
      <c r="H808">
        <v>32</v>
      </c>
      <c r="I808">
        <v>36</v>
      </c>
      <c r="J808">
        <v>8.86</v>
      </c>
      <c r="K808">
        <v>6.23</v>
      </c>
      <c r="L808">
        <v>0.95</v>
      </c>
      <c r="M808">
        <v>0.59</v>
      </c>
      <c r="N808">
        <v>9.2999999999999999E-2</v>
      </c>
      <c r="O808" s="21">
        <f t="shared" si="439"/>
        <v>4.2990643274853815</v>
      </c>
      <c r="P808" s="21">
        <f t="shared" si="440"/>
        <v>4.0759454191033138</v>
      </c>
      <c r="Q808" s="23">
        <f t="shared" si="435"/>
        <v>4.2990643274853815</v>
      </c>
      <c r="R808" s="23" t="str">
        <f t="shared" si="436"/>
        <v/>
      </c>
      <c r="T808" t="str">
        <f t="shared" si="437"/>
        <v/>
      </c>
    </row>
    <row r="809" spans="1:20" x14ac:dyDescent="0.2">
      <c r="A809">
        <v>820</v>
      </c>
      <c r="B809" t="s">
        <v>268</v>
      </c>
      <c r="C809" s="18" t="s">
        <v>388</v>
      </c>
      <c r="D809" t="s">
        <v>24</v>
      </c>
      <c r="E809" t="s">
        <v>9</v>
      </c>
      <c r="G809" t="s">
        <v>11</v>
      </c>
      <c r="H809">
        <v>34</v>
      </c>
      <c r="I809">
        <v>37</v>
      </c>
      <c r="J809">
        <v>5.99</v>
      </c>
      <c r="K809">
        <v>4.91</v>
      </c>
      <c r="L809">
        <f t="shared" ref="L809:N809" si="464">L808</f>
        <v>0.95</v>
      </c>
      <c r="M809">
        <f t="shared" si="464"/>
        <v>0.59</v>
      </c>
      <c r="N809">
        <f t="shared" si="464"/>
        <v>9.2999999999999999E-2</v>
      </c>
      <c r="O809" s="21">
        <f t="shared" si="439"/>
        <v>3.3881871345029242</v>
      </c>
      <c r="P809" s="21">
        <f t="shared" si="440"/>
        <v>2.7556335282651072</v>
      </c>
      <c r="Q809" s="23">
        <f t="shared" si="435"/>
        <v>3.3881871345029242</v>
      </c>
      <c r="R809" s="23" t="str">
        <f t="shared" si="436"/>
        <v/>
      </c>
      <c r="T809" t="str">
        <f t="shared" si="437"/>
        <v/>
      </c>
    </row>
    <row r="810" spans="1:20" x14ac:dyDescent="0.2">
      <c r="A810">
        <v>821</v>
      </c>
      <c r="B810" t="s">
        <v>268</v>
      </c>
      <c r="C810" s="18" t="s">
        <v>388</v>
      </c>
      <c r="D810" t="s">
        <v>24</v>
      </c>
      <c r="E810" t="s">
        <v>9</v>
      </c>
      <c r="G810" t="s">
        <v>12</v>
      </c>
      <c r="H810">
        <v>40</v>
      </c>
      <c r="I810">
        <v>39</v>
      </c>
      <c r="J810">
        <v>11.07</v>
      </c>
      <c r="K810">
        <v>7.77</v>
      </c>
      <c r="L810">
        <v>1.07</v>
      </c>
      <c r="M810">
        <v>0.53300000000000003</v>
      </c>
      <c r="N810">
        <v>9.6000000000000002E-2</v>
      </c>
      <c r="O810" s="21">
        <f t="shared" si="439"/>
        <v>4.3005295950155764</v>
      </c>
      <c r="P810" s="21">
        <f t="shared" si="440"/>
        <v>4.0846728971962616</v>
      </c>
      <c r="Q810" s="23" t="str">
        <f t="shared" si="435"/>
        <v/>
      </c>
      <c r="R810" s="23">
        <f t="shared" si="436"/>
        <v>4.3005295950155764</v>
      </c>
      <c r="T810" t="str">
        <f t="shared" si="437"/>
        <v/>
      </c>
    </row>
    <row r="811" spans="1:20" x14ac:dyDescent="0.2">
      <c r="A811">
        <v>822</v>
      </c>
      <c r="B811" t="s">
        <v>268</v>
      </c>
      <c r="C811" s="18" t="s">
        <v>388</v>
      </c>
      <c r="D811" t="s">
        <v>24</v>
      </c>
      <c r="E811" t="s">
        <v>9</v>
      </c>
      <c r="G811" t="s">
        <v>14</v>
      </c>
      <c r="H811">
        <v>34</v>
      </c>
      <c r="I811">
        <v>33</v>
      </c>
      <c r="J811">
        <v>9.4</v>
      </c>
      <c r="K811">
        <v>5.28</v>
      </c>
      <c r="L811">
        <f t="shared" ref="L811:N811" si="465">L810</f>
        <v>1.07</v>
      </c>
      <c r="M811">
        <f t="shared" si="465"/>
        <v>0.53300000000000003</v>
      </c>
      <c r="N811">
        <f t="shared" si="465"/>
        <v>9.6000000000000002E-2</v>
      </c>
      <c r="O811" s="21">
        <f t="shared" si="439"/>
        <v>2.9223676012461062</v>
      </c>
      <c r="P811" s="21">
        <f t="shared" si="440"/>
        <v>3.4684665974385602</v>
      </c>
      <c r="Q811" s="23" t="str">
        <f t="shared" si="435"/>
        <v/>
      </c>
      <c r="R811" s="23">
        <f t="shared" si="436"/>
        <v>2.9223676012461062</v>
      </c>
      <c r="T811" t="str">
        <f t="shared" si="437"/>
        <v/>
      </c>
    </row>
    <row r="812" spans="1:20" x14ac:dyDescent="0.2">
      <c r="A812">
        <v>823</v>
      </c>
      <c r="B812" t="s">
        <v>269</v>
      </c>
      <c r="C812" t="s">
        <v>269</v>
      </c>
      <c r="D812" t="s">
        <v>24</v>
      </c>
      <c r="E812" t="s">
        <v>9</v>
      </c>
      <c r="G812" t="s">
        <v>10</v>
      </c>
      <c r="H812">
        <v>48</v>
      </c>
      <c r="I812">
        <v>52</v>
      </c>
      <c r="J812">
        <v>6.29</v>
      </c>
      <c r="K812">
        <v>6.98</v>
      </c>
      <c r="L812">
        <v>0.82</v>
      </c>
      <c r="M812">
        <v>0.56100000000000005</v>
      </c>
      <c r="N812">
        <v>0.11799999999999999</v>
      </c>
      <c r="O812" s="21">
        <f t="shared" si="439"/>
        <v>5.3059349593495941</v>
      </c>
      <c r="P812" s="21">
        <f t="shared" si="440"/>
        <v>3.1876151761517622</v>
      </c>
      <c r="Q812" s="23">
        <f t="shared" si="435"/>
        <v>5.3059349593495941</v>
      </c>
      <c r="R812" s="23" t="str">
        <f t="shared" si="436"/>
        <v/>
      </c>
      <c r="T812" t="str">
        <f t="shared" si="437"/>
        <v/>
      </c>
    </row>
    <row r="813" spans="1:20" x14ac:dyDescent="0.2">
      <c r="A813">
        <v>824</v>
      </c>
      <c r="B813" t="s">
        <v>269</v>
      </c>
      <c r="C813" t="s">
        <v>269</v>
      </c>
      <c r="D813" t="s">
        <v>24</v>
      </c>
      <c r="E813" t="s">
        <v>9</v>
      </c>
      <c r="G813" t="s">
        <v>11</v>
      </c>
      <c r="H813">
        <v>49</v>
      </c>
      <c r="I813">
        <v>48</v>
      </c>
      <c r="J813">
        <v>5.64</v>
      </c>
      <c r="K813">
        <v>6.76</v>
      </c>
      <c r="L813">
        <f t="shared" ref="L813:N813" si="466">L812</f>
        <v>0.82</v>
      </c>
      <c r="M813">
        <f t="shared" si="466"/>
        <v>0.56100000000000005</v>
      </c>
      <c r="N813">
        <f t="shared" si="466"/>
        <v>0.11799999999999999</v>
      </c>
      <c r="O813" s="21">
        <f t="shared" si="439"/>
        <v>5.1386991869918708</v>
      </c>
      <c r="P813" s="21">
        <f t="shared" si="440"/>
        <v>2.8582113821138213</v>
      </c>
      <c r="Q813" s="23">
        <f t="shared" si="435"/>
        <v>5.1386991869918708</v>
      </c>
      <c r="R813" s="23" t="str">
        <f t="shared" si="436"/>
        <v/>
      </c>
      <c r="T813" t="str">
        <f t="shared" si="437"/>
        <v/>
      </c>
    </row>
    <row r="814" spans="1:20" x14ac:dyDescent="0.2">
      <c r="A814">
        <v>825</v>
      </c>
      <c r="B814" t="s">
        <v>269</v>
      </c>
      <c r="C814" t="s">
        <v>269</v>
      </c>
      <c r="D814" t="s">
        <v>24</v>
      </c>
      <c r="E814" t="s">
        <v>9</v>
      </c>
      <c r="G814" t="s">
        <v>12</v>
      </c>
      <c r="H814">
        <v>34</v>
      </c>
      <c r="I814">
        <v>33</v>
      </c>
      <c r="J814">
        <v>3.15</v>
      </c>
      <c r="K814">
        <v>3.45</v>
      </c>
      <c r="L814">
        <v>0.56999999999999995</v>
      </c>
      <c r="M814">
        <v>0.40799999999999997</v>
      </c>
      <c r="N814">
        <v>8.4000000000000005E-2</v>
      </c>
      <c r="O814" s="21">
        <f t="shared" si="439"/>
        <v>2.7438596491228071</v>
      </c>
      <c r="P814" s="21">
        <f t="shared" si="440"/>
        <v>1.6701754385964913</v>
      </c>
      <c r="Q814" s="23" t="str">
        <f t="shared" si="435"/>
        <v/>
      </c>
      <c r="R814" s="23">
        <f t="shared" si="436"/>
        <v>2.7438596491228071</v>
      </c>
      <c r="T814" t="str">
        <f t="shared" si="437"/>
        <v/>
      </c>
    </row>
    <row r="815" spans="1:20" x14ac:dyDescent="0.2">
      <c r="A815">
        <v>826</v>
      </c>
      <c r="B815" t="s">
        <v>269</v>
      </c>
      <c r="C815" t="s">
        <v>269</v>
      </c>
      <c r="D815" t="s">
        <v>24</v>
      </c>
      <c r="E815" t="s">
        <v>9</v>
      </c>
      <c r="G815" t="s">
        <v>14</v>
      </c>
      <c r="H815">
        <v>46</v>
      </c>
      <c r="I815">
        <v>37</v>
      </c>
      <c r="J815">
        <v>2.19</v>
      </c>
      <c r="K815">
        <v>1.65</v>
      </c>
      <c r="L815">
        <f t="shared" ref="L815:N815" si="467">L814</f>
        <v>0.56999999999999995</v>
      </c>
      <c r="M815">
        <f t="shared" si="467"/>
        <v>0.40799999999999997</v>
      </c>
      <c r="N815">
        <f t="shared" si="467"/>
        <v>8.4000000000000005E-2</v>
      </c>
      <c r="O815" s="21">
        <f t="shared" si="439"/>
        <v>1.312280701754386</v>
      </c>
      <c r="P815" s="21">
        <f t="shared" si="440"/>
        <v>1.1611695906432749</v>
      </c>
      <c r="Q815" s="23" t="str">
        <f t="shared" si="435"/>
        <v/>
      </c>
      <c r="R815" s="23">
        <f t="shared" si="436"/>
        <v>1.312280701754386</v>
      </c>
      <c r="T815" t="str">
        <f t="shared" si="437"/>
        <v/>
      </c>
    </row>
    <row r="816" spans="1:20" x14ac:dyDescent="0.2">
      <c r="A816">
        <v>827</v>
      </c>
      <c r="B816" t="s">
        <v>270</v>
      </c>
      <c r="C816" t="s">
        <v>270</v>
      </c>
      <c r="D816" t="s">
        <v>24</v>
      </c>
      <c r="E816" t="s">
        <v>9</v>
      </c>
      <c r="G816" t="s">
        <v>10</v>
      </c>
      <c r="H816">
        <v>44</v>
      </c>
      <c r="I816">
        <v>47</v>
      </c>
      <c r="J816">
        <v>5.14</v>
      </c>
      <c r="K816">
        <v>7.01</v>
      </c>
      <c r="L816">
        <v>0.91</v>
      </c>
      <c r="M816">
        <v>0.66300000000000003</v>
      </c>
      <c r="N816">
        <v>0.11799999999999999</v>
      </c>
      <c r="O816" s="21">
        <f t="shared" si="439"/>
        <v>5.6747619047619047</v>
      </c>
      <c r="P816" s="21">
        <f t="shared" si="440"/>
        <v>2.7739682539682544</v>
      </c>
      <c r="Q816" s="23">
        <f t="shared" si="435"/>
        <v>5.6747619047619047</v>
      </c>
      <c r="R816" s="23" t="str">
        <f t="shared" si="436"/>
        <v/>
      </c>
      <c r="T816" t="str">
        <f t="shared" si="437"/>
        <v/>
      </c>
    </row>
    <row r="817" spans="1:20" x14ac:dyDescent="0.2">
      <c r="A817">
        <v>828</v>
      </c>
      <c r="B817" t="s">
        <v>270</v>
      </c>
      <c r="C817" t="s">
        <v>270</v>
      </c>
      <c r="D817" t="s">
        <v>24</v>
      </c>
      <c r="E817" t="s">
        <v>9</v>
      </c>
      <c r="G817" t="s">
        <v>11</v>
      </c>
      <c r="H817">
        <v>30</v>
      </c>
      <c r="I817">
        <v>30</v>
      </c>
      <c r="J817">
        <v>3.43</v>
      </c>
      <c r="K817">
        <v>5.21</v>
      </c>
      <c r="L817">
        <f t="shared" ref="L817:N817" si="468">L816</f>
        <v>0.91</v>
      </c>
      <c r="M817">
        <f t="shared" si="468"/>
        <v>0.66300000000000003</v>
      </c>
      <c r="N817">
        <f t="shared" si="468"/>
        <v>0.11799999999999999</v>
      </c>
      <c r="O817" s="21">
        <f t="shared" si="439"/>
        <v>4.2176190476190474</v>
      </c>
      <c r="P817" s="21">
        <f t="shared" si="440"/>
        <v>1.8511111111111114</v>
      </c>
      <c r="Q817" s="23">
        <f t="shared" si="435"/>
        <v>4.2176190476190474</v>
      </c>
      <c r="R817" s="23" t="str">
        <f t="shared" si="436"/>
        <v/>
      </c>
      <c r="T817" t="str">
        <f t="shared" si="437"/>
        <v/>
      </c>
    </row>
    <row r="818" spans="1:20" x14ac:dyDescent="0.2">
      <c r="A818">
        <v>829</v>
      </c>
      <c r="B818" t="s">
        <v>270</v>
      </c>
      <c r="C818" t="s">
        <v>270</v>
      </c>
      <c r="D818" t="s">
        <v>24</v>
      </c>
      <c r="E818" t="s">
        <v>9</v>
      </c>
      <c r="G818" t="s">
        <v>12</v>
      </c>
      <c r="H818">
        <v>37</v>
      </c>
      <c r="I818">
        <v>37</v>
      </c>
      <c r="J818">
        <v>4.17</v>
      </c>
      <c r="K818">
        <v>5.46</v>
      </c>
      <c r="L818">
        <v>0.81</v>
      </c>
      <c r="M818">
        <v>0.56000000000000005</v>
      </c>
      <c r="N818">
        <v>7.0000000000000007E-2</v>
      </c>
      <c r="O818" s="21">
        <f t="shared" si="439"/>
        <v>4.1942386831275726</v>
      </c>
      <c r="P818" s="21">
        <f t="shared" si="440"/>
        <v>2.1355281207133059</v>
      </c>
      <c r="Q818" s="23" t="str">
        <f t="shared" si="435"/>
        <v/>
      </c>
      <c r="R818" s="23">
        <f t="shared" si="436"/>
        <v>4.1942386831275726</v>
      </c>
      <c r="T818" t="str">
        <f t="shared" si="437"/>
        <v/>
      </c>
    </row>
    <row r="819" spans="1:20" x14ac:dyDescent="0.2">
      <c r="A819">
        <v>830</v>
      </c>
      <c r="B819" t="s">
        <v>270</v>
      </c>
      <c r="C819" t="s">
        <v>270</v>
      </c>
      <c r="D819" t="s">
        <v>24</v>
      </c>
      <c r="E819" t="s">
        <v>9</v>
      </c>
      <c r="G819" t="s">
        <v>14</v>
      </c>
      <c r="H819">
        <v>27</v>
      </c>
      <c r="I819">
        <v>28</v>
      </c>
      <c r="J819">
        <v>3.98</v>
      </c>
      <c r="K819">
        <v>4.96</v>
      </c>
      <c r="L819">
        <f t="shared" ref="L819:N819" si="469">L818</f>
        <v>0.81</v>
      </c>
      <c r="M819">
        <f t="shared" si="469"/>
        <v>0.56000000000000005</v>
      </c>
      <c r="N819">
        <f t="shared" si="469"/>
        <v>7.0000000000000007E-2</v>
      </c>
      <c r="O819" s="21">
        <f t="shared" si="439"/>
        <v>3.8101508916323734</v>
      </c>
      <c r="P819" s="21">
        <f t="shared" si="440"/>
        <v>2.038225880201189</v>
      </c>
      <c r="Q819" s="23" t="str">
        <f t="shared" si="435"/>
        <v/>
      </c>
      <c r="R819" s="23">
        <f t="shared" si="436"/>
        <v>3.8101508916323734</v>
      </c>
      <c r="T819" t="str">
        <f t="shared" si="437"/>
        <v/>
      </c>
    </row>
    <row r="820" spans="1:20" x14ac:dyDescent="0.2">
      <c r="A820">
        <v>831</v>
      </c>
      <c r="B820" s="12" t="s">
        <v>271</v>
      </c>
      <c r="C820" t="s">
        <v>389</v>
      </c>
      <c r="D820" s="12" t="s">
        <v>24</v>
      </c>
      <c r="E820" s="12" t="s">
        <v>17</v>
      </c>
      <c r="F820" s="12"/>
      <c r="G820" s="12">
        <v>1</v>
      </c>
      <c r="H820" s="12">
        <v>57</v>
      </c>
      <c r="I820" s="12">
        <v>34</v>
      </c>
      <c r="J820" s="12">
        <v>3.1</v>
      </c>
      <c r="K820" s="12">
        <v>1.01</v>
      </c>
      <c r="L820" s="12">
        <v>0.34</v>
      </c>
      <c r="M820" s="12">
        <v>0.184</v>
      </c>
      <c r="N820" s="12">
        <v>0.12</v>
      </c>
      <c r="O820" s="21">
        <f t="shared" si="439"/>
        <v>0.60732026143790852</v>
      </c>
      <c r="P820" s="21">
        <f t="shared" si="440"/>
        <v>1.2427015250544662</v>
      </c>
      <c r="Q820" s="23" t="str">
        <f t="shared" si="435"/>
        <v/>
      </c>
      <c r="R820" s="23" t="str">
        <f t="shared" si="436"/>
        <v/>
      </c>
      <c r="T820" t="str">
        <f t="shared" si="437"/>
        <v/>
      </c>
    </row>
    <row r="821" spans="1:20" x14ac:dyDescent="0.2">
      <c r="A821">
        <v>832</v>
      </c>
      <c r="B821" s="12" t="s">
        <v>271</v>
      </c>
      <c r="C821" t="s">
        <v>389</v>
      </c>
      <c r="D821" s="12" t="s">
        <v>24</v>
      </c>
      <c r="E821" s="12" t="s">
        <v>17</v>
      </c>
      <c r="F821" s="12"/>
      <c r="G821" s="12">
        <v>2</v>
      </c>
      <c r="H821" s="12">
        <v>33</v>
      </c>
      <c r="I821" s="12">
        <v>16</v>
      </c>
      <c r="J821" s="12">
        <v>2.13</v>
      </c>
      <c r="K821" s="12">
        <v>0.56000000000000005</v>
      </c>
      <c r="L821" s="12">
        <v>0.34</v>
      </c>
      <c r="M821" s="12">
        <v>0.184</v>
      </c>
      <c r="N821" s="12">
        <v>0.12</v>
      </c>
      <c r="O821" s="21">
        <f t="shared" si="439"/>
        <v>0.33673202614379089</v>
      </c>
      <c r="P821" s="21">
        <f t="shared" si="440"/>
        <v>0.85385620915032667</v>
      </c>
      <c r="Q821" s="23" t="str">
        <f t="shared" si="435"/>
        <v/>
      </c>
      <c r="R821" s="23" t="str">
        <f t="shared" si="436"/>
        <v/>
      </c>
      <c r="T821" t="str">
        <f t="shared" si="437"/>
        <v/>
      </c>
    </row>
    <row r="822" spans="1:20" x14ac:dyDescent="0.2">
      <c r="A822">
        <v>833</v>
      </c>
      <c r="B822" t="s">
        <v>272</v>
      </c>
      <c r="C822" t="s">
        <v>272</v>
      </c>
      <c r="D822" t="s">
        <v>24</v>
      </c>
      <c r="E822" t="s">
        <v>9</v>
      </c>
      <c r="G822" t="s">
        <v>10</v>
      </c>
      <c r="H822">
        <v>30</v>
      </c>
      <c r="I822">
        <v>26</v>
      </c>
      <c r="J822">
        <v>3.7</v>
      </c>
      <c r="K822">
        <v>3.96</v>
      </c>
      <c r="L822">
        <v>0.6</v>
      </c>
      <c r="M822">
        <v>0.53400000000000003</v>
      </c>
      <c r="N822">
        <v>8.6999999999999994E-2</v>
      </c>
      <c r="O822" s="21">
        <f t="shared" si="439"/>
        <v>3.9160000000000008</v>
      </c>
      <c r="P822" s="21">
        <f t="shared" si="440"/>
        <v>2.4392592592592597</v>
      </c>
      <c r="Q822" s="23">
        <f t="shared" si="435"/>
        <v>3.9160000000000008</v>
      </c>
      <c r="R822" s="23" t="str">
        <f t="shared" si="436"/>
        <v/>
      </c>
      <c r="T822" t="str">
        <f t="shared" si="437"/>
        <v/>
      </c>
    </row>
    <row r="823" spans="1:20" x14ac:dyDescent="0.2">
      <c r="A823">
        <v>834</v>
      </c>
      <c r="B823" t="s">
        <v>272</v>
      </c>
      <c r="C823" t="s">
        <v>272</v>
      </c>
      <c r="D823" t="s">
        <v>24</v>
      </c>
      <c r="E823" t="s">
        <v>9</v>
      </c>
      <c r="G823" t="s">
        <v>11</v>
      </c>
      <c r="H823">
        <v>28</v>
      </c>
      <c r="I823">
        <v>25</v>
      </c>
      <c r="J823">
        <v>3.25</v>
      </c>
      <c r="K823">
        <v>4.32</v>
      </c>
      <c r="L823">
        <v>0.6</v>
      </c>
      <c r="M823">
        <v>0.53400000000000003</v>
      </c>
      <c r="N823">
        <v>8.6999999999999994E-2</v>
      </c>
      <c r="O823" s="21">
        <f t="shared" si="439"/>
        <v>4.2720000000000011</v>
      </c>
      <c r="P823" s="21">
        <f t="shared" si="440"/>
        <v>2.1425925925925928</v>
      </c>
      <c r="Q823" s="23">
        <f t="shared" ref="Q823:Q886" si="470">IF(LEFT(G823,7)="IMPROVE",O823,"")</f>
        <v>4.2720000000000011</v>
      </c>
      <c r="R823" s="23" t="str">
        <f t="shared" ref="R823:R886" si="471">IF(LEFT(G823,7)="FARMER ",O823,"")</f>
        <v/>
      </c>
      <c r="T823" t="str">
        <f t="shared" ref="T823:T886" si="472">IF(O823&gt;14,"VVVVVVVV","")</f>
        <v/>
      </c>
    </row>
    <row r="824" spans="1:20" x14ac:dyDescent="0.2">
      <c r="A824">
        <v>835</v>
      </c>
      <c r="B824" t="s">
        <v>272</v>
      </c>
      <c r="C824" t="s">
        <v>272</v>
      </c>
      <c r="D824" t="s">
        <v>24</v>
      </c>
      <c r="E824" t="s">
        <v>9</v>
      </c>
      <c r="G824" t="s">
        <v>12</v>
      </c>
      <c r="H824">
        <v>31</v>
      </c>
      <c r="I824">
        <v>28</v>
      </c>
      <c r="J824">
        <v>6.57</v>
      </c>
      <c r="K824">
        <v>6.14</v>
      </c>
      <c r="L824">
        <v>1.1200000000000001</v>
      </c>
      <c r="M824">
        <v>0.73899999999999999</v>
      </c>
      <c r="N824">
        <v>9.7000000000000003E-2</v>
      </c>
      <c r="O824" s="21">
        <f t="shared" si="439"/>
        <v>4.5014484126984113</v>
      </c>
      <c r="P824" s="21">
        <f t="shared" si="440"/>
        <v>3.2111309523809521</v>
      </c>
      <c r="Q824" s="23" t="str">
        <f t="shared" si="470"/>
        <v/>
      </c>
      <c r="R824" s="23">
        <f t="shared" si="471"/>
        <v>4.5014484126984113</v>
      </c>
      <c r="T824" t="str">
        <f t="shared" si="472"/>
        <v/>
      </c>
    </row>
    <row r="825" spans="1:20" x14ac:dyDescent="0.2">
      <c r="A825">
        <v>836</v>
      </c>
      <c r="B825" t="s">
        <v>272</v>
      </c>
      <c r="C825" t="s">
        <v>272</v>
      </c>
      <c r="D825" t="s">
        <v>24</v>
      </c>
      <c r="E825" t="s">
        <v>9</v>
      </c>
      <c r="G825" t="s">
        <v>14</v>
      </c>
      <c r="H825">
        <v>34</v>
      </c>
      <c r="I825">
        <v>33</v>
      </c>
      <c r="J825">
        <v>7.66</v>
      </c>
      <c r="K825">
        <v>6.54</v>
      </c>
      <c r="L825">
        <v>1.1200000000000001</v>
      </c>
      <c r="M825">
        <v>0.73899999999999999</v>
      </c>
      <c r="N825">
        <v>9.7000000000000003E-2</v>
      </c>
      <c r="O825" s="21">
        <f t="shared" si="439"/>
        <v>4.7947023809523799</v>
      </c>
      <c r="P825" s="21">
        <f t="shared" si="440"/>
        <v>3.743875661375661</v>
      </c>
      <c r="Q825" s="23" t="str">
        <f t="shared" si="470"/>
        <v/>
      </c>
      <c r="R825" s="23">
        <f t="shared" si="471"/>
        <v>4.7947023809523799</v>
      </c>
      <c r="T825" t="str">
        <f t="shared" si="472"/>
        <v/>
      </c>
    </row>
    <row r="826" spans="1:20" x14ac:dyDescent="0.2">
      <c r="A826">
        <v>837</v>
      </c>
      <c r="B826" t="s">
        <v>273</v>
      </c>
      <c r="C826" t="s">
        <v>390</v>
      </c>
      <c r="D826" t="s">
        <v>24</v>
      </c>
      <c r="E826" t="s">
        <v>9</v>
      </c>
      <c r="G826" t="s">
        <v>10</v>
      </c>
      <c r="H826">
        <v>42</v>
      </c>
      <c r="I826">
        <v>41</v>
      </c>
      <c r="J826">
        <v>9.59</v>
      </c>
      <c r="K826">
        <v>5.52</v>
      </c>
      <c r="L826">
        <v>0.82</v>
      </c>
      <c r="M826">
        <v>0.48499999999999999</v>
      </c>
      <c r="N826">
        <v>7.0999999999999994E-2</v>
      </c>
      <c r="O826" s="21">
        <f t="shared" ref="O826:O889" si="473">K826*(M826/L826)*(10/9)</f>
        <v>3.627642276422764</v>
      </c>
      <c r="P826" s="21">
        <f t="shared" ref="P826:P889" si="474">J826*(M826/(L826*1.5))*(10/9)</f>
        <v>4.2015808491418252</v>
      </c>
      <c r="Q826" s="23">
        <f t="shared" si="470"/>
        <v>3.627642276422764</v>
      </c>
      <c r="R826" s="23" t="str">
        <f t="shared" si="471"/>
        <v/>
      </c>
      <c r="T826" t="str">
        <f t="shared" si="472"/>
        <v/>
      </c>
    </row>
    <row r="827" spans="1:20" x14ac:dyDescent="0.2">
      <c r="A827">
        <v>838</v>
      </c>
      <c r="B827" t="s">
        <v>273</v>
      </c>
      <c r="C827" t="s">
        <v>390</v>
      </c>
      <c r="D827" t="s">
        <v>24</v>
      </c>
      <c r="E827" t="s">
        <v>9</v>
      </c>
      <c r="G827" t="s">
        <v>11</v>
      </c>
      <c r="H827">
        <v>36</v>
      </c>
      <c r="I827">
        <v>38</v>
      </c>
      <c r="J827">
        <v>8.3000000000000007</v>
      </c>
      <c r="K827">
        <v>8.81</v>
      </c>
      <c r="L827">
        <v>0.82</v>
      </c>
      <c r="M827">
        <v>0.48499999999999999</v>
      </c>
      <c r="N827">
        <v>7.0999999999999994E-2</v>
      </c>
      <c r="O827" s="21">
        <f t="shared" si="473"/>
        <v>5.7897696476964775</v>
      </c>
      <c r="P827" s="21">
        <f t="shared" si="474"/>
        <v>3.6364046973803075</v>
      </c>
      <c r="Q827" s="23">
        <f t="shared" si="470"/>
        <v>5.7897696476964775</v>
      </c>
      <c r="R827" s="23" t="str">
        <f t="shared" si="471"/>
        <v/>
      </c>
      <c r="T827" t="str">
        <f t="shared" si="472"/>
        <v/>
      </c>
    </row>
    <row r="828" spans="1:20" x14ac:dyDescent="0.2">
      <c r="A828">
        <v>839</v>
      </c>
      <c r="B828" s="15" t="s">
        <v>273</v>
      </c>
      <c r="C828" t="s">
        <v>390</v>
      </c>
      <c r="D828" s="15" t="s">
        <v>24</v>
      </c>
      <c r="E828" s="15" t="s">
        <v>9</v>
      </c>
      <c r="F828" s="15"/>
      <c r="G828" s="15" t="s">
        <v>12</v>
      </c>
      <c r="H828" s="15">
        <v>44</v>
      </c>
      <c r="I828" s="15">
        <v>47</v>
      </c>
      <c r="J828" s="15">
        <v>16.399999999999999</v>
      </c>
      <c r="K828" s="15">
        <v>9.5399999999999991</v>
      </c>
      <c r="L828" s="15">
        <v>0.97</v>
      </c>
      <c r="M828" s="15">
        <v>0.56999999999999995</v>
      </c>
      <c r="N828" s="15"/>
      <c r="O828" s="21">
        <f t="shared" si="473"/>
        <v>6.2288659793814425</v>
      </c>
      <c r="P828" s="21">
        <f t="shared" si="474"/>
        <v>7.1386025200458176</v>
      </c>
      <c r="Q828" s="23" t="str">
        <f t="shared" si="470"/>
        <v/>
      </c>
      <c r="R828" s="23">
        <f t="shared" si="471"/>
        <v>6.2288659793814425</v>
      </c>
      <c r="T828" t="str">
        <f t="shared" si="472"/>
        <v/>
      </c>
    </row>
    <row r="829" spans="1:20" x14ac:dyDescent="0.2">
      <c r="A829">
        <v>840</v>
      </c>
      <c r="B829" t="s">
        <v>273</v>
      </c>
      <c r="C829" t="s">
        <v>390</v>
      </c>
      <c r="D829" t="s">
        <v>24</v>
      </c>
      <c r="E829" t="s">
        <v>9</v>
      </c>
      <c r="G829" t="s">
        <v>14</v>
      </c>
      <c r="H829">
        <v>43</v>
      </c>
      <c r="I829">
        <v>47</v>
      </c>
      <c r="J829">
        <v>14.3</v>
      </c>
      <c r="K829">
        <v>8.34</v>
      </c>
      <c r="L829">
        <v>0.97</v>
      </c>
      <c r="M829">
        <v>0.56999999999999995</v>
      </c>
      <c r="O829" s="21">
        <f t="shared" si="473"/>
        <v>5.4453608247422665</v>
      </c>
      <c r="P829" s="21">
        <f t="shared" si="474"/>
        <v>6.2245131729667813</v>
      </c>
      <c r="Q829" s="23" t="str">
        <f t="shared" si="470"/>
        <v/>
      </c>
      <c r="R829" s="23">
        <f t="shared" si="471"/>
        <v>5.4453608247422665</v>
      </c>
      <c r="T829" t="str">
        <f t="shared" si="472"/>
        <v/>
      </c>
    </row>
    <row r="830" spans="1:20" x14ac:dyDescent="0.2">
      <c r="A830">
        <v>841</v>
      </c>
      <c r="B830" s="12" t="s">
        <v>274</v>
      </c>
      <c r="C830" t="s">
        <v>391</v>
      </c>
      <c r="D830" s="12" t="s">
        <v>24</v>
      </c>
      <c r="E830" s="12" t="s">
        <v>17</v>
      </c>
      <c r="F830" s="12"/>
      <c r="G830" s="12">
        <v>1</v>
      </c>
      <c r="H830" s="12">
        <v>41</v>
      </c>
      <c r="I830" s="12">
        <v>42</v>
      </c>
      <c r="J830" s="12">
        <v>10.48</v>
      </c>
      <c r="K830" s="12">
        <v>7.59</v>
      </c>
      <c r="L830" s="12">
        <v>0.7</v>
      </c>
      <c r="M830" s="12">
        <v>0.56499999999999995</v>
      </c>
      <c r="N830" s="12">
        <v>7.6999999999999999E-2</v>
      </c>
      <c r="O830" s="21">
        <f t="shared" si="473"/>
        <v>6.8069047619047627</v>
      </c>
      <c r="P830" s="21">
        <f t="shared" si="474"/>
        <v>6.2658201058201071</v>
      </c>
      <c r="Q830" s="23" t="str">
        <f t="shared" si="470"/>
        <v/>
      </c>
      <c r="R830" s="23" t="str">
        <f t="shared" si="471"/>
        <v/>
      </c>
      <c r="T830" t="str">
        <f t="shared" si="472"/>
        <v/>
      </c>
    </row>
    <row r="831" spans="1:20" x14ac:dyDescent="0.2">
      <c r="A831">
        <v>842</v>
      </c>
      <c r="B831" s="12" t="s">
        <v>274</v>
      </c>
      <c r="C831" t="s">
        <v>391</v>
      </c>
      <c r="D831" s="12" t="s">
        <v>24</v>
      </c>
      <c r="E831" s="12" t="s">
        <v>17</v>
      </c>
      <c r="F831" s="12"/>
      <c r="G831" s="12">
        <v>2</v>
      </c>
      <c r="H831" s="12">
        <v>31</v>
      </c>
      <c r="I831" s="12">
        <v>32</v>
      </c>
      <c r="J831" s="12">
        <v>7.7</v>
      </c>
      <c r="K831" s="12">
        <v>6.23</v>
      </c>
      <c r="L831" s="12">
        <f t="shared" ref="L831:N831" si="475">L830</f>
        <v>0.7</v>
      </c>
      <c r="M831" s="12">
        <f t="shared" si="475"/>
        <v>0.56499999999999995</v>
      </c>
      <c r="N831">
        <f t="shared" si="475"/>
        <v>7.6999999999999999E-2</v>
      </c>
      <c r="O831" s="21">
        <f t="shared" si="473"/>
        <v>5.5872222222222225</v>
      </c>
      <c r="P831" s="21">
        <f t="shared" si="474"/>
        <v>4.6037037037037054</v>
      </c>
      <c r="Q831" s="23" t="str">
        <f t="shared" si="470"/>
        <v/>
      </c>
      <c r="R831" s="23" t="str">
        <f t="shared" si="471"/>
        <v/>
      </c>
      <c r="T831" t="str">
        <f t="shared" si="472"/>
        <v/>
      </c>
    </row>
    <row r="832" spans="1:20" x14ac:dyDescent="0.2">
      <c r="A832">
        <v>843</v>
      </c>
      <c r="B832" t="s">
        <v>275</v>
      </c>
      <c r="C832" t="s">
        <v>392</v>
      </c>
      <c r="D832" t="s">
        <v>3</v>
      </c>
      <c r="E832" t="s">
        <v>9</v>
      </c>
      <c r="G832" t="s">
        <v>10</v>
      </c>
      <c r="H832">
        <v>31</v>
      </c>
      <c r="I832">
        <v>33</v>
      </c>
      <c r="J832">
        <v>10.25</v>
      </c>
      <c r="K832">
        <v>8.73</v>
      </c>
      <c r="L832">
        <v>1.1299999999999999</v>
      </c>
      <c r="M832">
        <v>0.58799999999999997</v>
      </c>
      <c r="N832">
        <v>0.11</v>
      </c>
      <c r="O832" s="21">
        <f t="shared" si="473"/>
        <v>5.0474336283185837</v>
      </c>
      <c r="P832" s="21">
        <f t="shared" si="474"/>
        <v>3.950835791543756</v>
      </c>
      <c r="Q832" s="23">
        <f t="shared" si="470"/>
        <v>5.0474336283185837</v>
      </c>
      <c r="R832" s="23" t="str">
        <f t="shared" si="471"/>
        <v/>
      </c>
      <c r="T832" t="str">
        <f t="shared" si="472"/>
        <v/>
      </c>
    </row>
    <row r="833" spans="1:20" x14ac:dyDescent="0.2">
      <c r="A833">
        <v>844</v>
      </c>
      <c r="B833" t="s">
        <v>275</v>
      </c>
      <c r="C833" t="s">
        <v>392</v>
      </c>
      <c r="D833" t="s">
        <v>3</v>
      </c>
      <c r="E833" t="s">
        <v>9</v>
      </c>
      <c r="G833" t="s">
        <v>11</v>
      </c>
      <c r="H833">
        <v>31</v>
      </c>
      <c r="I833">
        <v>32</v>
      </c>
      <c r="J833">
        <v>7.57</v>
      </c>
      <c r="K833">
        <v>5.59</v>
      </c>
      <c r="L833">
        <f t="shared" ref="L833:N833" si="476">L832</f>
        <v>1.1299999999999999</v>
      </c>
      <c r="M833">
        <f t="shared" si="476"/>
        <v>0.58799999999999997</v>
      </c>
      <c r="N833">
        <f t="shared" si="476"/>
        <v>0.11</v>
      </c>
      <c r="O833" s="21">
        <f t="shared" si="473"/>
        <v>3.2319764011799408</v>
      </c>
      <c r="P833" s="21">
        <f t="shared" si="474"/>
        <v>2.9178367748279253</v>
      </c>
      <c r="Q833" s="23">
        <f t="shared" si="470"/>
        <v>3.2319764011799408</v>
      </c>
      <c r="R833" s="23" t="str">
        <f t="shared" si="471"/>
        <v/>
      </c>
      <c r="T833" t="str">
        <f t="shared" si="472"/>
        <v/>
      </c>
    </row>
    <row r="834" spans="1:20" x14ac:dyDescent="0.2">
      <c r="A834">
        <v>845</v>
      </c>
      <c r="B834" t="s">
        <v>275</v>
      </c>
      <c r="C834" t="s">
        <v>392</v>
      </c>
      <c r="D834" t="s">
        <v>3</v>
      </c>
      <c r="E834" t="s">
        <v>9</v>
      </c>
      <c r="G834" t="s">
        <v>12</v>
      </c>
      <c r="H834">
        <v>29</v>
      </c>
      <c r="I834">
        <v>25</v>
      </c>
      <c r="J834">
        <v>5.25</v>
      </c>
      <c r="K834">
        <v>3.06</v>
      </c>
      <c r="L834">
        <v>0.91</v>
      </c>
      <c r="M834">
        <v>0.37</v>
      </c>
      <c r="N834">
        <v>4.1000000000000002E-2</v>
      </c>
      <c r="O834" s="21">
        <f t="shared" si="473"/>
        <v>1.3824175824175826</v>
      </c>
      <c r="P834" s="21">
        <f t="shared" si="474"/>
        <v>1.5811965811965811</v>
      </c>
      <c r="Q834" s="23" t="str">
        <f t="shared" si="470"/>
        <v/>
      </c>
      <c r="R834" s="23">
        <f t="shared" si="471"/>
        <v>1.3824175824175826</v>
      </c>
      <c r="T834" t="str">
        <f t="shared" si="472"/>
        <v/>
      </c>
    </row>
    <row r="835" spans="1:20" x14ac:dyDescent="0.2">
      <c r="A835">
        <v>846</v>
      </c>
      <c r="B835" t="s">
        <v>275</v>
      </c>
      <c r="C835" t="s">
        <v>392</v>
      </c>
      <c r="D835" t="s">
        <v>3</v>
      </c>
      <c r="E835" t="s">
        <v>9</v>
      </c>
      <c r="G835" t="s">
        <v>14</v>
      </c>
      <c r="H835">
        <v>24</v>
      </c>
      <c r="I835">
        <v>19</v>
      </c>
      <c r="J835">
        <v>6.1</v>
      </c>
      <c r="K835">
        <v>3.26</v>
      </c>
      <c r="L835">
        <f t="shared" ref="L835:N835" si="477">L834</f>
        <v>0.91</v>
      </c>
      <c r="M835">
        <f t="shared" si="477"/>
        <v>0.37</v>
      </c>
      <c r="N835">
        <f t="shared" si="477"/>
        <v>4.1000000000000002E-2</v>
      </c>
      <c r="O835" s="21">
        <f t="shared" si="473"/>
        <v>1.4727716727716726</v>
      </c>
      <c r="P835" s="21">
        <f t="shared" si="474"/>
        <v>1.8371998371998368</v>
      </c>
      <c r="Q835" s="23" t="str">
        <f t="shared" si="470"/>
        <v/>
      </c>
      <c r="R835" s="23">
        <f t="shared" si="471"/>
        <v>1.4727716727716726</v>
      </c>
      <c r="T835" t="str">
        <f t="shared" si="472"/>
        <v/>
      </c>
    </row>
    <row r="836" spans="1:20" x14ac:dyDescent="0.2">
      <c r="A836">
        <v>847</v>
      </c>
      <c r="B836" t="s">
        <v>276</v>
      </c>
      <c r="C836" t="s">
        <v>393</v>
      </c>
      <c r="D836" t="s">
        <v>3</v>
      </c>
      <c r="E836" t="s">
        <v>9</v>
      </c>
      <c r="G836" t="s">
        <v>10</v>
      </c>
      <c r="H836">
        <v>41</v>
      </c>
      <c r="I836">
        <v>42</v>
      </c>
      <c r="J836">
        <v>6.17</v>
      </c>
      <c r="K836">
        <v>7.44</v>
      </c>
      <c r="L836">
        <v>0.85</v>
      </c>
      <c r="M836">
        <v>0.51200000000000001</v>
      </c>
      <c r="N836">
        <v>0.1</v>
      </c>
      <c r="O836" s="21">
        <f t="shared" si="473"/>
        <v>4.9794509803921585</v>
      </c>
      <c r="P836" s="21">
        <f t="shared" si="474"/>
        <v>2.752976034858388</v>
      </c>
      <c r="Q836" s="23">
        <f t="shared" si="470"/>
        <v>4.9794509803921585</v>
      </c>
      <c r="R836" s="23" t="str">
        <f t="shared" si="471"/>
        <v/>
      </c>
      <c r="T836" t="str">
        <f t="shared" si="472"/>
        <v/>
      </c>
    </row>
    <row r="837" spans="1:20" x14ac:dyDescent="0.2">
      <c r="A837">
        <v>848</v>
      </c>
      <c r="B837" t="s">
        <v>276</v>
      </c>
      <c r="C837" t="s">
        <v>393</v>
      </c>
      <c r="D837" t="s">
        <v>3</v>
      </c>
      <c r="E837" t="s">
        <v>9</v>
      </c>
      <c r="G837" t="s">
        <v>11</v>
      </c>
      <c r="H837">
        <v>39</v>
      </c>
      <c r="I837">
        <v>40</v>
      </c>
      <c r="J837">
        <v>5.86</v>
      </c>
      <c r="K837">
        <v>6.99</v>
      </c>
      <c r="L837">
        <f t="shared" ref="L837:N837" si="478">L836</f>
        <v>0.85</v>
      </c>
      <c r="M837">
        <f t="shared" si="478"/>
        <v>0.51200000000000001</v>
      </c>
      <c r="N837">
        <f t="shared" si="478"/>
        <v>0.1</v>
      </c>
      <c r="O837" s="21">
        <f t="shared" si="473"/>
        <v>4.6782745098039227</v>
      </c>
      <c r="P837" s="21">
        <f t="shared" si="474"/>
        <v>2.6146579520697171</v>
      </c>
      <c r="Q837" s="23">
        <f t="shared" si="470"/>
        <v>4.6782745098039227</v>
      </c>
      <c r="R837" s="23" t="str">
        <f t="shared" si="471"/>
        <v/>
      </c>
      <c r="T837" t="str">
        <f t="shared" si="472"/>
        <v/>
      </c>
    </row>
    <row r="838" spans="1:20" x14ac:dyDescent="0.2">
      <c r="A838">
        <v>849</v>
      </c>
      <c r="B838" t="s">
        <v>276</v>
      </c>
      <c r="C838" t="s">
        <v>393</v>
      </c>
      <c r="D838" t="s">
        <v>3</v>
      </c>
      <c r="E838" t="s">
        <v>9</v>
      </c>
      <c r="G838" t="s">
        <v>12</v>
      </c>
      <c r="H838">
        <v>39</v>
      </c>
      <c r="I838">
        <v>22</v>
      </c>
      <c r="J838">
        <v>5.3</v>
      </c>
      <c r="K838">
        <v>5.91</v>
      </c>
      <c r="L838">
        <v>0.97</v>
      </c>
      <c r="M838">
        <v>0.33900000000000002</v>
      </c>
      <c r="N838">
        <v>0.10299999999999999</v>
      </c>
      <c r="O838" s="21">
        <f t="shared" si="473"/>
        <v>2.2949484536082476</v>
      </c>
      <c r="P838" s="21">
        <f t="shared" si="474"/>
        <v>1.3720504009163803</v>
      </c>
      <c r="Q838" s="23" t="str">
        <f t="shared" si="470"/>
        <v/>
      </c>
      <c r="R838" s="23">
        <f t="shared" si="471"/>
        <v>2.2949484536082476</v>
      </c>
      <c r="T838" t="str">
        <f t="shared" si="472"/>
        <v/>
      </c>
    </row>
    <row r="839" spans="1:20" x14ac:dyDescent="0.2">
      <c r="A839">
        <v>850</v>
      </c>
      <c r="B839" t="s">
        <v>276</v>
      </c>
      <c r="C839" t="s">
        <v>393</v>
      </c>
      <c r="D839" t="s">
        <v>3</v>
      </c>
      <c r="E839" t="s">
        <v>9</v>
      </c>
      <c r="G839" t="s">
        <v>14</v>
      </c>
      <c r="H839">
        <v>34</v>
      </c>
      <c r="I839">
        <v>25</v>
      </c>
      <c r="J839">
        <v>4.9000000000000004</v>
      </c>
      <c r="K839">
        <v>5.4</v>
      </c>
      <c r="L839">
        <f t="shared" ref="L839:N839" si="479">L838</f>
        <v>0.97</v>
      </c>
      <c r="M839">
        <f t="shared" si="479"/>
        <v>0.33900000000000002</v>
      </c>
      <c r="N839">
        <f t="shared" si="479"/>
        <v>0.10299999999999999</v>
      </c>
      <c r="O839" s="21">
        <f t="shared" si="473"/>
        <v>2.0969072164948459</v>
      </c>
      <c r="P839" s="21">
        <f t="shared" si="474"/>
        <v>1.268499427262314</v>
      </c>
      <c r="Q839" s="23" t="str">
        <f t="shared" si="470"/>
        <v/>
      </c>
      <c r="R839" s="23">
        <f t="shared" si="471"/>
        <v>2.0969072164948459</v>
      </c>
      <c r="T839" t="str">
        <f t="shared" si="472"/>
        <v/>
      </c>
    </row>
    <row r="840" spans="1:20" x14ac:dyDescent="0.2">
      <c r="A840">
        <v>851</v>
      </c>
      <c r="B840" t="s">
        <v>277</v>
      </c>
      <c r="C840" t="s">
        <v>394</v>
      </c>
      <c r="D840" t="s">
        <v>3</v>
      </c>
      <c r="E840" t="s">
        <v>9</v>
      </c>
      <c r="G840" t="s">
        <v>10</v>
      </c>
      <c r="H840">
        <v>24</v>
      </c>
      <c r="I840">
        <v>28</v>
      </c>
      <c r="J840">
        <v>6.61</v>
      </c>
      <c r="K840">
        <v>4.3600000000000003</v>
      </c>
      <c r="L840">
        <v>0.91</v>
      </c>
      <c r="M840">
        <v>0.40200000000000002</v>
      </c>
      <c r="N840">
        <v>0.10199999999999999</v>
      </c>
      <c r="O840" s="21">
        <f t="shared" si="473"/>
        <v>2.1400732600732604</v>
      </c>
      <c r="P840" s="21">
        <f t="shared" si="474"/>
        <v>2.1629792429792434</v>
      </c>
      <c r="Q840" s="23">
        <f t="shared" si="470"/>
        <v>2.1400732600732604</v>
      </c>
      <c r="R840" s="23" t="str">
        <f t="shared" si="471"/>
        <v/>
      </c>
      <c r="T840" t="str">
        <f t="shared" si="472"/>
        <v/>
      </c>
    </row>
    <row r="841" spans="1:20" x14ac:dyDescent="0.2">
      <c r="A841">
        <v>852</v>
      </c>
      <c r="B841" t="s">
        <v>277</v>
      </c>
      <c r="C841" t="s">
        <v>394</v>
      </c>
      <c r="D841" t="s">
        <v>3</v>
      </c>
      <c r="E841" t="s">
        <v>9</v>
      </c>
      <c r="G841" t="s">
        <v>11</v>
      </c>
      <c r="H841">
        <v>36</v>
      </c>
      <c r="I841">
        <v>39</v>
      </c>
      <c r="J841">
        <v>13.57</v>
      </c>
      <c r="K841">
        <v>7.21</v>
      </c>
      <c r="L841">
        <f t="shared" ref="L841:N841" si="480">L840</f>
        <v>0.91</v>
      </c>
      <c r="M841">
        <f t="shared" si="480"/>
        <v>0.40200000000000002</v>
      </c>
      <c r="N841">
        <f t="shared" si="480"/>
        <v>0.10199999999999999</v>
      </c>
      <c r="O841" s="21">
        <f t="shared" si="473"/>
        <v>3.5389743589743587</v>
      </c>
      <c r="P841" s="21">
        <f t="shared" si="474"/>
        <v>4.4404884004884009</v>
      </c>
      <c r="Q841" s="23">
        <f t="shared" si="470"/>
        <v>3.5389743589743587</v>
      </c>
      <c r="R841" s="23" t="str">
        <f t="shared" si="471"/>
        <v/>
      </c>
      <c r="T841" t="str">
        <f t="shared" si="472"/>
        <v/>
      </c>
    </row>
    <row r="842" spans="1:20" x14ac:dyDescent="0.2">
      <c r="A842">
        <v>853</v>
      </c>
      <c r="B842" t="s">
        <v>277</v>
      </c>
      <c r="C842" t="s">
        <v>394</v>
      </c>
      <c r="D842" t="s">
        <v>3</v>
      </c>
      <c r="E842" t="s">
        <v>9</v>
      </c>
      <c r="G842" t="s">
        <v>12</v>
      </c>
      <c r="H842">
        <v>46</v>
      </c>
      <c r="I842">
        <v>40</v>
      </c>
      <c r="J842">
        <v>8.16</v>
      </c>
      <c r="K842">
        <v>8.9499999999999993</v>
      </c>
      <c r="L842">
        <v>1.32</v>
      </c>
      <c r="M842">
        <v>0.75</v>
      </c>
      <c r="N842">
        <v>0.12</v>
      </c>
      <c r="O842" s="21">
        <f t="shared" si="473"/>
        <v>5.6502525252525242</v>
      </c>
      <c r="P842" s="21">
        <f t="shared" si="474"/>
        <v>3.4343434343434343</v>
      </c>
      <c r="Q842" s="23" t="str">
        <f t="shared" si="470"/>
        <v/>
      </c>
      <c r="R842" s="23">
        <f t="shared" si="471"/>
        <v>5.6502525252525242</v>
      </c>
      <c r="T842" t="str">
        <f t="shared" si="472"/>
        <v/>
      </c>
    </row>
    <row r="843" spans="1:20" x14ac:dyDescent="0.2">
      <c r="A843">
        <v>854</v>
      </c>
      <c r="B843" t="s">
        <v>277</v>
      </c>
      <c r="C843" t="s">
        <v>394</v>
      </c>
      <c r="D843" t="s">
        <v>3</v>
      </c>
      <c r="E843" t="s">
        <v>9</v>
      </c>
      <c r="G843" t="s">
        <v>14</v>
      </c>
      <c r="H843">
        <v>35</v>
      </c>
      <c r="I843">
        <v>37</v>
      </c>
      <c r="J843">
        <v>5.28</v>
      </c>
      <c r="K843">
        <v>7.06</v>
      </c>
      <c r="L843">
        <f t="shared" ref="L843:N843" si="481">L842</f>
        <v>1.32</v>
      </c>
      <c r="M843">
        <f t="shared" si="481"/>
        <v>0.75</v>
      </c>
      <c r="N843">
        <f t="shared" si="481"/>
        <v>0.12</v>
      </c>
      <c r="O843" s="21">
        <f t="shared" si="473"/>
        <v>4.4570707070707067</v>
      </c>
      <c r="P843" s="21">
        <f t="shared" si="474"/>
        <v>2.2222222222222223</v>
      </c>
      <c r="Q843" s="23" t="str">
        <f t="shared" si="470"/>
        <v/>
      </c>
      <c r="R843" s="23">
        <f t="shared" si="471"/>
        <v>4.4570707070707067</v>
      </c>
      <c r="T843" t="str">
        <f t="shared" si="472"/>
        <v/>
      </c>
    </row>
    <row r="844" spans="1:20" x14ac:dyDescent="0.2">
      <c r="A844">
        <v>855</v>
      </c>
      <c r="B844" t="s">
        <v>278</v>
      </c>
      <c r="C844" t="s">
        <v>396</v>
      </c>
      <c r="D844" t="s">
        <v>3</v>
      </c>
      <c r="E844" t="s">
        <v>9</v>
      </c>
      <c r="G844" t="s">
        <v>10</v>
      </c>
      <c r="H844">
        <v>24</v>
      </c>
      <c r="I844">
        <v>23</v>
      </c>
      <c r="J844">
        <v>5.44</v>
      </c>
      <c r="K844">
        <v>3.61</v>
      </c>
      <c r="L844">
        <v>1.24</v>
      </c>
      <c r="M844">
        <v>0.76100000000000001</v>
      </c>
      <c r="N844">
        <v>0.15</v>
      </c>
      <c r="O844" s="21">
        <f t="shared" si="473"/>
        <v>2.4616577060931899</v>
      </c>
      <c r="P844" s="21">
        <f t="shared" si="474"/>
        <v>2.4730227001194747</v>
      </c>
      <c r="Q844" s="23">
        <f t="shared" si="470"/>
        <v>2.4616577060931899</v>
      </c>
      <c r="R844" s="23" t="str">
        <f t="shared" si="471"/>
        <v/>
      </c>
      <c r="T844" t="str">
        <f t="shared" si="472"/>
        <v/>
      </c>
    </row>
    <row r="845" spans="1:20" x14ac:dyDescent="0.2">
      <c r="A845">
        <v>856</v>
      </c>
      <c r="B845" t="s">
        <v>278</v>
      </c>
      <c r="C845" t="s">
        <v>396</v>
      </c>
      <c r="D845" t="s">
        <v>3</v>
      </c>
      <c r="E845" t="s">
        <v>9</v>
      </c>
      <c r="G845" t="s">
        <v>11</v>
      </c>
      <c r="H845">
        <v>31</v>
      </c>
      <c r="I845">
        <v>31</v>
      </c>
      <c r="J845">
        <v>5.64</v>
      </c>
      <c r="K845">
        <v>4.92</v>
      </c>
      <c r="L845">
        <f t="shared" ref="L845:N845" si="482">L844</f>
        <v>1.24</v>
      </c>
      <c r="M845">
        <f t="shared" si="482"/>
        <v>0.76100000000000001</v>
      </c>
      <c r="N845">
        <f t="shared" si="482"/>
        <v>0.15</v>
      </c>
      <c r="O845" s="21">
        <f t="shared" si="473"/>
        <v>3.3549462365591403</v>
      </c>
      <c r="P845" s="21">
        <f t="shared" si="474"/>
        <v>2.5639426523297493</v>
      </c>
      <c r="Q845" s="23">
        <f t="shared" si="470"/>
        <v>3.3549462365591403</v>
      </c>
      <c r="R845" s="23" t="str">
        <f t="shared" si="471"/>
        <v/>
      </c>
      <c r="T845" t="str">
        <f t="shared" si="472"/>
        <v/>
      </c>
    </row>
    <row r="846" spans="1:20" x14ac:dyDescent="0.2">
      <c r="A846">
        <v>857</v>
      </c>
      <c r="B846" t="s">
        <v>278</v>
      </c>
      <c r="C846" t="s">
        <v>396</v>
      </c>
      <c r="D846" t="s">
        <v>3</v>
      </c>
      <c r="E846" t="s">
        <v>9</v>
      </c>
      <c r="G846" t="s">
        <v>12</v>
      </c>
      <c r="H846">
        <v>40</v>
      </c>
      <c r="I846">
        <v>41</v>
      </c>
      <c r="J846">
        <v>6.72</v>
      </c>
      <c r="K846">
        <v>7.31</v>
      </c>
      <c r="L846">
        <v>1.04</v>
      </c>
      <c r="M846">
        <v>0.71799999999999997</v>
      </c>
      <c r="N846">
        <v>0.14699999999999999</v>
      </c>
      <c r="O846" s="21">
        <f t="shared" si="473"/>
        <v>5.6074572649572643</v>
      </c>
      <c r="P846" s="21">
        <f t="shared" si="474"/>
        <v>3.4365811965811965</v>
      </c>
      <c r="Q846" s="23" t="str">
        <f t="shared" si="470"/>
        <v/>
      </c>
      <c r="R846" s="23">
        <f t="shared" si="471"/>
        <v>5.6074572649572643</v>
      </c>
      <c r="T846" t="str">
        <f t="shared" si="472"/>
        <v/>
      </c>
    </row>
    <row r="847" spans="1:20" x14ac:dyDescent="0.2">
      <c r="A847">
        <v>858</v>
      </c>
      <c r="B847" t="s">
        <v>278</v>
      </c>
      <c r="C847" t="s">
        <v>396</v>
      </c>
      <c r="D847" t="s">
        <v>3</v>
      </c>
      <c r="E847" t="s">
        <v>9</v>
      </c>
      <c r="G847" t="s">
        <v>14</v>
      </c>
      <c r="H847">
        <v>31</v>
      </c>
      <c r="I847">
        <v>32</v>
      </c>
      <c r="J847">
        <v>5.34</v>
      </c>
      <c r="K847">
        <v>4.43</v>
      </c>
      <c r="L847">
        <f t="shared" ref="L847:N847" si="483">L846</f>
        <v>1.04</v>
      </c>
      <c r="M847">
        <f t="shared" si="483"/>
        <v>0.71799999999999997</v>
      </c>
      <c r="N847">
        <f t="shared" si="483"/>
        <v>0.14699999999999999</v>
      </c>
      <c r="O847" s="21">
        <f t="shared" si="473"/>
        <v>3.3982264957264956</v>
      </c>
      <c r="P847" s="21">
        <f t="shared" si="474"/>
        <v>2.7308547008547008</v>
      </c>
      <c r="Q847" s="23" t="str">
        <f t="shared" si="470"/>
        <v/>
      </c>
      <c r="R847" s="23">
        <f t="shared" si="471"/>
        <v>3.3982264957264956</v>
      </c>
      <c r="T847" t="str">
        <f t="shared" si="472"/>
        <v/>
      </c>
    </row>
    <row r="848" spans="1:20" x14ac:dyDescent="0.2">
      <c r="A848">
        <v>859</v>
      </c>
      <c r="B848" t="s">
        <v>279</v>
      </c>
      <c r="C848" t="s">
        <v>397</v>
      </c>
      <c r="D848" t="s">
        <v>3</v>
      </c>
      <c r="E848" t="s">
        <v>9</v>
      </c>
      <c r="G848" t="s">
        <v>10</v>
      </c>
      <c r="H848">
        <v>25</v>
      </c>
      <c r="I848">
        <v>25</v>
      </c>
      <c r="J848">
        <v>2.92</v>
      </c>
      <c r="K848">
        <v>5.25</v>
      </c>
      <c r="L848">
        <v>0.8</v>
      </c>
      <c r="M848">
        <v>0.54700000000000004</v>
      </c>
      <c r="N848">
        <v>0.09</v>
      </c>
      <c r="O848" s="21">
        <f t="shared" si="473"/>
        <v>3.9885416666666664</v>
      </c>
      <c r="P848" s="21">
        <f t="shared" si="474"/>
        <v>1.478925925925926</v>
      </c>
      <c r="Q848" s="23">
        <f t="shared" si="470"/>
        <v>3.9885416666666664</v>
      </c>
      <c r="R848" s="23" t="str">
        <f t="shared" si="471"/>
        <v/>
      </c>
      <c r="T848" t="str">
        <f t="shared" si="472"/>
        <v/>
      </c>
    </row>
    <row r="849" spans="1:20" x14ac:dyDescent="0.2">
      <c r="A849">
        <v>860</v>
      </c>
      <c r="B849" t="s">
        <v>279</v>
      </c>
      <c r="C849" t="s">
        <v>397</v>
      </c>
      <c r="D849" t="s">
        <v>3</v>
      </c>
      <c r="E849" t="s">
        <v>9</v>
      </c>
      <c r="G849" t="s">
        <v>11</v>
      </c>
      <c r="H849">
        <v>35</v>
      </c>
      <c r="I849">
        <v>35</v>
      </c>
      <c r="J849">
        <v>2.69</v>
      </c>
      <c r="K849">
        <v>5.08</v>
      </c>
      <c r="L849">
        <f t="shared" ref="L849:N849" si="484">L848</f>
        <v>0.8</v>
      </c>
      <c r="M849">
        <f t="shared" si="484"/>
        <v>0.54700000000000004</v>
      </c>
      <c r="N849">
        <f t="shared" si="484"/>
        <v>0.09</v>
      </c>
      <c r="O849" s="21">
        <f t="shared" si="473"/>
        <v>3.8593888888888888</v>
      </c>
      <c r="P849" s="21">
        <f t="shared" si="474"/>
        <v>1.362435185185185</v>
      </c>
      <c r="Q849" s="23">
        <f t="shared" si="470"/>
        <v>3.8593888888888888</v>
      </c>
      <c r="R849" s="23" t="str">
        <f t="shared" si="471"/>
        <v/>
      </c>
      <c r="T849" t="str">
        <f t="shared" si="472"/>
        <v/>
      </c>
    </row>
    <row r="850" spans="1:20" x14ac:dyDescent="0.2">
      <c r="A850">
        <v>861</v>
      </c>
      <c r="B850" t="s">
        <v>279</v>
      </c>
      <c r="C850" t="s">
        <v>397</v>
      </c>
      <c r="D850" t="s">
        <v>3</v>
      </c>
      <c r="E850" t="s">
        <v>9</v>
      </c>
      <c r="G850" t="s">
        <v>12</v>
      </c>
      <c r="H850">
        <v>26</v>
      </c>
      <c r="I850">
        <v>26</v>
      </c>
      <c r="J850">
        <v>2.62</v>
      </c>
      <c r="K850">
        <v>4.53</v>
      </c>
      <c r="L850">
        <v>0.76</v>
      </c>
      <c r="M850">
        <v>0.52900000000000003</v>
      </c>
      <c r="N850">
        <v>8.6999999999999994E-2</v>
      </c>
      <c r="O850" s="21">
        <f t="shared" si="473"/>
        <v>3.5034649122807022</v>
      </c>
      <c r="P850" s="21">
        <f t="shared" si="474"/>
        <v>1.3508576998050683</v>
      </c>
      <c r="Q850" s="23" t="str">
        <f t="shared" si="470"/>
        <v/>
      </c>
      <c r="R850" s="23">
        <f t="shared" si="471"/>
        <v>3.5034649122807022</v>
      </c>
      <c r="T850" t="str">
        <f t="shared" si="472"/>
        <v/>
      </c>
    </row>
    <row r="851" spans="1:20" x14ac:dyDescent="0.2">
      <c r="A851">
        <v>862</v>
      </c>
      <c r="B851" t="s">
        <v>279</v>
      </c>
      <c r="C851" t="s">
        <v>397</v>
      </c>
      <c r="D851" t="s">
        <v>3</v>
      </c>
      <c r="E851" t="s">
        <v>9</v>
      </c>
      <c r="G851" t="s">
        <v>14</v>
      </c>
      <c r="H851">
        <v>18</v>
      </c>
      <c r="I851">
        <v>18</v>
      </c>
      <c r="J851">
        <v>3.16</v>
      </c>
      <c r="K851">
        <v>4.4400000000000004</v>
      </c>
      <c r="L851">
        <f t="shared" ref="L851:N851" si="485">L850</f>
        <v>0.76</v>
      </c>
      <c r="M851">
        <f t="shared" si="485"/>
        <v>0.52900000000000003</v>
      </c>
      <c r="N851">
        <f t="shared" si="485"/>
        <v>8.6999999999999994E-2</v>
      </c>
      <c r="O851" s="21">
        <f t="shared" si="473"/>
        <v>3.4338596491228075</v>
      </c>
      <c r="P851" s="21">
        <f t="shared" si="474"/>
        <v>1.6292787524366472</v>
      </c>
      <c r="Q851" s="23" t="str">
        <f t="shared" si="470"/>
        <v/>
      </c>
      <c r="R851" s="23">
        <f t="shared" si="471"/>
        <v>3.4338596491228075</v>
      </c>
      <c r="T851" t="str">
        <f t="shared" si="472"/>
        <v/>
      </c>
    </row>
    <row r="852" spans="1:20" x14ac:dyDescent="0.2">
      <c r="A852">
        <v>863</v>
      </c>
      <c r="B852" t="s">
        <v>280</v>
      </c>
      <c r="C852" t="s">
        <v>395</v>
      </c>
      <c r="D852" t="s">
        <v>23</v>
      </c>
      <c r="E852" t="s">
        <v>9</v>
      </c>
      <c r="G852" t="s">
        <v>10</v>
      </c>
      <c r="H852">
        <v>49</v>
      </c>
      <c r="I852">
        <v>57</v>
      </c>
      <c r="J852">
        <v>7.2</v>
      </c>
      <c r="K852">
        <v>10.5</v>
      </c>
      <c r="L852">
        <v>1.25</v>
      </c>
      <c r="M852">
        <v>0.76400000000000001</v>
      </c>
      <c r="N852">
        <v>0.14499999999999999</v>
      </c>
      <c r="O852" s="21">
        <f t="shared" si="473"/>
        <v>7.1306666666666665</v>
      </c>
      <c r="P852" s="21">
        <f t="shared" si="474"/>
        <v>3.259733333333334</v>
      </c>
      <c r="Q852" s="23">
        <f t="shared" si="470"/>
        <v>7.1306666666666665</v>
      </c>
      <c r="R852" s="23" t="str">
        <f t="shared" si="471"/>
        <v/>
      </c>
      <c r="T852" t="str">
        <f t="shared" si="472"/>
        <v/>
      </c>
    </row>
    <row r="853" spans="1:20" x14ac:dyDescent="0.2">
      <c r="A853">
        <v>864</v>
      </c>
      <c r="B853" t="s">
        <v>280</v>
      </c>
      <c r="C853" t="s">
        <v>395</v>
      </c>
      <c r="D853" t="s">
        <v>23</v>
      </c>
      <c r="E853" t="s">
        <v>9</v>
      </c>
      <c r="G853" t="s">
        <v>11</v>
      </c>
      <c r="H853">
        <v>30</v>
      </c>
      <c r="I853">
        <v>44</v>
      </c>
      <c r="J853">
        <v>6.2</v>
      </c>
      <c r="K853">
        <v>8</v>
      </c>
      <c r="L853">
        <f t="shared" ref="L853:N853" si="486">L852</f>
        <v>1.25</v>
      </c>
      <c r="M853">
        <f t="shared" si="486"/>
        <v>0.76400000000000001</v>
      </c>
      <c r="N853">
        <f t="shared" si="486"/>
        <v>0.14499999999999999</v>
      </c>
      <c r="O853" s="21">
        <f t="shared" si="473"/>
        <v>5.4328888888888889</v>
      </c>
      <c r="P853" s="21">
        <f t="shared" si="474"/>
        <v>2.8069925925925934</v>
      </c>
      <c r="Q853" s="23">
        <f t="shared" si="470"/>
        <v>5.4328888888888889</v>
      </c>
      <c r="R853" s="23" t="str">
        <f t="shared" si="471"/>
        <v/>
      </c>
      <c r="T853" t="str">
        <f t="shared" si="472"/>
        <v/>
      </c>
    </row>
    <row r="854" spans="1:20" x14ac:dyDescent="0.2">
      <c r="A854">
        <v>865</v>
      </c>
      <c r="B854" t="s">
        <v>280</v>
      </c>
      <c r="C854" t="s">
        <v>395</v>
      </c>
      <c r="D854" t="s">
        <v>23</v>
      </c>
      <c r="E854" t="s">
        <v>9</v>
      </c>
      <c r="G854" t="s">
        <v>12</v>
      </c>
      <c r="H854">
        <v>34</v>
      </c>
      <c r="I854">
        <v>34</v>
      </c>
      <c r="J854">
        <v>7.54</v>
      </c>
      <c r="K854">
        <v>6.65</v>
      </c>
      <c r="L854">
        <v>1</v>
      </c>
      <c r="M854">
        <v>0.78</v>
      </c>
      <c r="N854">
        <v>0.111</v>
      </c>
      <c r="O854" s="21">
        <f t="shared" si="473"/>
        <v>5.7633333333333336</v>
      </c>
      <c r="P854" s="21">
        <f t="shared" si="474"/>
        <v>4.3564444444444446</v>
      </c>
      <c r="Q854" s="23" t="str">
        <f t="shared" si="470"/>
        <v/>
      </c>
      <c r="R854" s="23">
        <f t="shared" si="471"/>
        <v>5.7633333333333336</v>
      </c>
      <c r="T854" t="str">
        <f t="shared" si="472"/>
        <v/>
      </c>
    </row>
    <row r="855" spans="1:20" x14ac:dyDescent="0.2">
      <c r="A855">
        <v>866</v>
      </c>
      <c r="B855" t="s">
        <v>280</v>
      </c>
      <c r="C855" t="s">
        <v>395</v>
      </c>
      <c r="D855" t="s">
        <v>23</v>
      </c>
      <c r="E855" t="s">
        <v>9</v>
      </c>
      <c r="G855" t="s">
        <v>14</v>
      </c>
      <c r="H855">
        <v>26</v>
      </c>
      <c r="I855">
        <v>27</v>
      </c>
      <c r="J855">
        <v>7.55</v>
      </c>
      <c r="K855">
        <v>6.9</v>
      </c>
      <c r="L855">
        <f t="shared" ref="L855:N855" si="487">L854</f>
        <v>1</v>
      </c>
      <c r="M855">
        <f t="shared" si="487"/>
        <v>0.78</v>
      </c>
      <c r="N855">
        <f t="shared" si="487"/>
        <v>0.111</v>
      </c>
      <c r="O855" s="21">
        <f t="shared" si="473"/>
        <v>5.9800000000000013</v>
      </c>
      <c r="P855" s="21">
        <f t="shared" si="474"/>
        <v>4.3622222222222229</v>
      </c>
      <c r="Q855" s="23" t="str">
        <f t="shared" si="470"/>
        <v/>
      </c>
      <c r="R855" s="23">
        <f t="shared" si="471"/>
        <v>5.9800000000000013</v>
      </c>
      <c r="T855" t="str">
        <f t="shared" si="472"/>
        <v/>
      </c>
    </row>
    <row r="856" spans="1:20" x14ac:dyDescent="0.2">
      <c r="A856">
        <v>867</v>
      </c>
      <c r="B856" t="s">
        <v>281</v>
      </c>
      <c r="C856" t="s">
        <v>281</v>
      </c>
      <c r="D856" t="s">
        <v>23</v>
      </c>
      <c r="E856" t="s">
        <v>9</v>
      </c>
      <c r="G856" t="s">
        <v>10</v>
      </c>
      <c r="H856">
        <v>39</v>
      </c>
      <c r="I856">
        <v>41</v>
      </c>
      <c r="J856">
        <v>14.4</v>
      </c>
      <c r="K856">
        <v>7.45</v>
      </c>
      <c r="L856">
        <v>0.85</v>
      </c>
      <c r="M856">
        <v>0.57799999999999996</v>
      </c>
      <c r="N856">
        <v>8.5999999999999993E-2</v>
      </c>
      <c r="O856" s="21">
        <f t="shared" si="473"/>
        <v>5.6288888888888886</v>
      </c>
      <c r="P856" s="21">
        <f t="shared" si="474"/>
        <v>7.253333333333333</v>
      </c>
      <c r="Q856" s="23">
        <f t="shared" si="470"/>
        <v>5.6288888888888886</v>
      </c>
      <c r="R856" s="23" t="str">
        <f t="shared" si="471"/>
        <v/>
      </c>
      <c r="T856" t="str">
        <f t="shared" si="472"/>
        <v/>
      </c>
    </row>
    <row r="857" spans="1:20" x14ac:dyDescent="0.2">
      <c r="A857">
        <v>868</v>
      </c>
      <c r="B857" t="s">
        <v>281</v>
      </c>
      <c r="C857" t="s">
        <v>281</v>
      </c>
      <c r="D857" t="s">
        <v>23</v>
      </c>
      <c r="E857" t="s">
        <v>9</v>
      </c>
      <c r="G857" t="s">
        <v>11</v>
      </c>
      <c r="H857">
        <v>34</v>
      </c>
      <c r="I857">
        <v>39</v>
      </c>
      <c r="J857">
        <v>15.65</v>
      </c>
      <c r="K857">
        <v>7.95</v>
      </c>
      <c r="L857">
        <f t="shared" ref="L857:N857" si="488">L856</f>
        <v>0.85</v>
      </c>
      <c r="M857">
        <f t="shared" si="488"/>
        <v>0.57799999999999996</v>
      </c>
      <c r="N857">
        <f t="shared" si="488"/>
        <v>8.5999999999999993E-2</v>
      </c>
      <c r="O857" s="21">
        <f t="shared" si="473"/>
        <v>6.0066666666666668</v>
      </c>
      <c r="P857" s="21">
        <f t="shared" si="474"/>
        <v>7.8829629629629636</v>
      </c>
      <c r="Q857" s="23">
        <f t="shared" si="470"/>
        <v>6.0066666666666668</v>
      </c>
      <c r="R857" s="23" t="str">
        <f t="shared" si="471"/>
        <v/>
      </c>
      <c r="T857" t="str">
        <f t="shared" si="472"/>
        <v/>
      </c>
    </row>
    <row r="858" spans="1:20" x14ac:dyDescent="0.2">
      <c r="A858">
        <v>869</v>
      </c>
      <c r="B858" t="s">
        <v>281</v>
      </c>
      <c r="C858" t="s">
        <v>281</v>
      </c>
      <c r="D858" t="s">
        <v>23</v>
      </c>
      <c r="E858" t="s">
        <v>9</v>
      </c>
      <c r="G858" t="s">
        <v>12</v>
      </c>
      <c r="H858">
        <v>57</v>
      </c>
      <c r="I858">
        <v>54</v>
      </c>
      <c r="J858">
        <v>24.5</v>
      </c>
      <c r="K858">
        <v>12.35</v>
      </c>
      <c r="L858">
        <v>1.25</v>
      </c>
      <c r="M858">
        <v>0.42399999999999999</v>
      </c>
      <c r="N858">
        <v>9.5000000000000001E-2</v>
      </c>
      <c r="O858" s="21">
        <f t="shared" si="473"/>
        <v>4.6545777777777779</v>
      </c>
      <c r="P858" s="21">
        <f t="shared" si="474"/>
        <v>6.1558518518518524</v>
      </c>
      <c r="Q858" s="23" t="str">
        <f t="shared" si="470"/>
        <v/>
      </c>
      <c r="R858" s="23">
        <f t="shared" si="471"/>
        <v>4.6545777777777779</v>
      </c>
      <c r="T858" t="str">
        <f t="shared" si="472"/>
        <v/>
      </c>
    </row>
    <row r="859" spans="1:20" x14ac:dyDescent="0.2">
      <c r="A859">
        <v>870</v>
      </c>
      <c r="B859" t="s">
        <v>281</v>
      </c>
      <c r="C859" t="s">
        <v>281</v>
      </c>
      <c r="D859" t="s">
        <v>23</v>
      </c>
      <c r="E859" t="s">
        <v>9</v>
      </c>
      <c r="G859" t="s">
        <v>14</v>
      </c>
      <c r="H859">
        <v>50</v>
      </c>
      <c r="I859">
        <v>52</v>
      </c>
      <c r="J859">
        <v>24</v>
      </c>
      <c r="K859">
        <v>11.75</v>
      </c>
      <c r="L859">
        <f t="shared" ref="L859:N859" si="489">L858</f>
        <v>1.25</v>
      </c>
      <c r="M859">
        <f t="shared" si="489"/>
        <v>0.42399999999999999</v>
      </c>
      <c r="N859">
        <f t="shared" si="489"/>
        <v>9.5000000000000001E-2</v>
      </c>
      <c r="O859" s="21">
        <f t="shared" si="473"/>
        <v>4.4284444444444446</v>
      </c>
      <c r="P859" s="21">
        <f t="shared" si="474"/>
        <v>6.0302222222222222</v>
      </c>
      <c r="Q859" s="23" t="str">
        <f t="shared" si="470"/>
        <v/>
      </c>
      <c r="R859" s="23">
        <f t="shared" si="471"/>
        <v>4.4284444444444446</v>
      </c>
      <c r="T859" t="str">
        <f t="shared" si="472"/>
        <v/>
      </c>
    </row>
    <row r="860" spans="1:20" x14ac:dyDescent="0.2">
      <c r="A860">
        <v>871</v>
      </c>
      <c r="B860" t="s">
        <v>282</v>
      </c>
      <c r="C860" s="16" t="s">
        <v>282</v>
      </c>
      <c r="D860" t="s">
        <v>23</v>
      </c>
      <c r="E860" t="s">
        <v>9</v>
      </c>
      <c r="G860" t="s">
        <v>10</v>
      </c>
      <c r="H860">
        <v>32</v>
      </c>
      <c r="I860">
        <v>30</v>
      </c>
      <c r="J860">
        <v>9.32</v>
      </c>
      <c r="K860">
        <v>7.71</v>
      </c>
      <c r="L860">
        <v>0.87</v>
      </c>
      <c r="M860">
        <v>0.36</v>
      </c>
      <c r="N860">
        <v>0.08</v>
      </c>
      <c r="O860" s="21">
        <f t="shared" si="473"/>
        <v>3.5448275862068965</v>
      </c>
      <c r="P860" s="21">
        <f t="shared" si="474"/>
        <v>2.8567049808429119</v>
      </c>
      <c r="Q860" s="23">
        <f t="shared" si="470"/>
        <v>3.5448275862068965</v>
      </c>
      <c r="R860" s="23" t="str">
        <f t="shared" si="471"/>
        <v/>
      </c>
      <c r="T860" t="str">
        <f t="shared" si="472"/>
        <v/>
      </c>
    </row>
    <row r="861" spans="1:20" x14ac:dyDescent="0.2">
      <c r="A861">
        <v>872</v>
      </c>
      <c r="B861" t="s">
        <v>282</v>
      </c>
      <c r="C861" s="16" t="s">
        <v>282</v>
      </c>
      <c r="D861" t="s">
        <v>23</v>
      </c>
      <c r="E861" t="s">
        <v>9</v>
      </c>
      <c r="G861" t="s">
        <v>11</v>
      </c>
      <c r="H861">
        <v>29</v>
      </c>
      <c r="I861">
        <v>27</v>
      </c>
      <c r="J861">
        <v>7.34</v>
      </c>
      <c r="K861">
        <v>5.49</v>
      </c>
      <c r="L861">
        <f t="shared" ref="L861:N861" si="490">L860</f>
        <v>0.87</v>
      </c>
      <c r="M861">
        <f t="shared" si="490"/>
        <v>0.36</v>
      </c>
      <c r="N861">
        <f t="shared" si="490"/>
        <v>0.08</v>
      </c>
      <c r="O861" s="21">
        <f t="shared" si="473"/>
        <v>2.5241379310344829</v>
      </c>
      <c r="P861" s="21">
        <f t="shared" si="474"/>
        <v>2.2498084291187741</v>
      </c>
      <c r="Q861" s="23">
        <f t="shared" si="470"/>
        <v>2.5241379310344829</v>
      </c>
      <c r="R861" s="23" t="str">
        <f t="shared" si="471"/>
        <v/>
      </c>
      <c r="T861" t="str">
        <f t="shared" si="472"/>
        <v/>
      </c>
    </row>
    <row r="862" spans="1:20" x14ac:dyDescent="0.2">
      <c r="A862">
        <v>873</v>
      </c>
      <c r="B862" t="s">
        <v>282</v>
      </c>
      <c r="C862" s="16" t="s">
        <v>282</v>
      </c>
      <c r="D862" t="s">
        <v>23</v>
      </c>
      <c r="E862" t="s">
        <v>9</v>
      </c>
      <c r="G862" t="s">
        <v>12</v>
      </c>
      <c r="H862">
        <v>24</v>
      </c>
      <c r="I862">
        <v>20</v>
      </c>
      <c r="J862">
        <v>5.1100000000000003</v>
      </c>
      <c r="K862">
        <v>3.11</v>
      </c>
      <c r="L862">
        <v>0.89</v>
      </c>
      <c r="M862">
        <v>0.436</v>
      </c>
      <c r="N862">
        <v>8.6999999999999994E-2</v>
      </c>
      <c r="O862" s="21">
        <f t="shared" si="473"/>
        <v>1.6928339575530587</v>
      </c>
      <c r="P862" s="21">
        <f t="shared" si="474"/>
        <v>1.8543154390345407</v>
      </c>
      <c r="Q862" s="23" t="str">
        <f t="shared" si="470"/>
        <v/>
      </c>
      <c r="R862" s="23">
        <f t="shared" si="471"/>
        <v>1.6928339575530587</v>
      </c>
      <c r="T862" t="str">
        <f t="shared" si="472"/>
        <v/>
      </c>
    </row>
    <row r="863" spans="1:20" x14ac:dyDescent="0.2">
      <c r="A863">
        <v>874</v>
      </c>
      <c r="B863" t="s">
        <v>282</v>
      </c>
      <c r="C863" s="16" t="s">
        <v>282</v>
      </c>
      <c r="D863" t="s">
        <v>23</v>
      </c>
      <c r="E863" t="s">
        <v>9</v>
      </c>
      <c r="G863" t="s">
        <v>14</v>
      </c>
      <c r="H863">
        <v>30</v>
      </c>
      <c r="I863">
        <v>29</v>
      </c>
      <c r="J863">
        <v>5.24</v>
      </c>
      <c r="K863">
        <v>3.24</v>
      </c>
      <c r="L863">
        <f t="shared" ref="L863:N863" si="491">L862</f>
        <v>0.89</v>
      </c>
      <c r="M863">
        <f t="shared" si="491"/>
        <v>0.436</v>
      </c>
      <c r="N863">
        <f t="shared" si="491"/>
        <v>8.6999999999999994E-2</v>
      </c>
      <c r="O863" s="21">
        <f t="shared" si="473"/>
        <v>1.7635955056179777</v>
      </c>
      <c r="P863" s="21">
        <f t="shared" si="474"/>
        <v>1.901489804411153</v>
      </c>
      <c r="Q863" s="23" t="str">
        <f t="shared" si="470"/>
        <v/>
      </c>
      <c r="R863" s="23">
        <f t="shared" si="471"/>
        <v>1.7635955056179777</v>
      </c>
      <c r="T863" t="str">
        <f t="shared" si="472"/>
        <v/>
      </c>
    </row>
    <row r="864" spans="1:20" x14ac:dyDescent="0.2">
      <c r="A864">
        <v>875</v>
      </c>
      <c r="B864" t="s">
        <v>283</v>
      </c>
      <c r="C864" t="s">
        <v>283</v>
      </c>
      <c r="D864" t="s">
        <v>23</v>
      </c>
      <c r="E864" t="s">
        <v>9</v>
      </c>
      <c r="G864" t="s">
        <v>10</v>
      </c>
      <c r="H864">
        <v>27</v>
      </c>
      <c r="I864">
        <v>30</v>
      </c>
      <c r="J864">
        <v>6.1</v>
      </c>
      <c r="K864">
        <v>6.6</v>
      </c>
      <c r="L864">
        <v>1.4</v>
      </c>
      <c r="N864">
        <v>0.11600000000000001</v>
      </c>
      <c r="O864" s="21">
        <f t="shared" ref="O864:O865" si="492">K864*(0.55/0.964)*(10/9)</f>
        <v>4.1839557399723377</v>
      </c>
      <c r="P864" s="21">
        <f t="shared" ref="P864:P865" si="493">J864*(0.55/(0.964*1.5))*(10/9)</f>
        <v>2.5779929306900264</v>
      </c>
      <c r="Q864" s="23">
        <f t="shared" si="470"/>
        <v>4.1839557399723377</v>
      </c>
      <c r="R864" s="23" t="str">
        <f t="shared" si="471"/>
        <v/>
      </c>
      <c r="T864" t="str">
        <f t="shared" si="472"/>
        <v/>
      </c>
    </row>
    <row r="865" spans="1:20" x14ac:dyDescent="0.2">
      <c r="A865">
        <v>876</v>
      </c>
      <c r="B865" t="s">
        <v>283</v>
      </c>
      <c r="C865" t="s">
        <v>283</v>
      </c>
      <c r="D865" t="s">
        <v>23</v>
      </c>
      <c r="E865" t="s">
        <v>9</v>
      </c>
      <c r="G865" t="s">
        <v>11</v>
      </c>
      <c r="H865">
        <v>35</v>
      </c>
      <c r="I865">
        <v>38</v>
      </c>
      <c r="J865">
        <v>6.6</v>
      </c>
      <c r="K865">
        <v>6.75</v>
      </c>
      <c r="L865">
        <f t="shared" ref="L865:N865" si="494">L864</f>
        <v>1.4</v>
      </c>
      <c r="N865">
        <f t="shared" si="494"/>
        <v>0.11600000000000001</v>
      </c>
      <c r="O865" s="21">
        <f t="shared" si="492"/>
        <v>4.2790456431535278</v>
      </c>
      <c r="P865" s="21">
        <f t="shared" si="493"/>
        <v>2.7893038266482253</v>
      </c>
      <c r="Q865" s="23">
        <f t="shared" si="470"/>
        <v>4.2790456431535278</v>
      </c>
      <c r="R865" s="23" t="str">
        <f t="shared" si="471"/>
        <v/>
      </c>
      <c r="T865" t="str">
        <f t="shared" si="472"/>
        <v/>
      </c>
    </row>
    <row r="866" spans="1:20" x14ac:dyDescent="0.2">
      <c r="A866">
        <v>877</v>
      </c>
      <c r="B866" t="s">
        <v>283</v>
      </c>
      <c r="C866" t="s">
        <v>283</v>
      </c>
      <c r="D866" t="s">
        <v>23</v>
      </c>
      <c r="E866" t="s">
        <v>9</v>
      </c>
      <c r="G866" t="s">
        <v>12</v>
      </c>
      <c r="H866">
        <v>36</v>
      </c>
      <c r="I866">
        <v>39</v>
      </c>
      <c r="J866">
        <v>7.25</v>
      </c>
      <c r="K866">
        <v>7.25</v>
      </c>
      <c r="L866">
        <v>0.95</v>
      </c>
      <c r="M866">
        <v>0.50800000000000001</v>
      </c>
      <c r="N866">
        <v>0.11</v>
      </c>
      <c r="O866" s="21"/>
      <c r="P866" s="21">
        <f t="shared" ref="P866:P871" si="495">J866*(0.55/(0.964*1.5))*(10/9)</f>
        <v>3.064007991393884</v>
      </c>
      <c r="Q866" s="23" t="str">
        <f t="shared" si="470"/>
        <v/>
      </c>
      <c r="R866" s="23"/>
      <c r="T866" t="str">
        <f t="shared" si="472"/>
        <v/>
      </c>
    </row>
    <row r="867" spans="1:20" x14ac:dyDescent="0.2">
      <c r="A867">
        <v>878</v>
      </c>
      <c r="B867" t="s">
        <v>283</v>
      </c>
      <c r="C867" t="s">
        <v>283</v>
      </c>
      <c r="D867" t="s">
        <v>23</v>
      </c>
      <c r="E867" t="s">
        <v>9</v>
      </c>
      <c r="G867" t="s">
        <v>14</v>
      </c>
      <c r="H867">
        <v>24</v>
      </c>
      <c r="I867">
        <v>28</v>
      </c>
      <c r="J867">
        <v>5.65</v>
      </c>
      <c r="K867">
        <v>5.3</v>
      </c>
      <c r="L867">
        <f t="shared" ref="L867:N867" si="496">L866</f>
        <v>0.95</v>
      </c>
      <c r="M867">
        <f t="shared" si="496"/>
        <v>0.50800000000000001</v>
      </c>
      <c r="N867">
        <f t="shared" si="496"/>
        <v>0.11</v>
      </c>
      <c r="O867" s="21">
        <f t="shared" ref="O867:O871" si="497">K867*(0.55/0.964)*(10/9)</f>
        <v>3.3598432457353624</v>
      </c>
      <c r="P867" s="21">
        <f t="shared" si="495"/>
        <v>2.3878131243276477</v>
      </c>
      <c r="Q867" s="23" t="str">
        <f t="shared" si="470"/>
        <v/>
      </c>
      <c r="R867" s="23">
        <f t="shared" si="471"/>
        <v>3.3598432457353624</v>
      </c>
      <c r="T867" t="str">
        <f t="shared" si="472"/>
        <v/>
      </c>
    </row>
    <row r="868" spans="1:20" x14ac:dyDescent="0.2">
      <c r="A868">
        <v>879</v>
      </c>
      <c r="B868" t="s">
        <v>284</v>
      </c>
      <c r="C868" t="s">
        <v>398</v>
      </c>
      <c r="D868" t="s">
        <v>23</v>
      </c>
      <c r="E868" t="s">
        <v>9</v>
      </c>
      <c r="G868" t="s">
        <v>10</v>
      </c>
      <c r="H868">
        <v>57</v>
      </c>
      <c r="I868">
        <v>53</v>
      </c>
      <c r="J868">
        <v>3.35</v>
      </c>
      <c r="K868">
        <v>3.6</v>
      </c>
      <c r="L868">
        <v>0.5</v>
      </c>
      <c r="M868">
        <v>0.186</v>
      </c>
      <c r="N868">
        <v>5.8999999999999997E-2</v>
      </c>
      <c r="O868" s="21">
        <f t="shared" si="497"/>
        <v>2.282157676348548</v>
      </c>
      <c r="P868" s="21">
        <f t="shared" si="495"/>
        <v>1.4157830029199325</v>
      </c>
      <c r="Q868" s="23">
        <f t="shared" si="470"/>
        <v>2.282157676348548</v>
      </c>
      <c r="R868" s="23" t="str">
        <f t="shared" si="471"/>
        <v/>
      </c>
      <c r="S868" s="14"/>
      <c r="T868" t="str">
        <f t="shared" si="472"/>
        <v/>
      </c>
    </row>
    <row r="869" spans="1:20" x14ac:dyDescent="0.2">
      <c r="A869">
        <v>880</v>
      </c>
      <c r="B869" t="s">
        <v>284</v>
      </c>
      <c r="C869" t="s">
        <v>398</v>
      </c>
      <c r="D869" t="s">
        <v>23</v>
      </c>
      <c r="E869" t="s">
        <v>9</v>
      </c>
      <c r="G869" t="s">
        <v>11</v>
      </c>
      <c r="H869">
        <v>42</v>
      </c>
      <c r="I869">
        <v>40</v>
      </c>
      <c r="J869">
        <v>3.05</v>
      </c>
      <c r="K869">
        <v>3.75</v>
      </c>
      <c r="L869">
        <f t="shared" ref="L869:N869" si="498">L868</f>
        <v>0.5</v>
      </c>
      <c r="M869">
        <f t="shared" si="498"/>
        <v>0.186</v>
      </c>
      <c r="N869">
        <f t="shared" si="498"/>
        <v>5.8999999999999997E-2</v>
      </c>
      <c r="O869" s="21">
        <f t="shared" si="497"/>
        <v>2.3772475795297376</v>
      </c>
      <c r="P869" s="21">
        <f t="shared" si="495"/>
        <v>1.2889964653450132</v>
      </c>
      <c r="Q869" s="23">
        <f t="shared" si="470"/>
        <v>2.3772475795297376</v>
      </c>
      <c r="R869" s="23" t="str">
        <f t="shared" si="471"/>
        <v/>
      </c>
      <c r="T869" t="str">
        <f t="shared" si="472"/>
        <v/>
      </c>
    </row>
    <row r="870" spans="1:20" x14ac:dyDescent="0.2">
      <c r="A870">
        <v>881</v>
      </c>
      <c r="B870" t="s">
        <v>284</v>
      </c>
      <c r="C870" t="s">
        <v>398</v>
      </c>
      <c r="D870" t="s">
        <v>23</v>
      </c>
      <c r="E870" t="s">
        <v>9</v>
      </c>
      <c r="G870" t="s">
        <v>12</v>
      </c>
      <c r="H870">
        <v>24</v>
      </c>
      <c r="I870">
        <v>26</v>
      </c>
      <c r="J870">
        <v>1.65</v>
      </c>
      <c r="K870">
        <v>2.8</v>
      </c>
      <c r="L870">
        <v>0.6</v>
      </c>
      <c r="M870">
        <v>0.56100000000000005</v>
      </c>
      <c r="N870">
        <v>7.5999999999999998E-2</v>
      </c>
      <c r="O870" s="21">
        <f t="shared" si="497"/>
        <v>1.7750115260488706</v>
      </c>
      <c r="P870" s="21">
        <f t="shared" si="495"/>
        <v>0.69732595666205632</v>
      </c>
      <c r="Q870" s="23" t="str">
        <f t="shared" si="470"/>
        <v/>
      </c>
      <c r="R870" s="23">
        <f t="shared" si="471"/>
        <v>1.7750115260488706</v>
      </c>
      <c r="T870" t="str">
        <f t="shared" si="472"/>
        <v/>
      </c>
    </row>
    <row r="871" spans="1:20" x14ac:dyDescent="0.2">
      <c r="A871">
        <v>882</v>
      </c>
      <c r="B871" t="s">
        <v>284</v>
      </c>
      <c r="C871" t="s">
        <v>398</v>
      </c>
      <c r="D871" t="s">
        <v>23</v>
      </c>
      <c r="E871" t="s">
        <v>9</v>
      </c>
      <c r="G871" t="s">
        <v>14</v>
      </c>
      <c r="H871">
        <v>28</v>
      </c>
      <c r="I871">
        <v>26</v>
      </c>
      <c r="J871">
        <v>1.65</v>
      </c>
      <c r="K871">
        <v>2.15</v>
      </c>
      <c r="L871">
        <f t="shared" ref="L871:N871" si="499">L870</f>
        <v>0.6</v>
      </c>
      <c r="M871">
        <f t="shared" si="499"/>
        <v>0.56100000000000005</v>
      </c>
      <c r="N871">
        <f t="shared" si="499"/>
        <v>7.5999999999999998E-2</v>
      </c>
      <c r="O871" s="21">
        <f t="shared" si="497"/>
        <v>1.3629552789303827</v>
      </c>
      <c r="P871" s="21">
        <f t="shared" si="495"/>
        <v>0.69732595666205632</v>
      </c>
      <c r="Q871" s="23" t="str">
        <f t="shared" si="470"/>
        <v/>
      </c>
      <c r="R871" s="23">
        <f t="shared" si="471"/>
        <v>1.3629552789303827</v>
      </c>
      <c r="T871" t="str">
        <f t="shared" si="472"/>
        <v/>
      </c>
    </row>
    <row r="872" spans="1:20" x14ac:dyDescent="0.2">
      <c r="A872">
        <v>883</v>
      </c>
      <c r="B872" t="s">
        <v>285</v>
      </c>
      <c r="C872" t="s">
        <v>285</v>
      </c>
      <c r="D872" t="s">
        <v>13</v>
      </c>
      <c r="E872" t="s">
        <v>9</v>
      </c>
      <c r="G872" t="s">
        <v>10</v>
      </c>
      <c r="H872">
        <v>36</v>
      </c>
      <c r="I872">
        <v>36</v>
      </c>
      <c r="J872">
        <v>6.83</v>
      </c>
      <c r="K872">
        <v>5.98</v>
      </c>
      <c r="L872">
        <v>1.05</v>
      </c>
      <c r="M872">
        <v>0.34599999999999997</v>
      </c>
      <c r="N872">
        <v>3.7999999999999999E-2</v>
      </c>
      <c r="O872" s="21">
        <f t="shared" si="473"/>
        <v>2.1895026455026456</v>
      </c>
      <c r="P872" s="21">
        <f t="shared" si="474"/>
        <v>1.6671463844797176</v>
      </c>
      <c r="Q872" s="23">
        <f t="shared" si="470"/>
        <v>2.1895026455026456</v>
      </c>
      <c r="R872" s="23" t="str">
        <f t="shared" si="471"/>
        <v/>
      </c>
      <c r="T872" t="str">
        <f t="shared" si="472"/>
        <v/>
      </c>
    </row>
    <row r="873" spans="1:20" x14ac:dyDescent="0.2">
      <c r="A873">
        <v>884</v>
      </c>
      <c r="B873" t="s">
        <v>285</v>
      </c>
      <c r="C873" t="s">
        <v>285</v>
      </c>
      <c r="D873" t="s">
        <v>13</v>
      </c>
      <c r="E873" t="s">
        <v>9</v>
      </c>
      <c r="G873" t="s">
        <v>11</v>
      </c>
      <c r="H873">
        <v>36</v>
      </c>
      <c r="I873">
        <v>36</v>
      </c>
      <c r="J873">
        <v>6.21</v>
      </c>
      <c r="K873">
        <v>4.5999999999999996</v>
      </c>
      <c r="L873">
        <f t="shared" ref="L873:N873" si="500">L872</f>
        <v>1.05</v>
      </c>
      <c r="M873">
        <f t="shared" si="500"/>
        <v>0.34599999999999997</v>
      </c>
      <c r="N873">
        <f t="shared" si="500"/>
        <v>3.7999999999999999E-2</v>
      </c>
      <c r="O873" s="21">
        <f t="shared" si="473"/>
        <v>1.6842328042328039</v>
      </c>
      <c r="P873" s="21">
        <f t="shared" si="474"/>
        <v>1.5158095238095235</v>
      </c>
      <c r="Q873" s="23">
        <f t="shared" si="470"/>
        <v>1.6842328042328039</v>
      </c>
      <c r="R873" s="23" t="str">
        <f t="shared" si="471"/>
        <v/>
      </c>
      <c r="T873" t="str">
        <f t="shared" si="472"/>
        <v/>
      </c>
    </row>
    <row r="874" spans="1:20" x14ac:dyDescent="0.2">
      <c r="A874">
        <v>885</v>
      </c>
      <c r="B874" t="s">
        <v>285</v>
      </c>
      <c r="C874" t="s">
        <v>285</v>
      </c>
      <c r="D874" t="s">
        <v>13</v>
      </c>
      <c r="E874" t="s">
        <v>9</v>
      </c>
      <c r="G874" t="s">
        <v>12</v>
      </c>
      <c r="H874">
        <v>35</v>
      </c>
      <c r="I874" s="1">
        <v>0.35</v>
      </c>
      <c r="J874">
        <v>5.68</v>
      </c>
      <c r="K874">
        <v>3.38</v>
      </c>
      <c r="L874">
        <v>0.88</v>
      </c>
      <c r="M874">
        <v>0.30199999999999999</v>
      </c>
      <c r="N874">
        <v>5.8000000000000003E-2</v>
      </c>
      <c r="O874" s="21">
        <f t="shared" si="473"/>
        <v>1.2888383838383837</v>
      </c>
      <c r="P874" s="21">
        <f t="shared" si="474"/>
        <v>1.4439057239057238</v>
      </c>
      <c r="Q874" s="23" t="str">
        <f t="shared" si="470"/>
        <v/>
      </c>
      <c r="R874" s="23">
        <f t="shared" si="471"/>
        <v>1.2888383838383837</v>
      </c>
      <c r="T874" t="str">
        <f t="shared" si="472"/>
        <v/>
      </c>
    </row>
    <row r="875" spans="1:20" x14ac:dyDescent="0.2">
      <c r="A875">
        <v>886</v>
      </c>
      <c r="B875" t="s">
        <v>285</v>
      </c>
      <c r="C875" t="s">
        <v>285</v>
      </c>
      <c r="D875" t="s">
        <v>13</v>
      </c>
      <c r="E875" t="s">
        <v>9</v>
      </c>
      <c r="G875" t="s">
        <v>14</v>
      </c>
      <c r="H875">
        <v>48</v>
      </c>
      <c r="I875">
        <v>47</v>
      </c>
      <c r="J875">
        <v>8.9</v>
      </c>
      <c r="K875">
        <v>7.22</v>
      </c>
      <c r="L875">
        <f t="shared" ref="L875:N875" si="501">L874</f>
        <v>0.88</v>
      </c>
      <c r="M875">
        <f t="shared" si="501"/>
        <v>0.30199999999999999</v>
      </c>
      <c r="N875">
        <f t="shared" si="501"/>
        <v>5.8000000000000003E-2</v>
      </c>
      <c r="O875" s="21">
        <f t="shared" si="473"/>
        <v>2.7530808080808078</v>
      </c>
      <c r="P875" s="21">
        <f t="shared" si="474"/>
        <v>2.2624579124579123</v>
      </c>
      <c r="Q875" s="23" t="str">
        <f t="shared" si="470"/>
        <v/>
      </c>
      <c r="R875" s="23">
        <f t="shared" si="471"/>
        <v>2.7530808080808078</v>
      </c>
      <c r="T875" t="str">
        <f t="shared" si="472"/>
        <v/>
      </c>
    </row>
    <row r="876" spans="1:20" x14ac:dyDescent="0.2">
      <c r="A876">
        <v>887</v>
      </c>
      <c r="B876" t="s">
        <v>286</v>
      </c>
      <c r="C876" t="s">
        <v>399</v>
      </c>
      <c r="D876" t="s">
        <v>13</v>
      </c>
      <c r="E876" t="s">
        <v>9</v>
      </c>
      <c r="G876" t="s">
        <v>10</v>
      </c>
      <c r="H876">
        <v>34</v>
      </c>
      <c r="I876">
        <v>31</v>
      </c>
      <c r="J876">
        <v>6.21</v>
      </c>
      <c r="K876">
        <v>6.29</v>
      </c>
      <c r="L876">
        <v>1.35</v>
      </c>
      <c r="M876">
        <v>0.69399999999999995</v>
      </c>
      <c r="N876">
        <v>0.128</v>
      </c>
      <c r="O876" s="21">
        <f t="shared" si="473"/>
        <v>3.5928065843621395</v>
      </c>
      <c r="P876" s="21">
        <f t="shared" si="474"/>
        <v>2.3647407407407401</v>
      </c>
      <c r="Q876" s="23">
        <f t="shared" si="470"/>
        <v>3.5928065843621395</v>
      </c>
      <c r="R876" s="23" t="str">
        <f t="shared" si="471"/>
        <v/>
      </c>
      <c r="T876" t="str">
        <f t="shared" si="472"/>
        <v/>
      </c>
    </row>
    <row r="877" spans="1:20" x14ac:dyDescent="0.2">
      <c r="A877">
        <v>888</v>
      </c>
      <c r="B877" t="s">
        <v>286</v>
      </c>
      <c r="C877" t="s">
        <v>399</v>
      </c>
      <c r="D877" t="s">
        <v>13</v>
      </c>
      <c r="E877" t="s">
        <v>9</v>
      </c>
      <c r="G877" t="s">
        <v>11</v>
      </c>
      <c r="H877">
        <v>56</v>
      </c>
      <c r="I877">
        <v>55</v>
      </c>
      <c r="J877">
        <v>7.68</v>
      </c>
      <c r="K877">
        <v>8.8699999999999992</v>
      </c>
      <c r="L877">
        <f t="shared" ref="L877:N877" si="502">L876</f>
        <v>1.35</v>
      </c>
      <c r="M877">
        <f t="shared" si="502"/>
        <v>0.69399999999999995</v>
      </c>
      <c r="N877">
        <f t="shared" si="502"/>
        <v>0.128</v>
      </c>
      <c r="O877" s="21">
        <f t="shared" si="473"/>
        <v>5.0664855967078184</v>
      </c>
      <c r="P877" s="21">
        <f t="shared" si="474"/>
        <v>2.9245102880658429</v>
      </c>
      <c r="Q877" s="23">
        <f t="shared" si="470"/>
        <v>5.0664855967078184</v>
      </c>
      <c r="R877" s="23" t="str">
        <f t="shared" si="471"/>
        <v/>
      </c>
      <c r="T877" t="str">
        <f t="shared" si="472"/>
        <v/>
      </c>
    </row>
    <row r="878" spans="1:20" x14ac:dyDescent="0.2">
      <c r="A878">
        <v>889</v>
      </c>
      <c r="B878" t="s">
        <v>286</v>
      </c>
      <c r="C878" t="s">
        <v>399</v>
      </c>
      <c r="D878" t="s">
        <v>13</v>
      </c>
      <c r="E878" t="s">
        <v>9</v>
      </c>
      <c r="G878" t="s">
        <v>12</v>
      </c>
      <c r="H878">
        <v>41</v>
      </c>
      <c r="I878">
        <v>41</v>
      </c>
      <c r="J878">
        <v>5.9</v>
      </c>
      <c r="K878">
        <v>4.63</v>
      </c>
      <c r="L878">
        <v>0.16</v>
      </c>
      <c r="M878">
        <v>0.216</v>
      </c>
      <c r="N878">
        <v>5.0999999999999997E-2</v>
      </c>
      <c r="O878" s="21">
        <f t="shared" si="473"/>
        <v>6.9449999999999994</v>
      </c>
      <c r="P878" s="21">
        <f t="shared" si="474"/>
        <v>5.9000000000000012</v>
      </c>
      <c r="Q878" s="23" t="str">
        <f t="shared" si="470"/>
        <v/>
      </c>
      <c r="R878" s="23">
        <f t="shared" si="471"/>
        <v>6.9449999999999994</v>
      </c>
      <c r="T878" t="str">
        <f t="shared" si="472"/>
        <v/>
      </c>
    </row>
    <row r="879" spans="1:20" x14ac:dyDescent="0.2">
      <c r="A879">
        <v>890</v>
      </c>
      <c r="B879" t="s">
        <v>286</v>
      </c>
      <c r="C879" t="s">
        <v>399</v>
      </c>
      <c r="D879" t="s">
        <v>13</v>
      </c>
      <c r="E879" t="s">
        <v>9</v>
      </c>
      <c r="G879" t="s">
        <v>14</v>
      </c>
      <c r="H879">
        <v>24</v>
      </c>
      <c r="I879">
        <v>24</v>
      </c>
      <c r="J879">
        <v>3.54</v>
      </c>
      <c r="K879">
        <v>3.76</v>
      </c>
      <c r="L879">
        <f t="shared" ref="L879:N879" si="503">L878</f>
        <v>0.16</v>
      </c>
      <c r="M879">
        <f t="shared" si="503"/>
        <v>0.216</v>
      </c>
      <c r="N879">
        <f t="shared" si="503"/>
        <v>5.0999999999999997E-2</v>
      </c>
      <c r="O879" s="21">
        <f t="shared" si="473"/>
        <v>5.64</v>
      </c>
      <c r="P879" s="21">
        <f t="shared" si="474"/>
        <v>3.54</v>
      </c>
      <c r="Q879" s="23" t="str">
        <f t="shared" si="470"/>
        <v/>
      </c>
      <c r="R879" s="23">
        <f t="shared" si="471"/>
        <v>5.64</v>
      </c>
      <c r="T879" t="str">
        <f t="shared" si="472"/>
        <v/>
      </c>
    </row>
    <row r="880" spans="1:20" x14ac:dyDescent="0.2">
      <c r="A880">
        <v>891</v>
      </c>
      <c r="B880" s="15" t="s">
        <v>287</v>
      </c>
      <c r="C880" s="27" t="s">
        <v>400</v>
      </c>
      <c r="D880" s="15" t="s">
        <v>13</v>
      </c>
      <c r="E880" s="15" t="s">
        <v>9</v>
      </c>
      <c r="F880" s="15"/>
      <c r="G880" s="15" t="s">
        <v>10</v>
      </c>
      <c r="H880" s="15">
        <v>40</v>
      </c>
      <c r="I880" s="15">
        <v>42</v>
      </c>
      <c r="J880" s="15">
        <v>10.24</v>
      </c>
      <c r="K880" s="15">
        <v>9.3699999999999992</v>
      </c>
      <c r="L880" s="15">
        <v>1.1000000000000001</v>
      </c>
      <c r="M880" s="15">
        <v>0.72599999999999998</v>
      </c>
      <c r="N880" s="15"/>
      <c r="O880" s="21">
        <f t="shared" si="473"/>
        <v>6.8713333333333324</v>
      </c>
      <c r="P880" s="21">
        <f t="shared" si="474"/>
        <v>5.0062222222222221</v>
      </c>
      <c r="Q880" s="23">
        <f t="shared" si="470"/>
        <v>6.8713333333333324</v>
      </c>
      <c r="R880" s="23" t="str">
        <f t="shared" si="471"/>
        <v/>
      </c>
      <c r="S880" s="15"/>
      <c r="T880" t="str">
        <f t="shared" si="472"/>
        <v/>
      </c>
    </row>
    <row r="881" spans="1:20" x14ac:dyDescent="0.2">
      <c r="A881">
        <v>892</v>
      </c>
      <c r="B881" t="s">
        <v>287</v>
      </c>
      <c r="C881" s="27" t="s">
        <v>400</v>
      </c>
      <c r="D881" t="s">
        <v>13</v>
      </c>
      <c r="E881" t="s">
        <v>9</v>
      </c>
      <c r="G881" t="s">
        <v>11</v>
      </c>
      <c r="H881">
        <v>48</v>
      </c>
      <c r="I881">
        <v>48</v>
      </c>
      <c r="J881">
        <v>9.0399999999999991</v>
      </c>
      <c r="K881">
        <v>8.91</v>
      </c>
      <c r="L881">
        <v>1.1000000000000001</v>
      </c>
      <c r="M881">
        <v>0.72599999999999998</v>
      </c>
      <c r="O881" s="21">
        <f t="shared" si="473"/>
        <v>6.5339999999999998</v>
      </c>
      <c r="P881" s="21">
        <f t="shared" si="474"/>
        <v>4.4195555555555552</v>
      </c>
      <c r="Q881" s="23">
        <f t="shared" si="470"/>
        <v>6.5339999999999998</v>
      </c>
      <c r="R881" s="23" t="str">
        <f t="shared" si="471"/>
        <v/>
      </c>
      <c r="T881" t="str">
        <f t="shared" si="472"/>
        <v/>
      </c>
    </row>
    <row r="882" spans="1:20" x14ac:dyDescent="0.2">
      <c r="A882">
        <v>893</v>
      </c>
      <c r="B882" t="s">
        <v>287</v>
      </c>
      <c r="C882" s="27" t="s">
        <v>400</v>
      </c>
      <c r="D882" t="s">
        <v>13</v>
      </c>
      <c r="E882" t="s">
        <v>9</v>
      </c>
      <c r="G882" t="s">
        <v>12</v>
      </c>
      <c r="H882">
        <v>27</v>
      </c>
      <c r="I882">
        <v>27</v>
      </c>
      <c r="J882">
        <v>5.92</v>
      </c>
      <c r="K882">
        <v>5.71</v>
      </c>
      <c r="L882">
        <v>0.92</v>
      </c>
      <c r="M882">
        <v>0.60599999999999998</v>
      </c>
      <c r="N882">
        <v>0.13900000000000001</v>
      </c>
      <c r="O882" s="21">
        <f t="shared" si="473"/>
        <v>4.1790579710144922</v>
      </c>
      <c r="P882" s="21">
        <f t="shared" si="474"/>
        <v>2.8885024154589374</v>
      </c>
      <c r="Q882" s="23" t="str">
        <f t="shared" si="470"/>
        <v/>
      </c>
      <c r="R882" s="23">
        <f t="shared" si="471"/>
        <v>4.1790579710144922</v>
      </c>
      <c r="T882" t="str">
        <f t="shared" si="472"/>
        <v/>
      </c>
    </row>
    <row r="883" spans="1:20" x14ac:dyDescent="0.2">
      <c r="A883">
        <v>894</v>
      </c>
      <c r="B883" t="s">
        <v>287</v>
      </c>
      <c r="C883" s="27" t="s">
        <v>400</v>
      </c>
      <c r="D883" t="s">
        <v>13</v>
      </c>
      <c r="E883" t="s">
        <v>9</v>
      </c>
      <c r="G883" t="s">
        <v>14</v>
      </c>
      <c r="H883">
        <v>40</v>
      </c>
      <c r="I883">
        <v>42</v>
      </c>
      <c r="J883">
        <v>7.11</v>
      </c>
      <c r="K883">
        <v>4.92</v>
      </c>
      <c r="L883">
        <f t="shared" ref="L883:N883" si="504">L882</f>
        <v>0.92</v>
      </c>
      <c r="M883">
        <f t="shared" si="504"/>
        <v>0.60599999999999998</v>
      </c>
      <c r="N883">
        <f t="shared" si="504"/>
        <v>0.13900000000000001</v>
      </c>
      <c r="O883" s="21">
        <f t="shared" si="473"/>
        <v>3.600869565217391</v>
      </c>
      <c r="P883" s="21">
        <f t="shared" si="474"/>
        <v>3.4691304347826084</v>
      </c>
      <c r="Q883" s="23" t="str">
        <f t="shared" si="470"/>
        <v/>
      </c>
      <c r="R883" s="23">
        <f t="shared" si="471"/>
        <v>3.600869565217391</v>
      </c>
      <c r="T883" t="str">
        <f t="shared" si="472"/>
        <v/>
      </c>
    </row>
    <row r="884" spans="1:20" x14ac:dyDescent="0.2">
      <c r="A884">
        <v>895</v>
      </c>
      <c r="B884" t="s">
        <v>288</v>
      </c>
      <c r="C884" t="s">
        <v>401</v>
      </c>
      <c r="D884" t="s">
        <v>13</v>
      </c>
      <c r="E884" t="s">
        <v>9</v>
      </c>
      <c r="G884" t="s">
        <v>10</v>
      </c>
      <c r="H884">
        <v>42</v>
      </c>
      <c r="I884">
        <v>42</v>
      </c>
      <c r="J884">
        <v>5.32</v>
      </c>
      <c r="K884">
        <v>4.8099999999999996</v>
      </c>
      <c r="L884">
        <v>0.99</v>
      </c>
      <c r="M884">
        <v>0.55400000000000005</v>
      </c>
      <c r="N884">
        <v>0.14099999999999999</v>
      </c>
      <c r="O884" s="21">
        <f t="shared" si="473"/>
        <v>2.9907295173961841</v>
      </c>
      <c r="P884" s="21">
        <f t="shared" si="474"/>
        <v>2.2052225963337082</v>
      </c>
      <c r="Q884" s="23">
        <f t="shared" si="470"/>
        <v>2.9907295173961841</v>
      </c>
      <c r="R884" s="23" t="str">
        <f t="shared" si="471"/>
        <v/>
      </c>
      <c r="T884" t="str">
        <f t="shared" si="472"/>
        <v/>
      </c>
    </row>
    <row r="885" spans="1:20" x14ac:dyDescent="0.2">
      <c r="A885">
        <v>896</v>
      </c>
      <c r="B885" t="s">
        <v>288</v>
      </c>
      <c r="C885" t="s">
        <v>401</v>
      </c>
      <c r="D885" t="s">
        <v>13</v>
      </c>
      <c r="E885" t="s">
        <v>9</v>
      </c>
      <c r="G885" t="s">
        <v>11</v>
      </c>
      <c r="H885">
        <v>37</v>
      </c>
      <c r="I885">
        <v>37</v>
      </c>
      <c r="J885">
        <v>5.05</v>
      </c>
      <c r="K885">
        <v>4.6100000000000003</v>
      </c>
      <c r="L885">
        <f t="shared" ref="L885:N885" si="505">L884</f>
        <v>0.99</v>
      </c>
      <c r="M885">
        <f t="shared" si="505"/>
        <v>0.55400000000000005</v>
      </c>
      <c r="N885">
        <f t="shared" si="505"/>
        <v>0.14099999999999999</v>
      </c>
      <c r="O885" s="21">
        <f t="shared" si="473"/>
        <v>2.8663748597081935</v>
      </c>
      <c r="P885" s="21">
        <f t="shared" si="474"/>
        <v>2.0933034044145158</v>
      </c>
      <c r="Q885" s="23">
        <f t="shared" si="470"/>
        <v>2.8663748597081935</v>
      </c>
      <c r="R885" s="23" t="str">
        <f t="shared" si="471"/>
        <v/>
      </c>
      <c r="T885" t="str">
        <f t="shared" si="472"/>
        <v/>
      </c>
    </row>
    <row r="886" spans="1:20" x14ac:dyDescent="0.2">
      <c r="A886">
        <v>897</v>
      </c>
      <c r="B886" t="s">
        <v>288</v>
      </c>
      <c r="C886" t="s">
        <v>401</v>
      </c>
      <c r="D886" t="s">
        <v>13</v>
      </c>
      <c r="E886" t="s">
        <v>9</v>
      </c>
      <c r="G886" t="s">
        <v>12</v>
      </c>
      <c r="H886">
        <v>25</v>
      </c>
      <c r="I886">
        <v>22</v>
      </c>
      <c r="J886">
        <v>4.07</v>
      </c>
      <c r="K886">
        <v>4.6100000000000003</v>
      </c>
      <c r="L886">
        <v>1.31</v>
      </c>
      <c r="M886">
        <v>0.78600000000000003</v>
      </c>
      <c r="N886">
        <v>0.161</v>
      </c>
      <c r="O886" s="21">
        <f t="shared" si="473"/>
        <v>3.0733333333333337</v>
      </c>
      <c r="P886" s="21">
        <f t="shared" si="474"/>
        <v>1.808888888888889</v>
      </c>
      <c r="Q886" s="23" t="str">
        <f t="shared" si="470"/>
        <v/>
      </c>
      <c r="R886" s="23">
        <f t="shared" si="471"/>
        <v>3.0733333333333337</v>
      </c>
      <c r="T886" t="str">
        <f t="shared" si="472"/>
        <v/>
      </c>
    </row>
    <row r="887" spans="1:20" x14ac:dyDescent="0.2">
      <c r="A887">
        <v>898</v>
      </c>
      <c r="B887" t="s">
        <v>288</v>
      </c>
      <c r="C887" t="s">
        <v>401</v>
      </c>
      <c r="D887" t="s">
        <v>13</v>
      </c>
      <c r="E887" t="s">
        <v>9</v>
      </c>
      <c r="G887" t="s">
        <v>14</v>
      </c>
      <c r="H887">
        <v>24</v>
      </c>
      <c r="I887">
        <v>21</v>
      </c>
      <c r="J887">
        <v>3.26</v>
      </c>
      <c r="K887">
        <v>3.59</v>
      </c>
      <c r="L887">
        <f t="shared" ref="L887:N887" si="506">L886</f>
        <v>1.31</v>
      </c>
      <c r="M887">
        <f t="shared" si="506"/>
        <v>0.78600000000000003</v>
      </c>
      <c r="N887">
        <f t="shared" si="506"/>
        <v>0.161</v>
      </c>
      <c r="O887" s="21">
        <f t="shared" si="473"/>
        <v>2.3933333333333335</v>
      </c>
      <c r="P887" s="21">
        <f t="shared" si="474"/>
        <v>1.4488888888888891</v>
      </c>
      <c r="Q887" s="23" t="str">
        <f t="shared" ref="Q887:Q948" si="507">IF(LEFT(G887,7)="IMPROVE",O887,"")</f>
        <v/>
      </c>
      <c r="R887" s="23">
        <f t="shared" ref="R887:R948" si="508">IF(LEFT(G887,7)="FARMER ",O887,"")</f>
        <v>2.3933333333333335</v>
      </c>
      <c r="T887" t="str">
        <f t="shared" ref="T887:T950" si="509">IF(O887&gt;14,"VVVVVVVV","")</f>
        <v/>
      </c>
    </row>
    <row r="888" spans="1:20" x14ac:dyDescent="0.2">
      <c r="A888">
        <v>899</v>
      </c>
      <c r="B888" t="s">
        <v>289</v>
      </c>
      <c r="D888" t="s">
        <v>13</v>
      </c>
      <c r="E888" t="s">
        <v>9</v>
      </c>
      <c r="G888" t="s">
        <v>10</v>
      </c>
      <c r="H888">
        <v>27</v>
      </c>
      <c r="I888">
        <v>28</v>
      </c>
      <c r="J888">
        <v>8.81</v>
      </c>
      <c r="K888">
        <v>6.73</v>
      </c>
      <c r="L888">
        <v>1.31</v>
      </c>
      <c r="M888">
        <v>0.73799999999999999</v>
      </c>
      <c r="N888">
        <v>0.13800000000000001</v>
      </c>
      <c r="O888" s="21">
        <f t="shared" si="473"/>
        <v>4.2126717557251911</v>
      </c>
      <c r="P888" s="21">
        <f t="shared" si="474"/>
        <v>3.6764376590330792</v>
      </c>
      <c r="Q888" s="23">
        <f t="shared" si="507"/>
        <v>4.2126717557251911</v>
      </c>
      <c r="R888" s="23" t="str">
        <f t="shared" si="508"/>
        <v/>
      </c>
      <c r="T888" t="str">
        <f t="shared" si="509"/>
        <v/>
      </c>
    </row>
    <row r="889" spans="1:20" x14ac:dyDescent="0.2">
      <c r="A889">
        <v>900</v>
      </c>
      <c r="B889" t="s">
        <v>289</v>
      </c>
      <c r="D889" t="s">
        <v>13</v>
      </c>
      <c r="E889" t="s">
        <v>9</v>
      </c>
      <c r="G889" t="s">
        <v>11</v>
      </c>
      <c r="H889">
        <v>27</v>
      </c>
      <c r="I889">
        <v>29</v>
      </c>
      <c r="J889">
        <v>8.6199999999999992</v>
      </c>
      <c r="K889">
        <v>5.89</v>
      </c>
      <c r="L889">
        <f t="shared" ref="L889:N889" si="510">L888</f>
        <v>1.31</v>
      </c>
      <c r="M889">
        <f t="shared" si="510"/>
        <v>0.73799999999999999</v>
      </c>
      <c r="N889">
        <f t="shared" si="510"/>
        <v>0.13800000000000001</v>
      </c>
      <c r="O889" s="21">
        <f t="shared" si="473"/>
        <v>3.6868702290076336</v>
      </c>
      <c r="P889" s="21">
        <f t="shared" si="474"/>
        <v>3.5971501272264628</v>
      </c>
      <c r="Q889" s="23">
        <f t="shared" si="507"/>
        <v>3.6868702290076336</v>
      </c>
      <c r="R889" s="23" t="str">
        <f t="shared" si="508"/>
        <v/>
      </c>
      <c r="T889" t="str">
        <f t="shared" si="509"/>
        <v/>
      </c>
    </row>
    <row r="890" spans="1:20" x14ac:dyDescent="0.2">
      <c r="A890">
        <v>901</v>
      </c>
      <c r="B890" t="s">
        <v>289</v>
      </c>
      <c r="D890" t="s">
        <v>13</v>
      </c>
      <c r="E890" t="s">
        <v>9</v>
      </c>
      <c r="G890" t="s">
        <v>12</v>
      </c>
      <c r="H890">
        <v>33</v>
      </c>
      <c r="I890">
        <v>35</v>
      </c>
      <c r="J890">
        <v>6.72</v>
      </c>
      <c r="K890">
        <v>6.06</v>
      </c>
      <c r="L890">
        <v>0.95</v>
      </c>
      <c r="M890">
        <v>0.66400000000000003</v>
      </c>
      <c r="N890">
        <v>0.11799999999999999</v>
      </c>
      <c r="O890" s="21">
        <f t="shared" ref="O890:O944" si="511">K890*(M890/L890)*(10/9)</f>
        <v>4.7062456140350886</v>
      </c>
      <c r="P890" s="21">
        <f t="shared" ref="P890:P944" si="512">J890*(M890/(L890*1.5))*(10/9)</f>
        <v>3.4792046783625739</v>
      </c>
      <c r="Q890" s="23" t="str">
        <f t="shared" si="507"/>
        <v/>
      </c>
      <c r="R890" s="23">
        <f t="shared" si="508"/>
        <v>4.7062456140350886</v>
      </c>
      <c r="T890" t="str">
        <f t="shared" si="509"/>
        <v/>
      </c>
    </row>
    <row r="891" spans="1:20" x14ac:dyDescent="0.2">
      <c r="A891">
        <v>902</v>
      </c>
      <c r="B891" t="s">
        <v>289</v>
      </c>
      <c r="D891" t="s">
        <v>13</v>
      </c>
      <c r="E891" t="s">
        <v>9</v>
      </c>
      <c r="G891" t="s">
        <v>14</v>
      </c>
      <c r="H891">
        <v>26</v>
      </c>
      <c r="I891">
        <v>31</v>
      </c>
      <c r="J891">
        <v>5.52</v>
      </c>
      <c r="K891">
        <v>5.27</v>
      </c>
      <c r="L891">
        <f>L890</f>
        <v>0.95</v>
      </c>
      <c r="M891">
        <f t="shared" ref="M891:N891" si="513">M890</f>
        <v>0.66400000000000003</v>
      </c>
      <c r="N891">
        <f t="shared" si="513"/>
        <v>0.11799999999999999</v>
      </c>
      <c r="O891" s="21">
        <f t="shared" si="511"/>
        <v>4.0927251461988305</v>
      </c>
      <c r="P891" s="21">
        <f t="shared" si="512"/>
        <v>2.8579181286549713</v>
      </c>
      <c r="Q891" s="23" t="str">
        <f t="shared" si="507"/>
        <v/>
      </c>
      <c r="R891" s="23">
        <f t="shared" si="508"/>
        <v>4.0927251461988305</v>
      </c>
      <c r="T891" t="str">
        <f t="shared" si="509"/>
        <v/>
      </c>
    </row>
    <row r="892" spans="1:20" x14ac:dyDescent="0.2">
      <c r="A892">
        <v>903</v>
      </c>
      <c r="B892" s="15" t="s">
        <v>290</v>
      </c>
      <c r="C892" s="15"/>
      <c r="D892" s="15" t="s">
        <v>13</v>
      </c>
      <c r="E892" s="15" t="s">
        <v>9</v>
      </c>
      <c r="F892" s="15"/>
      <c r="G892" s="15" t="s">
        <v>10</v>
      </c>
      <c r="H892" s="15">
        <v>36</v>
      </c>
      <c r="I892" s="15">
        <v>39</v>
      </c>
      <c r="J892" s="15">
        <v>14.32</v>
      </c>
      <c r="K892" s="15">
        <v>9.9</v>
      </c>
      <c r="L892" s="15">
        <v>1.68</v>
      </c>
      <c r="M892" s="15"/>
      <c r="N892" s="15"/>
      <c r="O892" s="21">
        <f t="shared" ref="O892:O895" si="514">K892*(0.55/0.964)*(10/9)</f>
        <v>6.2759336099585079</v>
      </c>
      <c r="P892" s="21">
        <f t="shared" ref="P892:P895" si="515">J892*(0.55/(0.964*1.5))*(10/9)</f>
        <v>6.0519440602428158</v>
      </c>
      <c r="Q892" s="23">
        <f t="shared" si="507"/>
        <v>6.2759336099585079</v>
      </c>
      <c r="R892" s="23" t="str">
        <f t="shared" si="508"/>
        <v/>
      </c>
      <c r="S892" s="15"/>
      <c r="T892" t="str">
        <f t="shared" si="509"/>
        <v/>
      </c>
    </row>
    <row r="893" spans="1:20" x14ac:dyDescent="0.2">
      <c r="A893">
        <v>904</v>
      </c>
      <c r="B893" s="15" t="s">
        <v>290</v>
      </c>
      <c r="C893" s="15"/>
      <c r="D893" s="15" t="s">
        <v>13</v>
      </c>
      <c r="E893" s="15" t="s">
        <v>9</v>
      </c>
      <c r="F893" s="15"/>
      <c r="G893" s="15" t="s">
        <v>11</v>
      </c>
      <c r="H893" s="15">
        <v>42</v>
      </c>
      <c r="I893" s="15">
        <v>45</v>
      </c>
      <c r="J893" s="15">
        <v>15.38</v>
      </c>
      <c r="K893" s="15">
        <v>10.67</v>
      </c>
      <c r="L893" s="15">
        <f>L892</f>
        <v>1.68</v>
      </c>
      <c r="M893" s="15"/>
      <c r="N893" s="15"/>
      <c r="O893" s="21">
        <f t="shared" si="514"/>
        <v>6.7640617796219473</v>
      </c>
      <c r="P893" s="21">
        <f t="shared" si="515"/>
        <v>6.4999231596741982</v>
      </c>
      <c r="Q893" s="23">
        <f t="shared" si="507"/>
        <v>6.7640617796219473</v>
      </c>
      <c r="R893" s="23" t="str">
        <f t="shared" si="508"/>
        <v/>
      </c>
      <c r="S893" s="15"/>
      <c r="T893" t="str">
        <f t="shared" si="509"/>
        <v/>
      </c>
    </row>
    <row r="894" spans="1:20" x14ac:dyDescent="0.2">
      <c r="A894">
        <v>905</v>
      </c>
      <c r="B894" s="15" t="s">
        <v>290</v>
      </c>
      <c r="C894" s="15"/>
      <c r="D894" s="15" t="s">
        <v>13</v>
      </c>
      <c r="E894" s="15" t="s">
        <v>9</v>
      </c>
      <c r="F894" s="15"/>
      <c r="G894" s="15" t="s">
        <v>12</v>
      </c>
      <c r="H894" s="15">
        <v>42</v>
      </c>
      <c r="I894" s="15">
        <v>41</v>
      </c>
      <c r="J894" s="15">
        <v>10.6</v>
      </c>
      <c r="K894" s="15">
        <v>8.07</v>
      </c>
      <c r="L894" s="15">
        <v>1.44</v>
      </c>
      <c r="M894" s="15"/>
      <c r="N894" s="15"/>
      <c r="O894" s="21">
        <f t="shared" si="514"/>
        <v>5.1158367911479958</v>
      </c>
      <c r="P894" s="21">
        <f t="shared" si="515"/>
        <v>4.4797909943138157</v>
      </c>
      <c r="Q894" s="23" t="str">
        <f t="shared" si="507"/>
        <v/>
      </c>
      <c r="R894" s="23">
        <f t="shared" si="508"/>
        <v>5.1158367911479958</v>
      </c>
      <c r="S894" s="15"/>
      <c r="T894" t="str">
        <f t="shared" si="509"/>
        <v/>
      </c>
    </row>
    <row r="895" spans="1:20" x14ac:dyDescent="0.2">
      <c r="A895">
        <v>906</v>
      </c>
      <c r="B895" s="15" t="s">
        <v>290</v>
      </c>
      <c r="C895" s="15"/>
      <c r="D895" s="15" t="s">
        <v>13</v>
      </c>
      <c r="E895" s="15" t="s">
        <v>9</v>
      </c>
      <c r="F895" s="15"/>
      <c r="G895" s="15" t="s">
        <v>14</v>
      </c>
      <c r="H895" s="15">
        <v>48</v>
      </c>
      <c r="I895" s="15">
        <v>42</v>
      </c>
      <c r="J895" s="15">
        <v>8.42</v>
      </c>
      <c r="K895" s="15">
        <v>7.67</v>
      </c>
      <c r="L895" s="15">
        <f t="shared" ref="L895" si="516">L894</f>
        <v>1.44</v>
      </c>
      <c r="M895" s="15"/>
      <c r="N895" s="15"/>
      <c r="O895" s="21">
        <f t="shared" si="514"/>
        <v>4.8622637159981572</v>
      </c>
      <c r="P895" s="21">
        <f t="shared" si="515"/>
        <v>3.5584754879360694</v>
      </c>
      <c r="Q895" s="23" t="str">
        <f t="shared" si="507"/>
        <v/>
      </c>
      <c r="R895" s="23">
        <f t="shared" si="508"/>
        <v>4.8622637159981572</v>
      </c>
      <c r="S895" s="15"/>
      <c r="T895" t="str">
        <f t="shared" si="509"/>
        <v/>
      </c>
    </row>
    <row r="896" spans="1:20" x14ac:dyDescent="0.2">
      <c r="A896">
        <v>907</v>
      </c>
      <c r="B896" t="s">
        <v>291</v>
      </c>
      <c r="C896" t="s">
        <v>402</v>
      </c>
      <c r="D896" t="s">
        <v>13</v>
      </c>
      <c r="E896" t="s">
        <v>9</v>
      </c>
      <c r="G896" t="s">
        <v>10</v>
      </c>
      <c r="H896">
        <v>51</v>
      </c>
      <c r="I896">
        <v>39</v>
      </c>
      <c r="J896">
        <v>15.6</v>
      </c>
      <c r="K896">
        <v>8.0299999999999994</v>
      </c>
      <c r="L896">
        <v>1.55</v>
      </c>
      <c r="M896">
        <v>0.72199999999999998</v>
      </c>
      <c r="N896">
        <v>0.159</v>
      </c>
      <c r="O896" s="21">
        <f t="shared" si="511"/>
        <v>4.1560286738351246</v>
      </c>
      <c r="P896" s="21">
        <f t="shared" si="512"/>
        <v>5.3826523297491029</v>
      </c>
      <c r="Q896" s="23">
        <f t="shared" si="507"/>
        <v>4.1560286738351246</v>
      </c>
      <c r="R896" s="23" t="str">
        <f t="shared" si="508"/>
        <v/>
      </c>
      <c r="T896" t="str">
        <f t="shared" si="509"/>
        <v/>
      </c>
    </row>
    <row r="897" spans="1:20" x14ac:dyDescent="0.2">
      <c r="A897">
        <v>908</v>
      </c>
      <c r="B897" t="s">
        <v>291</v>
      </c>
      <c r="C897" t="s">
        <v>402</v>
      </c>
      <c r="D897" t="s">
        <v>13</v>
      </c>
      <c r="E897" t="s">
        <v>9</v>
      </c>
      <c r="G897" t="s">
        <v>11</v>
      </c>
      <c r="H897">
        <v>38</v>
      </c>
      <c r="I897">
        <v>36</v>
      </c>
      <c r="J897">
        <v>12.41</v>
      </c>
      <c r="K897">
        <v>5.69</v>
      </c>
      <c r="L897">
        <f t="shared" ref="L897:N897" si="517">L896</f>
        <v>1.55</v>
      </c>
      <c r="M897">
        <f t="shared" si="517"/>
        <v>0.72199999999999998</v>
      </c>
      <c r="N897">
        <f t="shared" si="517"/>
        <v>0.159</v>
      </c>
      <c r="O897" s="21">
        <f t="shared" si="511"/>
        <v>2.9449318996415772</v>
      </c>
      <c r="P897" s="21">
        <f t="shared" si="512"/>
        <v>4.2819689366786138</v>
      </c>
      <c r="Q897" s="23">
        <f t="shared" si="507"/>
        <v>2.9449318996415772</v>
      </c>
      <c r="R897" s="23" t="str">
        <f t="shared" si="508"/>
        <v/>
      </c>
      <c r="T897" t="str">
        <f t="shared" si="509"/>
        <v/>
      </c>
    </row>
    <row r="898" spans="1:20" x14ac:dyDescent="0.2">
      <c r="A898">
        <v>909</v>
      </c>
      <c r="B898" t="s">
        <v>291</v>
      </c>
      <c r="C898" t="s">
        <v>402</v>
      </c>
      <c r="D898" t="s">
        <v>13</v>
      </c>
      <c r="E898" t="s">
        <v>9</v>
      </c>
      <c r="G898" t="s">
        <v>12</v>
      </c>
      <c r="H898">
        <v>45</v>
      </c>
      <c r="I898">
        <v>47</v>
      </c>
      <c r="J898">
        <v>8.17</v>
      </c>
      <c r="K898">
        <v>7.62</v>
      </c>
      <c r="L898">
        <v>0.84</v>
      </c>
      <c r="M898">
        <v>0.47199999999999998</v>
      </c>
      <c r="N898">
        <v>9.4E-2</v>
      </c>
      <c r="O898" s="21">
        <f t="shared" si="511"/>
        <v>4.7574603174603176</v>
      </c>
      <c r="P898" s="21">
        <f t="shared" si="512"/>
        <v>3.4005643738977072</v>
      </c>
      <c r="Q898" s="23" t="str">
        <f t="shared" si="507"/>
        <v/>
      </c>
      <c r="R898" s="23">
        <f t="shared" si="508"/>
        <v>4.7574603174603176</v>
      </c>
      <c r="T898" t="str">
        <f t="shared" si="509"/>
        <v/>
      </c>
    </row>
    <row r="899" spans="1:20" x14ac:dyDescent="0.2">
      <c r="A899">
        <v>910</v>
      </c>
      <c r="B899" t="s">
        <v>291</v>
      </c>
      <c r="C899" t="s">
        <v>402</v>
      </c>
      <c r="D899" t="s">
        <v>13</v>
      </c>
      <c r="E899" t="s">
        <v>9</v>
      </c>
      <c r="G899" t="s">
        <v>14</v>
      </c>
      <c r="H899">
        <v>48</v>
      </c>
      <c r="I899">
        <v>49</v>
      </c>
      <c r="J899">
        <v>9.0500000000000007</v>
      </c>
      <c r="K899">
        <v>8.6999999999999993</v>
      </c>
      <c r="L899">
        <f t="shared" ref="L899:N899" si="518">L898</f>
        <v>0.84</v>
      </c>
      <c r="M899">
        <f t="shared" si="518"/>
        <v>0.47199999999999998</v>
      </c>
      <c r="N899">
        <f t="shared" si="518"/>
        <v>9.4E-2</v>
      </c>
      <c r="O899" s="21">
        <f t="shared" si="511"/>
        <v>5.4317460317460311</v>
      </c>
      <c r="P899" s="21">
        <f t="shared" si="512"/>
        <v>3.7668430335097005</v>
      </c>
      <c r="Q899" s="23" t="str">
        <f t="shared" si="507"/>
        <v/>
      </c>
      <c r="R899" s="23">
        <f t="shared" si="508"/>
        <v>5.4317460317460311</v>
      </c>
      <c r="T899" t="str">
        <f t="shared" si="509"/>
        <v/>
      </c>
    </row>
    <row r="900" spans="1:20" x14ac:dyDescent="0.2">
      <c r="A900">
        <v>911</v>
      </c>
      <c r="B900" t="s">
        <v>292</v>
      </c>
      <c r="C900" t="s">
        <v>403</v>
      </c>
      <c r="D900" t="s">
        <v>13</v>
      </c>
      <c r="E900" t="s">
        <v>9</v>
      </c>
      <c r="G900" t="s">
        <v>10</v>
      </c>
      <c r="H900">
        <v>22</v>
      </c>
      <c r="I900">
        <v>22</v>
      </c>
      <c r="J900">
        <v>8.84</v>
      </c>
      <c r="K900">
        <v>4.5199999999999996</v>
      </c>
      <c r="L900">
        <v>1.44</v>
      </c>
      <c r="M900">
        <v>0.20899999999999999</v>
      </c>
      <c r="N900">
        <v>2.4E-2</v>
      </c>
      <c r="O900" s="21">
        <f t="shared" si="511"/>
        <v>0.72891975308641976</v>
      </c>
      <c r="P900" s="21">
        <f t="shared" si="512"/>
        <v>0.95039094650205758</v>
      </c>
      <c r="Q900" s="23">
        <f t="shared" si="507"/>
        <v>0.72891975308641976</v>
      </c>
      <c r="R900" s="23" t="str">
        <f t="shared" si="508"/>
        <v/>
      </c>
      <c r="T900" t="str">
        <f t="shared" si="509"/>
        <v/>
      </c>
    </row>
    <row r="901" spans="1:20" x14ac:dyDescent="0.2">
      <c r="A901">
        <v>912</v>
      </c>
      <c r="B901" t="s">
        <v>292</v>
      </c>
      <c r="C901" t="s">
        <v>403</v>
      </c>
      <c r="D901" t="s">
        <v>13</v>
      </c>
      <c r="E901" t="s">
        <v>9</v>
      </c>
      <c r="G901" t="s">
        <v>11</v>
      </c>
      <c r="H901">
        <v>26</v>
      </c>
      <c r="I901">
        <v>24</v>
      </c>
      <c r="J901">
        <v>8.4499999999999993</v>
      </c>
      <c r="K901">
        <v>4.63</v>
      </c>
      <c r="L901">
        <f t="shared" ref="L901:N901" si="519">L900</f>
        <v>1.44</v>
      </c>
      <c r="M901">
        <f t="shared" si="519"/>
        <v>0.20899999999999999</v>
      </c>
      <c r="N901">
        <f t="shared" si="519"/>
        <v>2.4E-2</v>
      </c>
      <c r="O901" s="21">
        <f t="shared" si="511"/>
        <v>0.74665895061728393</v>
      </c>
      <c r="P901" s="21">
        <f t="shared" si="512"/>
        <v>0.90846193415637855</v>
      </c>
      <c r="Q901" s="23">
        <f t="shared" si="507"/>
        <v>0.74665895061728393</v>
      </c>
      <c r="R901" s="23" t="str">
        <f t="shared" si="508"/>
        <v/>
      </c>
      <c r="T901" t="str">
        <f t="shared" si="509"/>
        <v/>
      </c>
    </row>
    <row r="902" spans="1:20" x14ac:dyDescent="0.2">
      <c r="A902">
        <v>913</v>
      </c>
      <c r="B902" t="s">
        <v>292</v>
      </c>
      <c r="C902" t="s">
        <v>403</v>
      </c>
      <c r="D902" t="s">
        <v>13</v>
      </c>
      <c r="E902" t="s">
        <v>9</v>
      </c>
      <c r="G902" t="s">
        <v>12</v>
      </c>
      <c r="H902">
        <v>23</v>
      </c>
      <c r="I902">
        <v>23</v>
      </c>
      <c r="J902">
        <v>6.74</v>
      </c>
      <c r="K902">
        <v>3.46</v>
      </c>
      <c r="L902">
        <v>1.46</v>
      </c>
      <c r="M902">
        <v>0.68700000000000006</v>
      </c>
      <c r="N902">
        <v>0.13100000000000001</v>
      </c>
      <c r="O902" s="21">
        <f t="shared" si="511"/>
        <v>1.8089954337899545</v>
      </c>
      <c r="P902" s="21">
        <f t="shared" si="512"/>
        <v>2.3492541856925424</v>
      </c>
      <c r="Q902" s="23" t="str">
        <f t="shared" si="507"/>
        <v/>
      </c>
      <c r="R902" s="23">
        <f t="shared" si="508"/>
        <v>1.8089954337899545</v>
      </c>
      <c r="T902" t="str">
        <f t="shared" si="509"/>
        <v/>
      </c>
    </row>
    <row r="903" spans="1:20" x14ac:dyDescent="0.2">
      <c r="A903">
        <v>914</v>
      </c>
      <c r="B903" t="s">
        <v>292</v>
      </c>
      <c r="C903" t="s">
        <v>403</v>
      </c>
      <c r="D903" t="s">
        <v>13</v>
      </c>
      <c r="E903" t="s">
        <v>9</v>
      </c>
      <c r="G903" t="s">
        <v>14</v>
      </c>
      <c r="H903">
        <v>21</v>
      </c>
      <c r="I903">
        <v>23</v>
      </c>
      <c r="J903">
        <v>5.82</v>
      </c>
      <c r="K903">
        <v>3.53</v>
      </c>
      <c r="L903">
        <f t="shared" ref="L903:N903" si="520">L902</f>
        <v>1.46</v>
      </c>
      <c r="M903">
        <f t="shared" si="520"/>
        <v>0.68700000000000006</v>
      </c>
      <c r="N903">
        <f t="shared" si="520"/>
        <v>0.13100000000000001</v>
      </c>
      <c r="O903" s="21">
        <f t="shared" si="511"/>
        <v>1.8455936073059362</v>
      </c>
      <c r="P903" s="21">
        <f t="shared" si="512"/>
        <v>2.0285844748858453</v>
      </c>
      <c r="Q903" s="23" t="str">
        <f t="shared" si="507"/>
        <v/>
      </c>
      <c r="R903" s="23">
        <f t="shared" si="508"/>
        <v>1.8455936073059362</v>
      </c>
      <c r="T903" t="str">
        <f t="shared" si="509"/>
        <v/>
      </c>
    </row>
    <row r="904" spans="1:20" x14ac:dyDescent="0.2">
      <c r="A904">
        <v>915</v>
      </c>
      <c r="B904" t="s">
        <v>293</v>
      </c>
      <c r="C904" t="s">
        <v>405</v>
      </c>
      <c r="D904" t="s">
        <v>13</v>
      </c>
      <c r="E904" t="s">
        <v>9</v>
      </c>
      <c r="G904" t="s">
        <v>10</v>
      </c>
      <c r="H904">
        <v>40</v>
      </c>
      <c r="I904">
        <v>40</v>
      </c>
      <c r="J904">
        <v>8.43</v>
      </c>
      <c r="K904">
        <v>6.45</v>
      </c>
      <c r="L904">
        <v>1.21</v>
      </c>
      <c r="M904">
        <v>0.433</v>
      </c>
      <c r="N904">
        <v>5.2999999999999999E-2</v>
      </c>
      <c r="O904" s="21">
        <f t="shared" si="511"/>
        <v>2.5646005509641876</v>
      </c>
      <c r="P904" s="21">
        <f t="shared" si="512"/>
        <v>2.2345821854912766</v>
      </c>
      <c r="Q904" s="23">
        <f t="shared" si="507"/>
        <v>2.5646005509641876</v>
      </c>
      <c r="R904" s="23" t="str">
        <f t="shared" si="508"/>
        <v/>
      </c>
      <c r="T904" t="str">
        <f t="shared" si="509"/>
        <v/>
      </c>
    </row>
    <row r="905" spans="1:20" x14ac:dyDescent="0.2">
      <c r="A905">
        <v>916</v>
      </c>
      <c r="B905" t="s">
        <v>293</v>
      </c>
      <c r="C905" t="s">
        <v>405</v>
      </c>
      <c r="D905" t="s">
        <v>13</v>
      </c>
      <c r="E905" t="s">
        <v>9</v>
      </c>
      <c r="G905" t="s">
        <v>11</v>
      </c>
      <c r="H905">
        <v>46</v>
      </c>
      <c r="I905">
        <v>50</v>
      </c>
      <c r="J905">
        <v>10.65</v>
      </c>
      <c r="K905">
        <v>9.02</v>
      </c>
      <c r="L905">
        <f t="shared" ref="L905:N905" si="521">L904</f>
        <v>1.21</v>
      </c>
      <c r="M905">
        <f t="shared" si="521"/>
        <v>0.433</v>
      </c>
      <c r="N905">
        <f t="shared" si="521"/>
        <v>5.2999999999999999E-2</v>
      </c>
      <c r="O905" s="21">
        <f t="shared" si="511"/>
        <v>3.5864646464646466</v>
      </c>
      <c r="P905" s="21">
        <f t="shared" si="512"/>
        <v>2.8230486685032146</v>
      </c>
      <c r="Q905" s="23">
        <f t="shared" si="507"/>
        <v>3.5864646464646466</v>
      </c>
      <c r="R905" s="23" t="str">
        <f t="shared" si="508"/>
        <v/>
      </c>
      <c r="T905" t="str">
        <f t="shared" si="509"/>
        <v/>
      </c>
    </row>
    <row r="906" spans="1:20" x14ac:dyDescent="0.2">
      <c r="A906">
        <v>917</v>
      </c>
      <c r="B906" t="s">
        <v>293</v>
      </c>
      <c r="C906" t="s">
        <v>405</v>
      </c>
      <c r="D906" t="s">
        <v>13</v>
      </c>
      <c r="E906" t="s">
        <v>9</v>
      </c>
      <c r="G906" t="s">
        <v>12</v>
      </c>
      <c r="H906">
        <v>56</v>
      </c>
      <c r="I906">
        <v>56</v>
      </c>
      <c r="J906">
        <v>13.24</v>
      </c>
      <c r="K906">
        <v>12.07</v>
      </c>
      <c r="L906">
        <v>0.86</v>
      </c>
      <c r="M906">
        <v>0.23400000000000001</v>
      </c>
      <c r="N906">
        <v>4.9000000000000002E-2</v>
      </c>
      <c r="O906" s="21">
        <f t="shared" si="511"/>
        <v>3.6490697674418611</v>
      </c>
      <c r="P906" s="21">
        <f t="shared" si="512"/>
        <v>2.668527131782946</v>
      </c>
      <c r="Q906" s="23" t="str">
        <f t="shared" si="507"/>
        <v/>
      </c>
      <c r="R906" s="23">
        <f t="shared" si="508"/>
        <v>3.6490697674418611</v>
      </c>
      <c r="T906" t="str">
        <f t="shared" si="509"/>
        <v/>
      </c>
    </row>
    <row r="907" spans="1:20" x14ac:dyDescent="0.2">
      <c r="A907">
        <v>918</v>
      </c>
      <c r="B907" t="s">
        <v>293</v>
      </c>
      <c r="C907" t="s">
        <v>405</v>
      </c>
      <c r="D907" t="s">
        <v>13</v>
      </c>
      <c r="E907" t="s">
        <v>9</v>
      </c>
      <c r="G907" t="s">
        <v>14</v>
      </c>
      <c r="H907">
        <v>39</v>
      </c>
      <c r="I907">
        <v>39</v>
      </c>
      <c r="J907">
        <v>9.23</v>
      </c>
      <c r="K907">
        <v>7.49</v>
      </c>
      <c r="L907">
        <f>L906</f>
        <v>0.86</v>
      </c>
      <c r="M907">
        <f t="shared" ref="M907" si="522">M906</f>
        <v>0.23400000000000001</v>
      </c>
      <c r="N907">
        <f t="shared" ref="N907" si="523">N906</f>
        <v>4.9000000000000002E-2</v>
      </c>
      <c r="O907" s="21">
        <f t="shared" si="511"/>
        <v>2.264418604651163</v>
      </c>
      <c r="P907" s="21">
        <f t="shared" si="512"/>
        <v>1.8603100775193802</v>
      </c>
      <c r="Q907" s="23" t="str">
        <f t="shared" si="507"/>
        <v/>
      </c>
      <c r="R907" s="23">
        <f t="shared" si="508"/>
        <v>2.264418604651163</v>
      </c>
      <c r="T907" t="str">
        <f t="shared" si="509"/>
        <v/>
      </c>
    </row>
    <row r="908" spans="1:20" x14ac:dyDescent="0.2">
      <c r="A908">
        <v>919</v>
      </c>
      <c r="B908" s="6" t="s">
        <v>294</v>
      </c>
      <c r="C908" t="s">
        <v>404</v>
      </c>
      <c r="D908" s="6" t="s">
        <v>13</v>
      </c>
      <c r="E908" s="6" t="s">
        <v>9</v>
      </c>
      <c r="F908" s="6"/>
      <c r="G908" s="6" t="s">
        <v>10</v>
      </c>
      <c r="H908" s="6">
        <v>27</v>
      </c>
      <c r="I908" s="6">
        <v>30</v>
      </c>
      <c r="J908" s="6">
        <v>6.1</v>
      </c>
      <c r="K908" s="6">
        <v>5.87</v>
      </c>
      <c r="L908" s="6">
        <v>1.39</v>
      </c>
      <c r="M908" s="6"/>
      <c r="N908" s="6"/>
      <c r="O908" s="21">
        <f t="shared" ref="O908:O915" si="524">K908*(0.55/0.964)*(10/9)</f>
        <v>3.7211848778238825</v>
      </c>
      <c r="P908" s="21">
        <f t="shared" ref="P908:P915" si="525">J908*(0.55/(0.964*1.5))*(10/9)</f>
        <v>2.5779929306900264</v>
      </c>
      <c r="Q908" s="23">
        <f t="shared" si="507"/>
        <v>3.7211848778238825</v>
      </c>
      <c r="R908" s="23" t="str">
        <f t="shared" si="508"/>
        <v/>
      </c>
      <c r="T908" t="str">
        <f t="shared" si="509"/>
        <v/>
      </c>
    </row>
    <row r="909" spans="1:20" x14ac:dyDescent="0.2">
      <c r="A909">
        <v>920</v>
      </c>
      <c r="B909" s="6" t="s">
        <v>294</v>
      </c>
      <c r="C909" t="s">
        <v>404</v>
      </c>
      <c r="D909" s="6" t="s">
        <v>13</v>
      </c>
      <c r="E909" s="6" t="s">
        <v>9</v>
      </c>
      <c r="F909" s="6"/>
      <c r="G909" s="6" t="s">
        <v>11</v>
      </c>
      <c r="H909" s="6">
        <v>27</v>
      </c>
      <c r="I909" s="6">
        <v>26</v>
      </c>
      <c r="J909" s="6">
        <v>5.4</v>
      </c>
      <c r="K909" s="6">
        <v>5.21</v>
      </c>
      <c r="L909" s="6">
        <f>L908</f>
        <v>1.39</v>
      </c>
      <c r="M909" s="6"/>
      <c r="N909" s="6"/>
      <c r="O909" s="21">
        <f t="shared" si="524"/>
        <v>3.3027893038266489</v>
      </c>
      <c r="P909" s="21">
        <f t="shared" si="525"/>
        <v>2.282157676348548</v>
      </c>
      <c r="Q909" s="23">
        <f t="shared" si="507"/>
        <v>3.3027893038266489</v>
      </c>
      <c r="R909" s="23" t="str">
        <f t="shared" si="508"/>
        <v/>
      </c>
      <c r="T909" t="str">
        <f t="shared" si="509"/>
        <v/>
      </c>
    </row>
    <row r="910" spans="1:20" x14ac:dyDescent="0.2">
      <c r="A910">
        <v>921</v>
      </c>
      <c r="B910" s="6" t="s">
        <v>294</v>
      </c>
      <c r="C910" t="s">
        <v>404</v>
      </c>
      <c r="D910" s="6" t="s">
        <v>13</v>
      </c>
      <c r="E910" s="6" t="s">
        <v>9</v>
      </c>
      <c r="F910" s="6"/>
      <c r="G910" s="6" t="s">
        <v>12</v>
      </c>
      <c r="H910" s="6">
        <v>40</v>
      </c>
      <c r="I910" s="6">
        <v>38</v>
      </c>
      <c r="J910" s="6">
        <v>6.6</v>
      </c>
      <c r="K910" s="6">
        <v>5.83</v>
      </c>
      <c r="L910" s="6">
        <v>0.35</v>
      </c>
      <c r="M910" s="6"/>
      <c r="N910" s="6"/>
      <c r="O910" s="21">
        <f t="shared" si="524"/>
        <v>3.6958275703088987</v>
      </c>
      <c r="P910" s="21">
        <f t="shared" si="525"/>
        <v>2.7893038266482253</v>
      </c>
      <c r="Q910" s="23" t="str">
        <f t="shared" si="507"/>
        <v/>
      </c>
      <c r="R910" s="23">
        <f t="shared" si="508"/>
        <v>3.6958275703088987</v>
      </c>
      <c r="T910" t="str">
        <f t="shared" si="509"/>
        <v/>
      </c>
    </row>
    <row r="911" spans="1:20" x14ac:dyDescent="0.2">
      <c r="A911">
        <v>922</v>
      </c>
      <c r="B911" s="6" t="s">
        <v>294</v>
      </c>
      <c r="C911" t="s">
        <v>404</v>
      </c>
      <c r="D911" s="6" t="s">
        <v>13</v>
      </c>
      <c r="E911" s="6" t="s">
        <v>9</v>
      </c>
      <c r="F911" s="6"/>
      <c r="G911" s="6" t="s">
        <v>14</v>
      </c>
      <c r="H911" s="6">
        <v>30</v>
      </c>
      <c r="I911" s="6">
        <v>34</v>
      </c>
      <c r="J911" s="6">
        <v>7.81</v>
      </c>
      <c r="K911" s="6">
        <v>7.47</v>
      </c>
      <c r="L911" s="6">
        <f>L910</f>
        <v>0.35</v>
      </c>
      <c r="M911" s="6"/>
      <c r="N911" s="6"/>
      <c r="O911" s="21">
        <f t="shared" si="524"/>
        <v>4.7354771784232375</v>
      </c>
      <c r="P911" s="21">
        <f t="shared" si="525"/>
        <v>3.3006761948670666</v>
      </c>
      <c r="Q911" s="23" t="str">
        <f t="shared" si="507"/>
        <v/>
      </c>
      <c r="R911" s="23">
        <f t="shared" si="508"/>
        <v>4.7354771784232375</v>
      </c>
      <c r="T911" t="str">
        <f t="shared" si="509"/>
        <v/>
      </c>
    </row>
    <row r="912" spans="1:20" x14ac:dyDescent="0.2">
      <c r="A912">
        <v>923</v>
      </c>
      <c r="B912" s="6" t="s">
        <v>295</v>
      </c>
      <c r="C912" t="s">
        <v>406</v>
      </c>
      <c r="D912" s="6" t="s">
        <v>13</v>
      </c>
      <c r="E912" s="6" t="s">
        <v>9</v>
      </c>
      <c r="F912" s="6"/>
      <c r="G912" s="6" t="s">
        <v>10</v>
      </c>
      <c r="H912" s="6">
        <v>48</v>
      </c>
      <c r="I912" s="6">
        <v>40</v>
      </c>
      <c r="J912" s="6">
        <v>10.19</v>
      </c>
      <c r="K912" s="6">
        <v>6.74</v>
      </c>
      <c r="L912" s="6">
        <v>1.54</v>
      </c>
      <c r="M912" s="6"/>
      <c r="N912" s="6"/>
      <c r="O912" s="21">
        <f t="shared" si="524"/>
        <v>4.2727063162747818</v>
      </c>
      <c r="P912" s="21">
        <f t="shared" si="525"/>
        <v>4.3065160596280929</v>
      </c>
      <c r="Q912" s="23">
        <f t="shared" si="507"/>
        <v>4.2727063162747818</v>
      </c>
      <c r="R912" s="23" t="str">
        <f t="shared" si="508"/>
        <v/>
      </c>
      <c r="T912" t="str">
        <f t="shared" si="509"/>
        <v/>
      </c>
    </row>
    <row r="913" spans="1:20" x14ac:dyDescent="0.2">
      <c r="A913">
        <v>924</v>
      </c>
      <c r="B913" s="6" t="s">
        <v>295</v>
      </c>
      <c r="C913" t="s">
        <v>406</v>
      </c>
      <c r="D913" s="6" t="s">
        <v>13</v>
      </c>
      <c r="E913" s="6" t="s">
        <v>9</v>
      </c>
      <c r="F913" s="6"/>
      <c r="G913" s="6" t="s">
        <v>11</v>
      </c>
      <c r="H913" s="6">
        <v>47</v>
      </c>
      <c r="I913" s="6">
        <v>47</v>
      </c>
      <c r="J913" s="6">
        <v>9.2200000000000006</v>
      </c>
      <c r="K913" s="6">
        <v>7.77</v>
      </c>
      <c r="L913" s="6">
        <f>L912</f>
        <v>1.54</v>
      </c>
      <c r="M913" s="6"/>
      <c r="N913" s="6"/>
      <c r="O913" s="21">
        <f t="shared" si="524"/>
        <v>4.9256569847856166</v>
      </c>
      <c r="P913" s="21">
        <f t="shared" si="525"/>
        <v>3.8965729214691875</v>
      </c>
      <c r="Q913" s="23">
        <f t="shared" si="507"/>
        <v>4.9256569847856166</v>
      </c>
      <c r="R913" s="23" t="str">
        <f t="shared" si="508"/>
        <v/>
      </c>
      <c r="T913" t="str">
        <f t="shared" si="509"/>
        <v/>
      </c>
    </row>
    <row r="914" spans="1:20" x14ac:dyDescent="0.2">
      <c r="A914">
        <v>925</v>
      </c>
      <c r="B914" s="6" t="s">
        <v>295</v>
      </c>
      <c r="C914" t="s">
        <v>406</v>
      </c>
      <c r="D914" s="6" t="s">
        <v>13</v>
      </c>
      <c r="E914" s="6" t="s">
        <v>9</v>
      </c>
      <c r="F914" s="6"/>
      <c r="G914" s="6" t="s">
        <v>12</v>
      </c>
      <c r="H914" s="6">
        <v>35</v>
      </c>
      <c r="I914" s="6">
        <v>32</v>
      </c>
      <c r="J914" s="6">
        <v>9.2100000000000009</v>
      </c>
      <c r="K914" s="6">
        <v>7.59</v>
      </c>
      <c r="L914" s="6">
        <v>0.98</v>
      </c>
      <c r="M914" s="6"/>
      <c r="N914" s="6"/>
      <c r="O914" s="21">
        <f t="shared" si="524"/>
        <v>4.8115491009681888</v>
      </c>
      <c r="P914" s="21">
        <f t="shared" si="525"/>
        <v>3.8923467035500243</v>
      </c>
      <c r="Q914" s="23" t="str">
        <f t="shared" si="507"/>
        <v/>
      </c>
      <c r="R914" s="23">
        <f t="shared" si="508"/>
        <v>4.8115491009681888</v>
      </c>
      <c r="T914" t="str">
        <f t="shared" si="509"/>
        <v/>
      </c>
    </row>
    <row r="915" spans="1:20" x14ac:dyDescent="0.2">
      <c r="A915">
        <v>926</v>
      </c>
      <c r="B915" s="6" t="s">
        <v>295</v>
      </c>
      <c r="C915" t="s">
        <v>406</v>
      </c>
      <c r="D915" s="6" t="s">
        <v>13</v>
      </c>
      <c r="E915" s="6" t="s">
        <v>9</v>
      </c>
      <c r="F915" s="6"/>
      <c r="G915" s="6" t="s">
        <v>14</v>
      </c>
      <c r="H915" s="6">
        <v>50</v>
      </c>
      <c r="I915" s="6">
        <v>50</v>
      </c>
      <c r="J915" s="6">
        <v>10.71</v>
      </c>
      <c r="K915" s="6">
        <v>9.67</v>
      </c>
      <c r="L915" s="6">
        <f>L914</f>
        <v>0.98</v>
      </c>
      <c r="M915" s="6"/>
      <c r="N915" s="6"/>
      <c r="O915" s="21">
        <f t="shared" si="524"/>
        <v>6.1301290917473494</v>
      </c>
      <c r="P915" s="21">
        <f t="shared" si="525"/>
        <v>4.5262793914246204</v>
      </c>
      <c r="Q915" s="23" t="str">
        <f t="shared" si="507"/>
        <v/>
      </c>
      <c r="R915" s="23">
        <f t="shared" si="508"/>
        <v>6.1301290917473494</v>
      </c>
      <c r="T915" t="str">
        <f t="shared" si="509"/>
        <v/>
      </c>
    </row>
    <row r="916" spans="1:20" x14ac:dyDescent="0.2">
      <c r="A916">
        <v>927</v>
      </c>
      <c r="B916" s="15" t="s">
        <v>296</v>
      </c>
      <c r="C916" s="25" t="s">
        <v>296</v>
      </c>
      <c r="D916" s="15" t="s">
        <v>13</v>
      </c>
      <c r="E916" s="15" t="s">
        <v>9</v>
      </c>
      <c r="F916" s="15"/>
      <c r="G916" s="15" t="s">
        <v>10</v>
      </c>
      <c r="H916" s="15">
        <v>50</v>
      </c>
      <c r="I916" s="15">
        <v>55</v>
      </c>
      <c r="J916" s="15">
        <v>6.97</v>
      </c>
      <c r="K916" s="15">
        <v>16.71</v>
      </c>
      <c r="L916" s="15">
        <v>1.6</v>
      </c>
      <c r="M916" s="15">
        <v>0.88</v>
      </c>
      <c r="N916" s="15"/>
      <c r="O916" s="21">
        <f t="shared" si="511"/>
        <v>10.211666666666668</v>
      </c>
      <c r="P916" s="21">
        <f t="shared" si="512"/>
        <v>2.8396296296296293</v>
      </c>
      <c r="Q916" s="23">
        <f t="shared" si="507"/>
        <v>10.211666666666668</v>
      </c>
      <c r="R916" s="23" t="str">
        <f t="shared" si="508"/>
        <v/>
      </c>
      <c r="T916" t="str">
        <f t="shared" si="509"/>
        <v/>
      </c>
    </row>
    <row r="917" spans="1:20" x14ac:dyDescent="0.2">
      <c r="A917">
        <v>928</v>
      </c>
      <c r="B917" t="s">
        <v>296</v>
      </c>
      <c r="C917" s="25" t="s">
        <v>296</v>
      </c>
      <c r="D917" t="s">
        <v>13</v>
      </c>
      <c r="E917" t="s">
        <v>9</v>
      </c>
      <c r="G917" t="s">
        <v>11</v>
      </c>
      <c r="H917">
        <v>49</v>
      </c>
      <c r="I917">
        <v>68</v>
      </c>
      <c r="J917">
        <v>13.87</v>
      </c>
      <c r="K917">
        <v>10.85</v>
      </c>
      <c r="L917">
        <f t="shared" ref="L917" si="526">L916</f>
        <v>1.6</v>
      </c>
      <c r="M917">
        <v>0.88</v>
      </c>
      <c r="O917" s="21">
        <f t="shared" si="511"/>
        <v>6.6305555555555555</v>
      </c>
      <c r="P917" s="21">
        <f t="shared" si="512"/>
        <v>5.6507407407407397</v>
      </c>
      <c r="Q917" s="23">
        <f t="shared" si="507"/>
        <v>6.6305555555555555</v>
      </c>
      <c r="R917" s="23" t="str">
        <f t="shared" si="508"/>
        <v/>
      </c>
      <c r="T917" t="str">
        <f t="shared" si="509"/>
        <v/>
      </c>
    </row>
    <row r="918" spans="1:20" x14ac:dyDescent="0.2">
      <c r="A918">
        <v>929</v>
      </c>
      <c r="B918" t="s">
        <v>296</v>
      </c>
      <c r="C918" s="25" t="s">
        <v>296</v>
      </c>
      <c r="D918" t="s">
        <v>13</v>
      </c>
      <c r="E918" t="s">
        <v>9</v>
      </c>
      <c r="G918" t="s">
        <v>12</v>
      </c>
      <c r="H918">
        <v>48</v>
      </c>
      <c r="I918">
        <v>57</v>
      </c>
      <c r="J918">
        <v>14.9</v>
      </c>
      <c r="K918">
        <v>14.56</v>
      </c>
      <c r="L918">
        <v>0.74</v>
      </c>
      <c r="M918">
        <v>0.40899999999999997</v>
      </c>
      <c r="N918">
        <v>6.9000000000000006E-2</v>
      </c>
      <c r="O918" s="21">
        <f t="shared" si="511"/>
        <v>8.9415015015015022</v>
      </c>
      <c r="P918" s="21">
        <f t="shared" si="512"/>
        <v>6.1002002002002014</v>
      </c>
      <c r="Q918" s="23" t="str">
        <f t="shared" si="507"/>
        <v/>
      </c>
      <c r="R918" s="23">
        <f t="shared" si="508"/>
        <v>8.9415015015015022</v>
      </c>
      <c r="T918" t="str">
        <f t="shared" si="509"/>
        <v/>
      </c>
    </row>
    <row r="919" spans="1:20" x14ac:dyDescent="0.2">
      <c r="A919">
        <v>930</v>
      </c>
      <c r="B919" t="s">
        <v>296</v>
      </c>
      <c r="C919" s="25" t="s">
        <v>296</v>
      </c>
      <c r="D919" t="s">
        <v>13</v>
      </c>
      <c r="E919" t="s">
        <v>9</v>
      </c>
      <c r="G919" t="s">
        <v>14</v>
      </c>
      <c r="H919">
        <v>45</v>
      </c>
      <c r="I919">
        <v>49</v>
      </c>
      <c r="J919">
        <v>11.2</v>
      </c>
      <c r="K919">
        <v>11.34</v>
      </c>
      <c r="L919">
        <f>L918</f>
        <v>0.74</v>
      </c>
      <c r="M919">
        <f t="shared" ref="M919" si="527">M918</f>
        <v>0.40899999999999997</v>
      </c>
      <c r="N919">
        <f t="shared" ref="N919" si="528">N918</f>
        <v>6.9000000000000006E-2</v>
      </c>
      <c r="O919" s="21">
        <f t="shared" si="511"/>
        <v>6.9640540540540545</v>
      </c>
      <c r="P919" s="21">
        <f t="shared" si="512"/>
        <v>4.5853853853853854</v>
      </c>
      <c r="Q919" s="23" t="str">
        <f t="shared" si="507"/>
        <v/>
      </c>
      <c r="R919" s="23">
        <f t="shared" si="508"/>
        <v>6.9640540540540545</v>
      </c>
      <c r="T919" t="str">
        <f t="shared" si="509"/>
        <v/>
      </c>
    </row>
    <row r="920" spans="1:20" x14ac:dyDescent="0.2">
      <c r="A920">
        <v>931</v>
      </c>
      <c r="B920" s="15" t="s">
        <v>297</v>
      </c>
      <c r="C920" t="s">
        <v>297</v>
      </c>
      <c r="D920" s="15" t="s">
        <v>13</v>
      </c>
      <c r="E920" s="15" t="s">
        <v>27</v>
      </c>
      <c r="F920" s="15" t="s">
        <v>1550</v>
      </c>
      <c r="G920" s="15" t="s">
        <v>1552</v>
      </c>
      <c r="H920" s="15">
        <v>40</v>
      </c>
      <c r="I920" s="15">
        <v>42</v>
      </c>
      <c r="J920" s="15">
        <v>11.01</v>
      </c>
      <c r="K920" s="15">
        <v>7.57</v>
      </c>
      <c r="L920" s="15">
        <v>1.32</v>
      </c>
      <c r="M920" s="15"/>
      <c r="N920" s="15"/>
      <c r="O920" s="21">
        <f t="shared" ref="O920:O932" si="529">K920*(0.55/0.964)*(10/9)</f>
        <v>4.7988704472106978</v>
      </c>
      <c r="P920" s="21">
        <f t="shared" ref="P920:P932" si="530">J920*(0.55/(0.964*1.5))*(10/9)</f>
        <v>4.6530659289995393</v>
      </c>
      <c r="Q920" s="23" t="str">
        <f t="shared" si="507"/>
        <v/>
      </c>
      <c r="R920" s="23" t="str">
        <f t="shared" si="508"/>
        <v/>
      </c>
      <c r="T920" t="str">
        <f t="shared" si="509"/>
        <v/>
      </c>
    </row>
    <row r="921" spans="1:20" x14ac:dyDescent="0.2">
      <c r="A921">
        <v>932</v>
      </c>
      <c r="B921" s="15" t="s">
        <v>297</v>
      </c>
      <c r="C921" t="s">
        <v>297</v>
      </c>
      <c r="D921" s="15" t="s">
        <v>13</v>
      </c>
      <c r="E921" s="15" t="s">
        <v>27</v>
      </c>
      <c r="F921" s="15" t="s">
        <v>1550</v>
      </c>
      <c r="G921" s="15" t="s">
        <v>1554</v>
      </c>
      <c r="H921" s="15">
        <v>25</v>
      </c>
      <c r="I921" s="15">
        <v>27</v>
      </c>
      <c r="J921" s="15">
        <v>8.4600000000000009</v>
      </c>
      <c r="K921" s="15">
        <v>6.56</v>
      </c>
      <c r="L921" s="15">
        <f t="shared" ref="L921:L925" si="531">L920</f>
        <v>1.32</v>
      </c>
      <c r="M921" s="15"/>
      <c r="N921" s="15"/>
      <c r="O921" s="21">
        <f t="shared" si="529"/>
        <v>4.1585984324573539</v>
      </c>
      <c r="P921" s="21">
        <f t="shared" si="530"/>
        <v>3.5753803596127254</v>
      </c>
      <c r="Q921" s="23" t="str">
        <f t="shared" si="507"/>
        <v/>
      </c>
      <c r="R921" s="23" t="str">
        <f t="shared" si="508"/>
        <v/>
      </c>
      <c r="T921" t="str">
        <f t="shared" si="509"/>
        <v/>
      </c>
    </row>
    <row r="922" spans="1:20" x14ac:dyDescent="0.2">
      <c r="A922">
        <v>933</v>
      </c>
      <c r="B922" s="15" t="s">
        <v>297</v>
      </c>
      <c r="C922" t="s">
        <v>297</v>
      </c>
      <c r="D922" s="15" t="s">
        <v>13</v>
      </c>
      <c r="E922" s="15" t="s">
        <v>27</v>
      </c>
      <c r="F922" s="15" t="s">
        <v>1550</v>
      </c>
      <c r="G922" s="15" t="s">
        <v>1555</v>
      </c>
      <c r="H922" s="15">
        <v>25</v>
      </c>
      <c r="I922" s="15">
        <v>31</v>
      </c>
      <c r="J922" s="15">
        <v>6.5</v>
      </c>
      <c r="K922" s="15">
        <v>5.1100000000000003</v>
      </c>
      <c r="L922" s="15">
        <f t="shared" si="531"/>
        <v>1.32</v>
      </c>
      <c r="M922" s="15"/>
      <c r="N922" s="15"/>
      <c r="O922" s="21">
        <f t="shared" si="529"/>
        <v>3.2393960350391895</v>
      </c>
      <c r="P922" s="21">
        <f t="shared" si="530"/>
        <v>2.7470416474565855</v>
      </c>
      <c r="Q922" s="23" t="str">
        <f t="shared" si="507"/>
        <v/>
      </c>
      <c r="R922" s="23" t="str">
        <f t="shared" si="508"/>
        <v/>
      </c>
      <c r="T922" t="str">
        <f t="shared" si="509"/>
        <v/>
      </c>
    </row>
    <row r="923" spans="1:20" x14ac:dyDescent="0.2">
      <c r="A923">
        <v>934</v>
      </c>
      <c r="B923" s="15" t="s">
        <v>297</v>
      </c>
      <c r="C923" t="s">
        <v>297</v>
      </c>
      <c r="D923" s="15" t="s">
        <v>13</v>
      </c>
      <c r="E923" s="15" t="s">
        <v>27</v>
      </c>
      <c r="F923" s="15" t="s">
        <v>1551</v>
      </c>
      <c r="G923" s="15" t="s">
        <v>1552</v>
      </c>
      <c r="H923" s="15">
        <v>33</v>
      </c>
      <c r="I923" s="15">
        <v>35</v>
      </c>
      <c r="J923" s="15">
        <v>8.27</v>
      </c>
      <c r="K923" s="15">
        <v>6.29</v>
      </c>
      <c r="L923" s="15">
        <f t="shared" si="531"/>
        <v>1.32</v>
      </c>
      <c r="M923" s="15"/>
      <c r="N923" s="15"/>
      <c r="O923" s="21">
        <f t="shared" si="529"/>
        <v>3.9874366067312135</v>
      </c>
      <c r="P923" s="21">
        <f t="shared" si="530"/>
        <v>3.4950822191486091</v>
      </c>
      <c r="Q923" s="23" t="str">
        <f t="shared" si="507"/>
        <v/>
      </c>
      <c r="R923" s="23" t="str">
        <f t="shared" si="508"/>
        <v/>
      </c>
      <c r="S923" s="14"/>
      <c r="T923" t="str">
        <f t="shared" si="509"/>
        <v/>
      </c>
    </row>
    <row r="924" spans="1:20" x14ac:dyDescent="0.2">
      <c r="A924">
        <v>935</v>
      </c>
      <c r="B924" s="15" t="s">
        <v>297</v>
      </c>
      <c r="C924" t="s">
        <v>297</v>
      </c>
      <c r="D924" s="15" t="s">
        <v>13</v>
      </c>
      <c r="E924" s="15" t="s">
        <v>27</v>
      </c>
      <c r="F924" s="15" t="s">
        <v>1551</v>
      </c>
      <c r="G924" s="15" t="s">
        <v>1554</v>
      </c>
      <c r="H924" s="15">
        <v>38</v>
      </c>
      <c r="I924" s="15">
        <v>41</v>
      </c>
      <c r="J924" s="15">
        <v>9.83</v>
      </c>
      <c r="K924" s="15">
        <v>9.48</v>
      </c>
      <c r="L924" s="15">
        <f t="shared" si="531"/>
        <v>1.32</v>
      </c>
      <c r="M924" s="15"/>
      <c r="N924" s="15"/>
      <c r="O924" s="21">
        <f t="shared" si="529"/>
        <v>6.0096818810511774</v>
      </c>
      <c r="P924" s="21">
        <f t="shared" si="530"/>
        <v>4.1543722145381903</v>
      </c>
      <c r="Q924" s="23" t="str">
        <f t="shared" si="507"/>
        <v/>
      </c>
      <c r="R924" s="23" t="str">
        <f t="shared" si="508"/>
        <v/>
      </c>
      <c r="S924" s="14"/>
      <c r="T924" t="str">
        <f t="shared" si="509"/>
        <v/>
      </c>
    </row>
    <row r="925" spans="1:20" x14ac:dyDescent="0.2">
      <c r="A925">
        <v>936</v>
      </c>
      <c r="B925" s="15" t="s">
        <v>297</v>
      </c>
      <c r="C925" t="s">
        <v>297</v>
      </c>
      <c r="D925" s="15" t="s">
        <v>13</v>
      </c>
      <c r="E925" s="15" t="s">
        <v>27</v>
      </c>
      <c r="F925" s="15" t="s">
        <v>1551</v>
      </c>
      <c r="G925" s="15" t="s">
        <v>1555</v>
      </c>
      <c r="H925" s="15">
        <v>27</v>
      </c>
      <c r="I925" s="15">
        <v>31</v>
      </c>
      <c r="J925" s="15">
        <v>8.06</v>
      </c>
      <c r="K925" s="15">
        <v>6.34</v>
      </c>
      <c r="L925" s="15">
        <f t="shared" si="531"/>
        <v>1.32</v>
      </c>
      <c r="M925" s="15"/>
      <c r="N925" s="15"/>
      <c r="O925" s="21">
        <f t="shared" si="529"/>
        <v>4.0191332411249432</v>
      </c>
      <c r="P925" s="21">
        <f t="shared" si="530"/>
        <v>3.4063316428461667</v>
      </c>
      <c r="Q925" s="23" t="str">
        <f t="shared" si="507"/>
        <v/>
      </c>
      <c r="R925" s="23" t="str">
        <f t="shared" si="508"/>
        <v/>
      </c>
      <c r="T925" t="str">
        <f t="shared" si="509"/>
        <v/>
      </c>
    </row>
    <row r="926" spans="1:20" x14ac:dyDescent="0.2">
      <c r="A926">
        <v>937</v>
      </c>
      <c r="B926" s="15" t="s">
        <v>297</v>
      </c>
      <c r="C926" t="s">
        <v>297</v>
      </c>
      <c r="D926" s="15" t="s">
        <v>13</v>
      </c>
      <c r="E926" s="15" t="s">
        <v>27</v>
      </c>
      <c r="F926" s="15" t="s">
        <v>1553</v>
      </c>
      <c r="G926" s="15" t="s">
        <v>1552</v>
      </c>
      <c r="H926" s="15">
        <v>37</v>
      </c>
      <c r="I926" s="15">
        <v>32</v>
      </c>
      <c r="J926" s="15">
        <v>5.34</v>
      </c>
      <c r="K926" s="15">
        <v>3.89</v>
      </c>
      <c r="L926" s="15">
        <v>0.71</v>
      </c>
      <c r="M926" s="15"/>
      <c r="N926" s="15"/>
      <c r="O926" s="21">
        <f t="shared" si="529"/>
        <v>2.4659981558321813</v>
      </c>
      <c r="P926" s="21">
        <f t="shared" si="530"/>
        <v>2.2568003688335643</v>
      </c>
      <c r="Q926" s="23" t="str">
        <f t="shared" si="507"/>
        <v/>
      </c>
      <c r="R926" s="23" t="str">
        <f t="shared" si="508"/>
        <v/>
      </c>
      <c r="T926" t="str">
        <f t="shared" si="509"/>
        <v/>
      </c>
    </row>
    <row r="927" spans="1:20" x14ac:dyDescent="0.2">
      <c r="A927">
        <v>938</v>
      </c>
      <c r="B927" s="15" t="s">
        <v>297</v>
      </c>
      <c r="C927" t="s">
        <v>297</v>
      </c>
      <c r="D927" s="15" t="s">
        <v>13</v>
      </c>
      <c r="E927" s="15" t="s">
        <v>27</v>
      </c>
      <c r="F927" s="15" t="s">
        <v>1553</v>
      </c>
      <c r="G927" s="15" t="s">
        <v>1554</v>
      </c>
      <c r="H927" s="15">
        <v>31</v>
      </c>
      <c r="I927" s="15">
        <v>33</v>
      </c>
      <c r="J927" s="15">
        <v>7.06</v>
      </c>
      <c r="K927" s="15">
        <v>4.47</v>
      </c>
      <c r="L927" s="15">
        <f t="shared" ref="L927:L928" si="532">L926</f>
        <v>0.71</v>
      </c>
      <c r="M927" s="15"/>
      <c r="N927" s="15"/>
      <c r="O927" s="21">
        <f t="shared" si="529"/>
        <v>2.8336791147994473</v>
      </c>
      <c r="P927" s="21">
        <f t="shared" si="530"/>
        <v>2.9837098509297681</v>
      </c>
      <c r="Q927" s="23" t="str">
        <f t="shared" si="507"/>
        <v/>
      </c>
      <c r="R927" s="23" t="str">
        <f t="shared" si="508"/>
        <v/>
      </c>
      <c r="T927" t="str">
        <f t="shared" si="509"/>
        <v/>
      </c>
    </row>
    <row r="928" spans="1:20" x14ac:dyDescent="0.2">
      <c r="A928">
        <v>939</v>
      </c>
      <c r="B928" s="15" t="s">
        <v>297</v>
      </c>
      <c r="C928" t="s">
        <v>297</v>
      </c>
      <c r="D928" s="15" t="s">
        <v>13</v>
      </c>
      <c r="E928" s="15" t="s">
        <v>27</v>
      </c>
      <c r="F928" s="15" t="s">
        <v>1553</v>
      </c>
      <c r="G928" s="15" t="s">
        <v>1555</v>
      </c>
      <c r="H928" s="15">
        <v>32</v>
      </c>
      <c r="I928" s="15">
        <v>33</v>
      </c>
      <c r="J928" s="15">
        <v>4.58</v>
      </c>
      <c r="K928" s="15">
        <v>4.03</v>
      </c>
      <c r="L928" s="15">
        <f t="shared" si="532"/>
        <v>0.71</v>
      </c>
      <c r="M928" s="15"/>
      <c r="N928" s="15"/>
      <c r="O928" s="21">
        <f t="shared" si="529"/>
        <v>2.5547487321346245</v>
      </c>
      <c r="P928" s="21">
        <f t="shared" si="530"/>
        <v>1.9356078069771019</v>
      </c>
      <c r="Q928" s="23" t="str">
        <f t="shared" si="507"/>
        <v/>
      </c>
      <c r="R928" s="23" t="str">
        <f t="shared" si="508"/>
        <v/>
      </c>
      <c r="S928" s="14"/>
      <c r="T928" t="str">
        <f t="shared" si="509"/>
        <v/>
      </c>
    </row>
    <row r="929" spans="1:20" x14ac:dyDescent="0.2">
      <c r="A929">
        <v>940</v>
      </c>
      <c r="B929" s="6" t="s">
        <v>298</v>
      </c>
      <c r="C929" t="s">
        <v>407</v>
      </c>
      <c r="D929" s="6" t="s">
        <v>13</v>
      </c>
      <c r="E929" s="6" t="s">
        <v>9</v>
      </c>
      <c r="F929" s="6"/>
      <c r="G929" s="6" t="s">
        <v>10</v>
      </c>
      <c r="H929" s="6">
        <v>30</v>
      </c>
      <c r="I929" s="6">
        <v>31</v>
      </c>
      <c r="J929" s="6">
        <v>6.98</v>
      </c>
      <c r="K929" s="6">
        <v>5.28</v>
      </c>
      <c r="L929" s="6">
        <v>1.35</v>
      </c>
      <c r="M929" s="6"/>
      <c r="N929" s="6"/>
      <c r="O929" s="21">
        <f t="shared" si="529"/>
        <v>3.3471645919778705</v>
      </c>
      <c r="P929" s="21">
        <f t="shared" si="530"/>
        <v>2.9499001075764566</v>
      </c>
      <c r="Q929" s="23">
        <f t="shared" si="507"/>
        <v>3.3471645919778705</v>
      </c>
      <c r="R929" s="23" t="str">
        <f t="shared" si="508"/>
        <v/>
      </c>
      <c r="T929" t="str">
        <f t="shared" si="509"/>
        <v/>
      </c>
    </row>
    <row r="930" spans="1:20" x14ac:dyDescent="0.2">
      <c r="A930">
        <v>941</v>
      </c>
      <c r="B930" s="6" t="s">
        <v>298</v>
      </c>
      <c r="C930" t="s">
        <v>407</v>
      </c>
      <c r="D930" s="6" t="s">
        <v>13</v>
      </c>
      <c r="E930" s="6" t="s">
        <v>9</v>
      </c>
      <c r="F930" s="6"/>
      <c r="G930" s="6" t="s">
        <v>11</v>
      </c>
      <c r="H930" s="6">
        <v>25</v>
      </c>
      <c r="I930" s="6">
        <v>23</v>
      </c>
      <c r="J930" s="6">
        <v>7.57</v>
      </c>
      <c r="K930" s="6">
        <v>5.0599999999999996</v>
      </c>
      <c r="L930" s="6">
        <f>L929</f>
        <v>1.35</v>
      </c>
      <c r="M930" s="6"/>
      <c r="N930" s="6"/>
      <c r="O930" s="21">
        <f t="shared" si="529"/>
        <v>3.2076994006454593</v>
      </c>
      <c r="P930" s="21">
        <f t="shared" si="530"/>
        <v>3.1992469648071316</v>
      </c>
      <c r="Q930" s="23">
        <f t="shared" si="507"/>
        <v>3.2076994006454593</v>
      </c>
      <c r="R930" s="23" t="str">
        <f t="shared" si="508"/>
        <v/>
      </c>
      <c r="T930" t="str">
        <f t="shared" si="509"/>
        <v/>
      </c>
    </row>
    <row r="931" spans="1:20" x14ac:dyDescent="0.2">
      <c r="A931">
        <v>942</v>
      </c>
      <c r="B931" s="6" t="s">
        <v>298</v>
      </c>
      <c r="C931" t="s">
        <v>407</v>
      </c>
      <c r="D931" s="6" t="s">
        <v>13</v>
      </c>
      <c r="E931" s="6" t="s">
        <v>9</v>
      </c>
      <c r="F931" s="6"/>
      <c r="G931" s="6" t="s">
        <v>12</v>
      </c>
      <c r="H931" s="6">
        <v>35</v>
      </c>
      <c r="I931" s="6">
        <v>32</v>
      </c>
      <c r="J931" s="6">
        <v>6.66</v>
      </c>
      <c r="K931" s="6">
        <v>3.68</v>
      </c>
      <c r="L931" s="6">
        <v>0.87</v>
      </c>
      <c r="M931" s="6"/>
      <c r="N931" s="6"/>
      <c r="O931" s="21">
        <f t="shared" si="529"/>
        <v>2.332872291378516</v>
      </c>
      <c r="P931" s="21">
        <f t="shared" si="530"/>
        <v>2.8146611341632095</v>
      </c>
      <c r="Q931" s="23" t="str">
        <f t="shared" si="507"/>
        <v/>
      </c>
      <c r="R931" s="23">
        <f t="shared" si="508"/>
        <v>2.332872291378516</v>
      </c>
      <c r="T931" t="str">
        <f t="shared" si="509"/>
        <v/>
      </c>
    </row>
    <row r="932" spans="1:20" x14ac:dyDescent="0.2">
      <c r="A932">
        <v>943</v>
      </c>
      <c r="B932" s="6" t="s">
        <v>298</v>
      </c>
      <c r="C932" t="s">
        <v>407</v>
      </c>
      <c r="D932" s="6" t="s">
        <v>13</v>
      </c>
      <c r="E932" s="6" t="s">
        <v>9</v>
      </c>
      <c r="F932" s="6"/>
      <c r="G932" s="6" t="s">
        <v>14</v>
      </c>
      <c r="H932" s="6">
        <v>39</v>
      </c>
      <c r="I932" s="6">
        <v>38</v>
      </c>
      <c r="J932" s="6">
        <v>9.2799999999999994</v>
      </c>
      <c r="K932" s="6">
        <v>5.12</v>
      </c>
      <c r="L932" s="6">
        <f t="shared" ref="L932" si="533">L931</f>
        <v>0.87</v>
      </c>
      <c r="M932" s="6"/>
      <c r="N932" s="6"/>
      <c r="O932" s="21">
        <f t="shared" si="529"/>
        <v>3.245735361917935</v>
      </c>
      <c r="P932" s="21">
        <f t="shared" si="530"/>
        <v>3.9219302289841709</v>
      </c>
      <c r="Q932" s="23" t="str">
        <f t="shared" si="507"/>
        <v/>
      </c>
      <c r="R932" s="23">
        <f t="shared" si="508"/>
        <v>3.245735361917935</v>
      </c>
      <c r="T932" t="str">
        <f t="shared" si="509"/>
        <v/>
      </c>
    </row>
    <row r="933" spans="1:20" x14ac:dyDescent="0.2">
      <c r="A933">
        <v>944</v>
      </c>
      <c r="B933" t="s">
        <v>299</v>
      </c>
      <c r="C933" t="s">
        <v>408</v>
      </c>
      <c r="D933" t="s">
        <v>13</v>
      </c>
      <c r="E933" t="s">
        <v>9</v>
      </c>
      <c r="G933" t="s">
        <v>10</v>
      </c>
      <c r="H933">
        <v>32</v>
      </c>
      <c r="I933">
        <v>31</v>
      </c>
      <c r="J933">
        <v>9.6</v>
      </c>
      <c r="K933">
        <v>6.61</v>
      </c>
      <c r="L933">
        <v>1.48</v>
      </c>
      <c r="M933">
        <v>0.71699999999999997</v>
      </c>
      <c r="N933">
        <v>9.6000000000000002E-2</v>
      </c>
      <c r="O933" s="21">
        <f t="shared" si="511"/>
        <v>3.558085585585586</v>
      </c>
      <c r="P933" s="21">
        <f t="shared" si="512"/>
        <v>3.4450450450450454</v>
      </c>
      <c r="Q933" s="23">
        <f t="shared" si="507"/>
        <v>3.558085585585586</v>
      </c>
      <c r="R933" s="23" t="str">
        <f t="shared" si="508"/>
        <v/>
      </c>
      <c r="T933" t="str">
        <f t="shared" si="509"/>
        <v/>
      </c>
    </row>
    <row r="934" spans="1:20" x14ac:dyDescent="0.2">
      <c r="A934">
        <v>945</v>
      </c>
      <c r="B934" t="s">
        <v>299</v>
      </c>
      <c r="C934" t="s">
        <v>408</v>
      </c>
      <c r="D934" t="s">
        <v>13</v>
      </c>
      <c r="E934" t="s">
        <v>9</v>
      </c>
      <c r="G934" t="s">
        <v>11</v>
      </c>
      <c r="H934">
        <v>35</v>
      </c>
      <c r="I934">
        <v>34</v>
      </c>
      <c r="J934">
        <v>7.39</v>
      </c>
      <c r="K934">
        <v>6.55</v>
      </c>
      <c r="L934">
        <f t="shared" ref="L934:N934" si="534">L933</f>
        <v>1.48</v>
      </c>
      <c r="M934">
        <f t="shared" si="534"/>
        <v>0.71699999999999997</v>
      </c>
      <c r="N934">
        <f t="shared" si="534"/>
        <v>9.6000000000000002E-2</v>
      </c>
      <c r="O934" s="21">
        <f t="shared" si="511"/>
        <v>3.5257882882882883</v>
      </c>
      <c r="P934" s="21">
        <f t="shared" si="512"/>
        <v>2.6519669669669672</v>
      </c>
      <c r="Q934" s="23">
        <f t="shared" si="507"/>
        <v>3.5257882882882883</v>
      </c>
      <c r="R934" s="23" t="str">
        <f t="shared" si="508"/>
        <v/>
      </c>
      <c r="T934" t="str">
        <f t="shared" si="509"/>
        <v/>
      </c>
    </row>
    <row r="935" spans="1:20" x14ac:dyDescent="0.2">
      <c r="A935">
        <v>946</v>
      </c>
      <c r="B935" t="s">
        <v>299</v>
      </c>
      <c r="C935" t="s">
        <v>408</v>
      </c>
      <c r="D935" t="s">
        <v>13</v>
      </c>
      <c r="E935" t="s">
        <v>9</v>
      </c>
      <c r="G935" t="s">
        <v>12</v>
      </c>
      <c r="H935">
        <v>35</v>
      </c>
      <c r="I935">
        <v>35</v>
      </c>
      <c r="J935">
        <v>5.39</v>
      </c>
      <c r="K935">
        <v>3.3</v>
      </c>
      <c r="L935">
        <v>0.84</v>
      </c>
      <c r="M935">
        <v>0.39700000000000002</v>
      </c>
      <c r="N935">
        <v>8.6999999999999994E-2</v>
      </c>
      <c r="O935" s="21">
        <f t="shared" si="511"/>
        <v>1.732936507936508</v>
      </c>
      <c r="P935" s="21">
        <f t="shared" si="512"/>
        <v>1.8869753086419752</v>
      </c>
      <c r="Q935" s="23" t="str">
        <f t="shared" si="507"/>
        <v/>
      </c>
      <c r="R935" s="23">
        <f t="shared" si="508"/>
        <v>1.732936507936508</v>
      </c>
      <c r="T935" t="str">
        <f t="shared" si="509"/>
        <v/>
      </c>
    </row>
    <row r="936" spans="1:20" x14ac:dyDescent="0.2">
      <c r="A936">
        <v>947</v>
      </c>
      <c r="B936" t="s">
        <v>299</v>
      </c>
      <c r="C936" t="s">
        <v>408</v>
      </c>
      <c r="D936" t="s">
        <v>13</v>
      </c>
      <c r="E936" t="s">
        <v>9</v>
      </c>
      <c r="G936" t="s">
        <v>14</v>
      </c>
      <c r="H936">
        <v>30</v>
      </c>
      <c r="I936">
        <v>28</v>
      </c>
      <c r="J936">
        <v>6.88</v>
      </c>
      <c r="K936">
        <v>5.33</v>
      </c>
      <c r="L936">
        <f t="shared" ref="L936:N936" si="535">L935</f>
        <v>0.84</v>
      </c>
      <c r="M936">
        <f t="shared" si="535"/>
        <v>0.39700000000000002</v>
      </c>
      <c r="N936">
        <f t="shared" si="535"/>
        <v>8.6999999999999994E-2</v>
      </c>
      <c r="O936" s="21">
        <f t="shared" si="511"/>
        <v>2.7989550264550269</v>
      </c>
      <c r="P936" s="21">
        <f t="shared" si="512"/>
        <v>2.4086067019400352</v>
      </c>
      <c r="Q936" s="23" t="str">
        <f t="shared" si="507"/>
        <v/>
      </c>
      <c r="R936" s="23">
        <f t="shared" si="508"/>
        <v>2.7989550264550269</v>
      </c>
      <c r="T936" t="str">
        <f t="shared" si="509"/>
        <v/>
      </c>
    </row>
    <row r="937" spans="1:20" x14ac:dyDescent="0.2">
      <c r="A937">
        <v>948</v>
      </c>
      <c r="B937" t="s">
        <v>300</v>
      </c>
      <c r="C937" t="s">
        <v>409</v>
      </c>
      <c r="D937" t="s">
        <v>13</v>
      </c>
      <c r="E937" t="s">
        <v>9</v>
      </c>
      <c r="G937" t="s">
        <v>10</v>
      </c>
      <c r="H937">
        <v>30</v>
      </c>
      <c r="I937">
        <v>36</v>
      </c>
      <c r="J937">
        <v>8.9600000000000009</v>
      </c>
      <c r="K937">
        <v>8</v>
      </c>
      <c r="L937">
        <v>1.48</v>
      </c>
      <c r="M937">
        <v>0.32900000000000001</v>
      </c>
      <c r="N937">
        <v>0.06</v>
      </c>
      <c r="O937" s="21">
        <f t="shared" si="511"/>
        <v>1.9759759759759761</v>
      </c>
      <c r="P937" s="21">
        <f t="shared" si="512"/>
        <v>1.4753953953953958</v>
      </c>
      <c r="Q937" s="23">
        <f t="shared" si="507"/>
        <v>1.9759759759759761</v>
      </c>
      <c r="R937" s="23" t="str">
        <f t="shared" si="508"/>
        <v/>
      </c>
      <c r="T937" t="str">
        <f t="shared" si="509"/>
        <v/>
      </c>
    </row>
    <row r="938" spans="1:20" x14ac:dyDescent="0.2">
      <c r="A938">
        <v>949</v>
      </c>
      <c r="B938" t="s">
        <v>300</v>
      </c>
      <c r="C938" t="s">
        <v>409</v>
      </c>
      <c r="D938" t="s">
        <v>13</v>
      </c>
      <c r="E938" t="s">
        <v>9</v>
      </c>
      <c r="G938" t="s">
        <v>11</v>
      </c>
      <c r="H938">
        <v>26</v>
      </c>
      <c r="I938">
        <v>29</v>
      </c>
      <c r="J938">
        <v>8.4499999999999993</v>
      </c>
      <c r="K938">
        <v>6.86</v>
      </c>
      <c r="L938">
        <f t="shared" ref="L938:N938" si="536">L937</f>
        <v>1.48</v>
      </c>
      <c r="M938">
        <f t="shared" si="536"/>
        <v>0.32900000000000001</v>
      </c>
      <c r="N938">
        <f t="shared" si="536"/>
        <v>0.06</v>
      </c>
      <c r="O938" s="21">
        <f t="shared" si="511"/>
        <v>1.6943993993993995</v>
      </c>
      <c r="P938" s="21">
        <f t="shared" si="512"/>
        <v>1.3914164164164164</v>
      </c>
      <c r="Q938" s="23">
        <f t="shared" si="507"/>
        <v>1.6943993993993995</v>
      </c>
      <c r="R938" s="23" t="str">
        <f t="shared" si="508"/>
        <v/>
      </c>
      <c r="T938" t="str">
        <f t="shared" si="509"/>
        <v/>
      </c>
    </row>
    <row r="939" spans="1:20" x14ac:dyDescent="0.2">
      <c r="A939">
        <v>950</v>
      </c>
      <c r="B939" t="s">
        <v>300</v>
      </c>
      <c r="C939" t="s">
        <v>409</v>
      </c>
      <c r="D939" t="s">
        <v>13</v>
      </c>
      <c r="E939" t="s">
        <v>9</v>
      </c>
      <c r="G939" t="s">
        <v>12</v>
      </c>
      <c r="H939">
        <v>42</v>
      </c>
      <c r="I939">
        <v>45</v>
      </c>
      <c r="J939">
        <v>10.18</v>
      </c>
      <c r="K939">
        <v>6.68</v>
      </c>
      <c r="L939">
        <v>0.55000000000000004</v>
      </c>
      <c r="M939">
        <v>0.40100000000000002</v>
      </c>
      <c r="N939">
        <v>9.8000000000000004E-2</v>
      </c>
      <c r="O939" s="21">
        <f t="shared" si="511"/>
        <v>5.4114747474747471</v>
      </c>
      <c r="P939" s="21">
        <f t="shared" si="512"/>
        <v>5.4978855218855216</v>
      </c>
      <c r="Q939" s="23" t="str">
        <f t="shared" si="507"/>
        <v/>
      </c>
      <c r="R939" s="23">
        <f t="shared" si="508"/>
        <v>5.4114747474747471</v>
      </c>
      <c r="T939" t="str">
        <f t="shared" si="509"/>
        <v/>
      </c>
    </row>
    <row r="940" spans="1:20" x14ac:dyDescent="0.2">
      <c r="A940">
        <v>951</v>
      </c>
      <c r="B940" t="s">
        <v>300</v>
      </c>
      <c r="C940" t="s">
        <v>409</v>
      </c>
      <c r="D940" t="s">
        <v>13</v>
      </c>
      <c r="E940" t="s">
        <v>9</v>
      </c>
      <c r="G940" t="s">
        <v>14</v>
      </c>
      <c r="H940">
        <v>29</v>
      </c>
      <c r="I940">
        <v>28</v>
      </c>
      <c r="J940">
        <v>7.34</v>
      </c>
      <c r="K940">
        <v>5.75</v>
      </c>
      <c r="L940">
        <f t="shared" ref="L940:N940" si="537">L939</f>
        <v>0.55000000000000004</v>
      </c>
      <c r="M940">
        <f t="shared" si="537"/>
        <v>0.40100000000000002</v>
      </c>
      <c r="N940">
        <f t="shared" si="537"/>
        <v>9.8000000000000004E-2</v>
      </c>
      <c r="O940" s="21">
        <f t="shared" si="511"/>
        <v>4.6580808080808085</v>
      </c>
      <c r="P940" s="21">
        <f t="shared" si="512"/>
        <v>3.9640942760942757</v>
      </c>
      <c r="Q940" s="23" t="str">
        <f t="shared" si="507"/>
        <v/>
      </c>
      <c r="R940" s="23">
        <f t="shared" si="508"/>
        <v>4.6580808080808085</v>
      </c>
      <c r="T940" t="str">
        <f t="shared" si="509"/>
        <v/>
      </c>
    </row>
    <row r="941" spans="1:20" x14ac:dyDescent="0.2">
      <c r="A941">
        <v>952</v>
      </c>
      <c r="B941" t="s">
        <v>301</v>
      </c>
      <c r="C941" t="s">
        <v>410</v>
      </c>
      <c r="D941" t="s">
        <v>13</v>
      </c>
      <c r="E941" t="s">
        <v>9</v>
      </c>
      <c r="G941" t="s">
        <v>10</v>
      </c>
      <c r="H941">
        <v>43</v>
      </c>
      <c r="I941">
        <v>44</v>
      </c>
      <c r="J941">
        <v>14.76</v>
      </c>
      <c r="K941">
        <v>9.67</v>
      </c>
      <c r="L941">
        <v>1.41</v>
      </c>
      <c r="M941">
        <v>0.64300000000000002</v>
      </c>
      <c r="N941">
        <v>0.123</v>
      </c>
      <c r="O941" s="21">
        <f t="shared" si="511"/>
        <v>4.8997714736012616</v>
      </c>
      <c r="P941" s="21">
        <f t="shared" si="512"/>
        <v>4.9859101654846345</v>
      </c>
      <c r="Q941" s="23">
        <f t="shared" si="507"/>
        <v>4.8997714736012616</v>
      </c>
      <c r="R941" s="23" t="str">
        <f t="shared" si="508"/>
        <v/>
      </c>
      <c r="T941" t="str">
        <f t="shared" si="509"/>
        <v/>
      </c>
    </row>
    <row r="942" spans="1:20" x14ac:dyDescent="0.2">
      <c r="A942">
        <v>953</v>
      </c>
      <c r="B942" t="s">
        <v>301</v>
      </c>
      <c r="C942" t="s">
        <v>410</v>
      </c>
      <c r="D942" t="s">
        <v>13</v>
      </c>
      <c r="E942" t="s">
        <v>9</v>
      </c>
      <c r="G942" t="s">
        <v>11</v>
      </c>
      <c r="H942">
        <v>36</v>
      </c>
      <c r="I942">
        <v>36</v>
      </c>
      <c r="J942">
        <v>10.7</v>
      </c>
      <c r="K942">
        <v>6.79</v>
      </c>
      <c r="L942">
        <f t="shared" ref="L942:N942" si="538">L941</f>
        <v>1.41</v>
      </c>
      <c r="M942">
        <f t="shared" si="538"/>
        <v>0.64300000000000002</v>
      </c>
      <c r="N942">
        <f t="shared" si="538"/>
        <v>0.123</v>
      </c>
      <c r="O942" s="21">
        <f t="shared" si="511"/>
        <v>3.4404806934594174</v>
      </c>
      <c r="P942" s="21">
        <f t="shared" si="512"/>
        <v>3.6144470711846601</v>
      </c>
      <c r="Q942" s="23">
        <f t="shared" si="507"/>
        <v>3.4404806934594174</v>
      </c>
      <c r="R942" s="23" t="str">
        <f t="shared" si="508"/>
        <v/>
      </c>
      <c r="T942" t="str">
        <f t="shared" si="509"/>
        <v/>
      </c>
    </row>
    <row r="943" spans="1:20" x14ac:dyDescent="0.2">
      <c r="A943">
        <v>954</v>
      </c>
      <c r="B943" t="s">
        <v>301</v>
      </c>
      <c r="C943" t="s">
        <v>410</v>
      </c>
      <c r="D943" t="s">
        <v>13</v>
      </c>
      <c r="E943" t="s">
        <v>9</v>
      </c>
      <c r="G943" t="s">
        <v>12</v>
      </c>
      <c r="H943">
        <v>47</v>
      </c>
      <c r="I943">
        <v>41</v>
      </c>
      <c r="J943">
        <v>11.42</v>
      </c>
      <c r="K943">
        <v>6.1</v>
      </c>
      <c r="L943">
        <v>0.88</v>
      </c>
      <c r="M943">
        <v>0.23599999999999999</v>
      </c>
      <c r="N943">
        <v>4.3999999999999997E-2</v>
      </c>
      <c r="O943" s="21">
        <f t="shared" si="511"/>
        <v>1.8176767676767676</v>
      </c>
      <c r="P943" s="21">
        <f t="shared" si="512"/>
        <v>2.2686195286195283</v>
      </c>
      <c r="Q943" s="23" t="str">
        <f t="shared" si="507"/>
        <v/>
      </c>
      <c r="R943" s="23">
        <f t="shared" si="508"/>
        <v>1.8176767676767676</v>
      </c>
      <c r="T943" t="str">
        <f t="shared" si="509"/>
        <v/>
      </c>
    </row>
    <row r="944" spans="1:20" x14ac:dyDescent="0.2">
      <c r="A944">
        <v>955</v>
      </c>
      <c r="B944" t="s">
        <v>301</v>
      </c>
      <c r="C944" t="s">
        <v>410</v>
      </c>
      <c r="D944" t="s">
        <v>13</v>
      </c>
      <c r="E944" t="s">
        <v>9</v>
      </c>
      <c r="G944" t="s">
        <v>14</v>
      </c>
      <c r="H944">
        <v>39</v>
      </c>
      <c r="I944">
        <v>34</v>
      </c>
      <c r="J944">
        <v>8.7100000000000009</v>
      </c>
      <c r="K944">
        <v>6.68</v>
      </c>
      <c r="L944">
        <f>L943</f>
        <v>0.88</v>
      </c>
      <c r="M944">
        <f t="shared" ref="M944:N944" si="539">M943</f>
        <v>0.23599999999999999</v>
      </c>
      <c r="N944">
        <f t="shared" si="539"/>
        <v>4.3999999999999997E-2</v>
      </c>
      <c r="O944" s="21">
        <f t="shared" si="511"/>
        <v>1.9905050505050506</v>
      </c>
      <c r="P944" s="21">
        <f t="shared" si="512"/>
        <v>1.7302693602693604</v>
      </c>
      <c r="Q944" s="23" t="str">
        <f t="shared" si="507"/>
        <v/>
      </c>
      <c r="R944" s="23">
        <f t="shared" si="508"/>
        <v>1.9905050505050506</v>
      </c>
      <c r="T944" t="str">
        <f t="shared" si="509"/>
        <v/>
      </c>
    </row>
    <row r="945" spans="1:20" x14ac:dyDescent="0.2">
      <c r="A945">
        <v>956</v>
      </c>
      <c r="B945" s="6" t="s">
        <v>302</v>
      </c>
      <c r="C945" t="s">
        <v>411</v>
      </c>
      <c r="D945" s="6" t="s">
        <v>13</v>
      </c>
      <c r="E945" s="6" t="s">
        <v>9</v>
      </c>
      <c r="F945" s="6"/>
      <c r="G945" s="6" t="s">
        <v>10</v>
      </c>
      <c r="H945" s="6">
        <v>30</v>
      </c>
      <c r="I945" s="6">
        <v>28</v>
      </c>
      <c r="J945" s="6">
        <v>6.93</v>
      </c>
      <c r="K945" s="6">
        <v>4.83</v>
      </c>
      <c r="L945" s="6">
        <v>1.22</v>
      </c>
      <c r="M945" s="6"/>
      <c r="N945" s="6"/>
      <c r="O945" s="21">
        <f t="shared" ref="O945:O946" si="540">K945*(0.55/0.964)*(10/9)</f>
        <v>3.0618948824343022</v>
      </c>
      <c r="P945" s="21">
        <f t="shared" ref="P945:P948" si="541">J945*(0.55/(0.964*1.5))*(10/9)</f>
        <v>2.9287690179806365</v>
      </c>
      <c r="Q945" s="23">
        <f t="shared" si="507"/>
        <v>3.0618948824343022</v>
      </c>
      <c r="R945" s="23" t="str">
        <f t="shared" si="508"/>
        <v/>
      </c>
      <c r="T945" t="str">
        <f t="shared" si="509"/>
        <v/>
      </c>
    </row>
    <row r="946" spans="1:20" x14ac:dyDescent="0.2">
      <c r="A946">
        <v>957</v>
      </c>
      <c r="B946" s="6" t="s">
        <v>302</v>
      </c>
      <c r="C946" t="s">
        <v>411</v>
      </c>
      <c r="D946" s="6" t="s">
        <v>13</v>
      </c>
      <c r="E946" s="6" t="s">
        <v>9</v>
      </c>
      <c r="F946" s="6"/>
      <c r="G946" s="6" t="s">
        <v>11</v>
      </c>
      <c r="H946" s="6">
        <v>26</v>
      </c>
      <c r="I946" s="6">
        <v>27</v>
      </c>
      <c r="J946" s="6">
        <v>8.5500000000000007</v>
      </c>
      <c r="K946" s="6">
        <v>5.3</v>
      </c>
      <c r="L946" s="6">
        <f t="shared" ref="L946" si="542">L945</f>
        <v>1.22</v>
      </c>
      <c r="M946" s="6"/>
      <c r="N946" s="6"/>
      <c r="O946" s="21">
        <f t="shared" si="540"/>
        <v>3.3598432457353624</v>
      </c>
      <c r="P946" s="21">
        <f t="shared" si="541"/>
        <v>3.613416320885201</v>
      </c>
      <c r="Q946" s="23">
        <f t="shared" si="507"/>
        <v>3.3598432457353624</v>
      </c>
      <c r="R946" s="23" t="str">
        <f t="shared" si="508"/>
        <v/>
      </c>
      <c r="T946" t="str">
        <f t="shared" si="509"/>
        <v/>
      </c>
    </row>
    <row r="947" spans="1:20" x14ac:dyDescent="0.2">
      <c r="A947">
        <v>958</v>
      </c>
      <c r="B947" s="6" t="s">
        <v>302</v>
      </c>
      <c r="C947" t="s">
        <v>411</v>
      </c>
      <c r="D947" s="6" t="s">
        <v>13</v>
      </c>
      <c r="E947" s="6" t="s">
        <v>9</v>
      </c>
      <c r="F947" s="6"/>
      <c r="G947" s="6" t="s">
        <v>12</v>
      </c>
      <c r="H947" s="6">
        <v>39</v>
      </c>
      <c r="I947" s="6">
        <v>36</v>
      </c>
      <c r="J947" s="6">
        <v>6.53</v>
      </c>
      <c r="K947" s="7">
        <v>0.53</v>
      </c>
      <c r="L947" s="6"/>
      <c r="M947" s="6"/>
      <c r="N947" s="6"/>
      <c r="O947" s="21"/>
      <c r="P947" s="21">
        <f t="shared" si="541"/>
        <v>2.7597203012140779</v>
      </c>
      <c r="Q947" s="23" t="str">
        <f t="shared" si="507"/>
        <v/>
      </c>
      <c r="R947" s="23">
        <f t="shared" si="508"/>
        <v>0</v>
      </c>
      <c r="T947" t="str">
        <f t="shared" si="509"/>
        <v/>
      </c>
    </row>
    <row r="948" spans="1:20" x14ac:dyDescent="0.2">
      <c r="A948">
        <v>959</v>
      </c>
      <c r="B948" s="6" t="s">
        <v>302</v>
      </c>
      <c r="C948" t="s">
        <v>411</v>
      </c>
      <c r="D948" s="6" t="s">
        <v>13</v>
      </c>
      <c r="E948" s="6" t="s">
        <v>9</v>
      </c>
      <c r="F948" s="6"/>
      <c r="G948" s="6" t="s">
        <v>14</v>
      </c>
      <c r="H948" s="6">
        <v>36</v>
      </c>
      <c r="I948" s="6">
        <v>37</v>
      </c>
      <c r="J948" s="6">
        <v>6.56</v>
      </c>
      <c r="K948" s="6"/>
      <c r="L948" s="6"/>
      <c r="M948" s="6"/>
      <c r="N948" s="6"/>
      <c r="O948" s="21"/>
      <c r="P948" s="21">
        <f t="shared" si="541"/>
        <v>2.7723989549715693</v>
      </c>
      <c r="Q948" s="23" t="str">
        <f t="shared" si="507"/>
        <v/>
      </c>
      <c r="R948" s="23">
        <f t="shared" si="508"/>
        <v>0</v>
      </c>
      <c r="T948" t="str">
        <f t="shared" si="509"/>
        <v/>
      </c>
    </row>
    <row r="949" spans="1:20" x14ac:dyDescent="0.2">
      <c r="A949">
        <v>960</v>
      </c>
      <c r="B949" s="14" t="s">
        <v>303</v>
      </c>
      <c r="C949" s="14"/>
      <c r="D949" s="14"/>
      <c r="E949" t="s">
        <v>9</v>
      </c>
      <c r="G949" s="14" t="s">
        <v>10</v>
      </c>
      <c r="H949" s="14"/>
      <c r="I949" s="14"/>
      <c r="J949" s="14"/>
      <c r="K949" s="14"/>
      <c r="L949" s="14"/>
      <c r="M949" s="14">
        <v>0.69699999999999995</v>
      </c>
      <c r="N949" s="14">
        <v>0.14000000000000001</v>
      </c>
      <c r="O949" s="14"/>
      <c r="P949" s="21" t="e">
        <f t="shared" ref="P949:P950" si="543">J949*(M949/(L949*1.5))*(10/9)</f>
        <v>#DIV/0!</v>
      </c>
      <c r="Q949" s="21"/>
      <c r="R949" s="21"/>
      <c r="S949" s="14"/>
      <c r="T949" t="str">
        <f t="shared" si="509"/>
        <v/>
      </c>
    </row>
    <row r="950" spans="1:20" x14ac:dyDescent="0.2">
      <c r="A950">
        <v>961</v>
      </c>
      <c r="B950" s="14" t="s">
        <v>303</v>
      </c>
      <c r="C950" s="14"/>
      <c r="D950" s="14"/>
      <c r="E950" t="s">
        <v>9</v>
      </c>
      <c r="G950" s="14" t="s">
        <v>11</v>
      </c>
      <c r="H950" s="14"/>
      <c r="I950" s="14"/>
      <c r="J950" s="14"/>
      <c r="K950" s="14"/>
      <c r="L950" s="14"/>
      <c r="M950" s="14"/>
      <c r="N950" s="14"/>
      <c r="O950" s="14"/>
      <c r="P950" s="21" t="e">
        <f t="shared" si="543"/>
        <v>#DIV/0!</v>
      </c>
      <c r="Q950" s="21"/>
      <c r="R950" s="21"/>
      <c r="S950" s="14"/>
      <c r="T950" t="str">
        <f t="shared" si="509"/>
        <v/>
      </c>
    </row>
    <row r="951" spans="1:20" x14ac:dyDescent="0.2">
      <c r="A951">
        <v>962</v>
      </c>
      <c r="B951" s="14" t="s">
        <v>303</v>
      </c>
      <c r="C951" s="14"/>
      <c r="D951" s="14"/>
      <c r="E951" t="s">
        <v>9</v>
      </c>
      <c r="G951" s="14" t="s">
        <v>57</v>
      </c>
      <c r="H951" s="14"/>
      <c r="I951" s="14"/>
      <c r="J951" s="14"/>
      <c r="K951" s="14"/>
      <c r="L951" s="14"/>
      <c r="M951" s="14">
        <v>0.59499999999999997</v>
      </c>
      <c r="N951" s="14">
        <v>9.0999999999999998E-2</v>
      </c>
      <c r="O951" s="14"/>
      <c r="P951" s="21" t="e">
        <f t="shared" ref="P951:P968" si="544">J951*(M951/(L951*1.5))*(10/9)</f>
        <v>#DIV/0!</v>
      </c>
      <c r="Q951" s="21"/>
      <c r="R951" s="21"/>
      <c r="S951" s="14"/>
      <c r="T951" t="str">
        <f t="shared" ref="T951:T968" si="545">IF(O951&gt;14,"VVVVVVVV","")</f>
        <v/>
      </c>
    </row>
    <row r="952" spans="1:20" x14ac:dyDescent="0.2">
      <c r="A952">
        <v>963</v>
      </c>
      <c r="B952" s="14" t="s">
        <v>303</v>
      </c>
      <c r="C952" s="14"/>
      <c r="E952" t="s">
        <v>9</v>
      </c>
      <c r="G952" s="14" t="s">
        <v>58</v>
      </c>
      <c r="P952" s="21" t="e">
        <f t="shared" si="544"/>
        <v>#DIV/0!</v>
      </c>
      <c r="Q952" s="21"/>
      <c r="R952" s="21"/>
      <c r="T952" t="str">
        <f t="shared" si="545"/>
        <v/>
      </c>
    </row>
    <row r="953" spans="1:20" x14ac:dyDescent="0.2">
      <c r="A953">
        <v>964</v>
      </c>
      <c r="B953" s="14" t="s">
        <v>304</v>
      </c>
      <c r="C953" s="14"/>
      <c r="D953" s="14"/>
      <c r="E953" t="s">
        <v>9</v>
      </c>
      <c r="G953" s="14" t="s">
        <v>10</v>
      </c>
      <c r="H953" s="14"/>
      <c r="I953" s="14"/>
      <c r="J953" s="14"/>
      <c r="K953" s="14"/>
      <c r="L953" s="14"/>
      <c r="M953" s="14">
        <v>0.44600000000000001</v>
      </c>
      <c r="N953" s="14">
        <v>6.6000000000000003E-2</v>
      </c>
      <c r="O953" s="14"/>
      <c r="P953" s="21" t="e">
        <f t="shared" si="544"/>
        <v>#DIV/0!</v>
      </c>
      <c r="Q953" s="21"/>
      <c r="R953" s="21"/>
      <c r="S953" s="14"/>
      <c r="T953" t="str">
        <f t="shared" si="545"/>
        <v/>
      </c>
    </row>
    <row r="954" spans="1:20" x14ac:dyDescent="0.2">
      <c r="A954">
        <v>965</v>
      </c>
      <c r="B954" s="14" t="s">
        <v>304</v>
      </c>
      <c r="C954" s="14"/>
      <c r="D954" s="14"/>
      <c r="E954" t="s">
        <v>9</v>
      </c>
      <c r="G954" s="14" t="s">
        <v>12</v>
      </c>
      <c r="H954" s="14"/>
      <c r="I954" s="14"/>
      <c r="J954" s="14"/>
      <c r="K954" s="14"/>
      <c r="L954" s="14"/>
      <c r="M954" s="14">
        <v>0.69899999999999995</v>
      </c>
      <c r="N954" s="14">
        <v>0.11700000000000001</v>
      </c>
      <c r="O954" s="14"/>
      <c r="P954" s="21" t="e">
        <f t="shared" si="544"/>
        <v>#DIV/0!</v>
      </c>
      <c r="Q954" s="21"/>
      <c r="R954" s="21"/>
      <c r="S954" s="14"/>
      <c r="T954" t="str">
        <f t="shared" si="545"/>
        <v/>
      </c>
    </row>
    <row r="955" spans="1:20" x14ac:dyDescent="0.2">
      <c r="A955">
        <v>966</v>
      </c>
      <c r="B955" s="14" t="s">
        <v>305</v>
      </c>
      <c r="C955" s="14"/>
      <c r="E955" t="s">
        <v>9</v>
      </c>
      <c r="G955" s="14" t="s">
        <v>10</v>
      </c>
      <c r="M955" s="14">
        <v>0.56000000000000005</v>
      </c>
      <c r="N955" s="14">
        <v>0.11899999999999999</v>
      </c>
      <c r="O955" s="14"/>
      <c r="P955" s="21" t="e">
        <f t="shared" si="544"/>
        <v>#DIV/0!</v>
      </c>
      <c r="Q955" s="21"/>
      <c r="R955" s="21"/>
      <c r="T955" t="str">
        <f t="shared" si="545"/>
        <v/>
      </c>
    </row>
    <row r="956" spans="1:20" x14ac:dyDescent="0.2">
      <c r="A956">
        <v>967</v>
      </c>
      <c r="B956" s="14" t="s">
        <v>306</v>
      </c>
      <c r="C956" s="14"/>
      <c r="D956" s="14"/>
      <c r="E956" t="s">
        <v>9</v>
      </c>
      <c r="G956" s="14" t="s">
        <v>10</v>
      </c>
      <c r="H956" s="14"/>
      <c r="I956" s="14"/>
      <c r="J956" s="14"/>
      <c r="K956" s="14"/>
      <c r="L956" s="14"/>
      <c r="M956" s="14">
        <v>0.73399999999999999</v>
      </c>
      <c r="N956" s="14">
        <v>0.129</v>
      </c>
      <c r="O956" s="14"/>
      <c r="P956" s="21" t="e">
        <f t="shared" si="544"/>
        <v>#DIV/0!</v>
      </c>
      <c r="Q956" s="21"/>
      <c r="R956" s="21"/>
      <c r="S956" s="14"/>
      <c r="T956" t="str">
        <f t="shared" si="545"/>
        <v/>
      </c>
    </row>
    <row r="957" spans="1:20" x14ac:dyDescent="0.2">
      <c r="A957">
        <v>968</v>
      </c>
      <c r="B957" s="14" t="s">
        <v>306</v>
      </c>
      <c r="C957" s="14"/>
      <c r="D957" s="14"/>
      <c r="E957" t="s">
        <v>9</v>
      </c>
      <c r="G957" s="14" t="s">
        <v>12</v>
      </c>
      <c r="H957" s="14"/>
      <c r="I957" s="14"/>
      <c r="J957" s="14"/>
      <c r="K957" s="14"/>
      <c r="L957" s="14"/>
      <c r="M957" s="14">
        <v>1.087</v>
      </c>
      <c r="N957" s="14">
        <v>0.108</v>
      </c>
      <c r="O957" s="14"/>
      <c r="P957" s="21" t="e">
        <f t="shared" si="544"/>
        <v>#DIV/0!</v>
      </c>
      <c r="Q957" s="21"/>
      <c r="R957" s="21"/>
      <c r="S957" s="14"/>
      <c r="T957" t="str">
        <f t="shared" si="545"/>
        <v/>
      </c>
    </row>
    <row r="958" spans="1:20" x14ac:dyDescent="0.2">
      <c r="A958">
        <v>969</v>
      </c>
      <c r="B958" s="14" t="s">
        <v>307</v>
      </c>
      <c r="C958" s="14"/>
      <c r="D958" s="14"/>
      <c r="E958" t="s">
        <v>9</v>
      </c>
      <c r="G958" s="14" t="s">
        <v>10</v>
      </c>
      <c r="H958" s="14"/>
      <c r="I958" s="14"/>
      <c r="J958" s="14"/>
      <c r="K958" s="14"/>
      <c r="L958" s="14"/>
      <c r="M958" s="14">
        <v>0.66700000000000004</v>
      </c>
      <c r="N958" s="14">
        <v>9.6000000000000002E-2</v>
      </c>
      <c r="O958" s="14"/>
      <c r="P958" s="21" t="e">
        <f t="shared" si="544"/>
        <v>#DIV/0!</v>
      </c>
      <c r="Q958" s="21"/>
      <c r="R958" s="21"/>
      <c r="T958" t="str">
        <f t="shared" si="545"/>
        <v/>
      </c>
    </row>
    <row r="959" spans="1:20" x14ac:dyDescent="0.2">
      <c r="A959">
        <v>970</v>
      </c>
      <c r="B959" s="14" t="s">
        <v>308</v>
      </c>
      <c r="C959" s="14"/>
      <c r="D959" s="14"/>
      <c r="E959" t="s">
        <v>9</v>
      </c>
      <c r="G959" s="14" t="s">
        <v>10</v>
      </c>
      <c r="H959" s="14"/>
      <c r="I959" s="14"/>
      <c r="J959" s="14"/>
      <c r="K959" s="14"/>
      <c r="L959" s="14"/>
      <c r="M959" s="14">
        <v>0.84399999999999997</v>
      </c>
      <c r="N959" s="14">
        <v>0.129</v>
      </c>
      <c r="O959" s="14"/>
      <c r="P959" s="21" t="e">
        <f t="shared" si="544"/>
        <v>#DIV/0!</v>
      </c>
      <c r="Q959" s="21"/>
      <c r="R959" s="21"/>
      <c r="T959" t="str">
        <f t="shared" si="545"/>
        <v/>
      </c>
    </row>
    <row r="960" spans="1:20" x14ac:dyDescent="0.2">
      <c r="A960">
        <v>971</v>
      </c>
      <c r="B960" s="14" t="s">
        <v>308</v>
      </c>
      <c r="C960" s="14"/>
      <c r="D960" s="14"/>
      <c r="E960" t="s">
        <v>9</v>
      </c>
      <c r="G960" s="14" t="s">
        <v>12</v>
      </c>
      <c r="H960" s="14"/>
      <c r="I960" s="14"/>
      <c r="J960" s="14"/>
      <c r="K960" s="14"/>
      <c r="L960" s="14"/>
      <c r="M960" s="14">
        <v>0.36</v>
      </c>
      <c r="N960" s="14">
        <v>6.4000000000000001E-2</v>
      </c>
      <c r="O960" s="14"/>
      <c r="P960" s="21" t="e">
        <f t="shared" si="544"/>
        <v>#DIV/0!</v>
      </c>
      <c r="Q960" s="21"/>
      <c r="R960" s="21"/>
      <c r="T960" t="str">
        <f t="shared" si="545"/>
        <v/>
      </c>
    </row>
    <row r="961" spans="1:20" x14ac:dyDescent="0.2">
      <c r="A961">
        <v>972</v>
      </c>
      <c r="B961" s="14" t="s">
        <v>309</v>
      </c>
      <c r="C961" s="14"/>
      <c r="D961" s="14"/>
      <c r="E961" t="s">
        <v>9</v>
      </c>
      <c r="G961" s="14" t="s">
        <v>10</v>
      </c>
      <c r="H961" s="14"/>
      <c r="I961" s="14"/>
      <c r="J961" s="14"/>
      <c r="K961" s="14"/>
      <c r="L961" s="14"/>
      <c r="M961" s="14">
        <v>0.41799999999999998</v>
      </c>
      <c r="N961" s="14">
        <v>8.5000000000000006E-2</v>
      </c>
      <c r="O961" s="14"/>
      <c r="P961" s="21" t="e">
        <f t="shared" si="544"/>
        <v>#DIV/0!</v>
      </c>
      <c r="Q961" s="21"/>
      <c r="R961" s="21"/>
      <c r="T961" t="str">
        <f t="shared" si="545"/>
        <v/>
      </c>
    </row>
    <row r="962" spans="1:20" x14ac:dyDescent="0.2">
      <c r="A962">
        <v>973</v>
      </c>
      <c r="B962" s="14" t="s">
        <v>309</v>
      </c>
      <c r="C962" s="14"/>
      <c r="E962" t="s">
        <v>9</v>
      </c>
      <c r="G962" s="14" t="s">
        <v>12</v>
      </c>
      <c r="M962" s="14">
        <v>0.70099999999999996</v>
      </c>
      <c r="N962" s="14">
        <v>0.14000000000000001</v>
      </c>
      <c r="O962" s="14"/>
      <c r="P962" s="21" t="e">
        <f t="shared" si="544"/>
        <v>#DIV/0!</v>
      </c>
      <c r="Q962" s="21"/>
      <c r="R962" s="21"/>
      <c r="T962" t="str">
        <f t="shared" si="545"/>
        <v/>
      </c>
    </row>
    <row r="963" spans="1:20" x14ac:dyDescent="0.2">
      <c r="A963">
        <v>974</v>
      </c>
      <c r="B963" s="14" t="s">
        <v>310</v>
      </c>
      <c r="C963" s="14"/>
      <c r="D963" s="14"/>
      <c r="E963" t="s">
        <v>9</v>
      </c>
      <c r="G963" s="14" t="s">
        <v>10</v>
      </c>
      <c r="H963" s="14"/>
      <c r="I963" s="14"/>
      <c r="J963" s="14"/>
      <c r="K963" s="14"/>
      <c r="L963" s="14"/>
      <c r="M963" s="14">
        <v>0.59099999999999997</v>
      </c>
      <c r="N963" s="14">
        <v>0.10299999999999999</v>
      </c>
      <c r="O963" s="14"/>
      <c r="P963" s="21" t="e">
        <f t="shared" si="544"/>
        <v>#DIV/0!</v>
      </c>
      <c r="Q963" s="21"/>
      <c r="R963" s="21"/>
      <c r="S963" s="14"/>
      <c r="T963" t="str">
        <f t="shared" si="545"/>
        <v/>
      </c>
    </row>
    <row r="964" spans="1:20" x14ac:dyDescent="0.2">
      <c r="A964">
        <v>975</v>
      </c>
      <c r="B964" s="14" t="s">
        <v>311</v>
      </c>
      <c r="C964" s="14"/>
      <c r="D964" s="14"/>
      <c r="E964" t="s">
        <v>9</v>
      </c>
      <c r="G964" s="14" t="s">
        <v>10</v>
      </c>
      <c r="H964" s="14"/>
      <c r="I964" s="14"/>
      <c r="J964" s="14"/>
      <c r="K964" s="14"/>
      <c r="L964" s="14"/>
      <c r="M964" s="14">
        <v>0.68200000000000005</v>
      </c>
      <c r="N964" s="14">
        <v>116</v>
      </c>
      <c r="O964" s="14"/>
      <c r="P964" s="21" t="e">
        <f t="shared" si="544"/>
        <v>#DIV/0!</v>
      </c>
      <c r="Q964" s="21"/>
      <c r="R964" s="21"/>
      <c r="T964" t="str">
        <f t="shared" si="545"/>
        <v/>
      </c>
    </row>
    <row r="965" spans="1:20" x14ac:dyDescent="0.2">
      <c r="A965">
        <v>976</v>
      </c>
      <c r="B965" s="14" t="s">
        <v>312</v>
      </c>
      <c r="C965" s="14"/>
      <c r="D965" s="14"/>
      <c r="E965" t="s">
        <v>9</v>
      </c>
      <c r="G965" s="14" t="s">
        <v>10</v>
      </c>
      <c r="H965" s="14"/>
      <c r="I965" s="14"/>
      <c r="J965" s="14"/>
      <c r="K965" s="14"/>
      <c r="L965" s="14"/>
      <c r="M965" s="14">
        <v>0.66300000000000003</v>
      </c>
      <c r="N965" s="14">
        <v>0.14399999999999999</v>
      </c>
      <c r="O965" s="14"/>
      <c r="P965" s="21" t="e">
        <f t="shared" si="544"/>
        <v>#DIV/0!</v>
      </c>
      <c r="Q965" s="21"/>
      <c r="R965" s="21"/>
      <c r="T965" t="str">
        <f t="shared" si="545"/>
        <v/>
      </c>
    </row>
    <row r="966" spans="1:20" x14ac:dyDescent="0.2">
      <c r="A966">
        <v>977</v>
      </c>
      <c r="B966" s="14" t="s">
        <v>312</v>
      </c>
      <c r="C966" s="14"/>
      <c r="D966" s="14"/>
      <c r="E966" t="s">
        <v>9</v>
      </c>
      <c r="G966" s="14" t="s">
        <v>11</v>
      </c>
      <c r="H966" s="14"/>
      <c r="I966" s="14"/>
      <c r="J966" s="14"/>
      <c r="K966" s="14"/>
      <c r="L966" s="14"/>
      <c r="M966" s="14"/>
      <c r="N966" s="14"/>
      <c r="O966" s="14"/>
      <c r="P966" s="21" t="e">
        <f t="shared" si="544"/>
        <v>#DIV/0!</v>
      </c>
      <c r="Q966" s="21"/>
      <c r="R966" s="21"/>
      <c r="T966" t="str">
        <f t="shared" si="545"/>
        <v/>
      </c>
    </row>
    <row r="967" spans="1:20" x14ac:dyDescent="0.2">
      <c r="A967">
        <v>978</v>
      </c>
      <c r="B967" s="14" t="s">
        <v>312</v>
      </c>
      <c r="C967" s="14"/>
      <c r="D967" s="14"/>
      <c r="E967" t="s">
        <v>9</v>
      </c>
      <c r="G967" s="14" t="s">
        <v>12</v>
      </c>
      <c r="H967" s="14"/>
      <c r="I967" s="14"/>
      <c r="J967" s="14"/>
      <c r="K967" s="14"/>
      <c r="L967" s="14"/>
      <c r="M967" s="14">
        <v>0.248</v>
      </c>
      <c r="N967" s="14">
        <v>4.5999999999999999E-2</v>
      </c>
      <c r="O967" s="14"/>
      <c r="P967" s="21" t="e">
        <f t="shared" si="544"/>
        <v>#DIV/0!</v>
      </c>
      <c r="Q967" s="21"/>
      <c r="R967" s="21"/>
      <c r="T967" t="str">
        <f t="shared" si="545"/>
        <v/>
      </c>
    </row>
    <row r="968" spans="1:20" x14ac:dyDescent="0.2">
      <c r="A968">
        <v>979</v>
      </c>
      <c r="B968" s="14" t="s">
        <v>312</v>
      </c>
      <c r="C968" s="14"/>
      <c r="D968" s="14"/>
      <c r="E968" t="s">
        <v>9</v>
      </c>
      <c r="G968" s="14" t="s">
        <v>14</v>
      </c>
      <c r="H968" s="14"/>
      <c r="I968" s="14"/>
      <c r="J968" s="14"/>
      <c r="K968" s="14"/>
      <c r="L968" s="14"/>
      <c r="M968" s="14"/>
      <c r="N968" s="14"/>
      <c r="O968" s="14"/>
      <c r="P968" s="21" t="e">
        <f t="shared" si="544"/>
        <v>#DIV/0!</v>
      </c>
      <c r="Q968" s="21"/>
      <c r="R968" s="21"/>
      <c r="T968" t="str">
        <f t="shared" si="545"/>
        <v/>
      </c>
    </row>
  </sheetData>
  <sortState xmlns:xlrd2="http://schemas.microsoft.com/office/spreadsheetml/2017/richdata2" ref="B2:O980">
    <sortCondition ref="D2:D980"/>
    <sortCondition ref="B2:B980"/>
  </sortState>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S37"/>
  <sheetViews>
    <sheetView workbookViewId="0">
      <selection activeCell="B36" sqref="B36"/>
    </sheetView>
  </sheetViews>
  <sheetFormatPr baseColWidth="10" defaultColWidth="8.83203125" defaultRowHeight="15" x14ac:dyDescent="0.2"/>
  <sheetData>
    <row r="2" spans="2:19" x14ac:dyDescent="0.2">
      <c r="B2" t="s">
        <v>1555</v>
      </c>
      <c r="C2" t="s">
        <v>1553</v>
      </c>
      <c r="D2">
        <v>2.5547487321346245</v>
      </c>
    </row>
    <row r="3" spans="2:19" x14ac:dyDescent="0.2">
      <c r="C3" t="s">
        <v>1550</v>
      </c>
      <c r="D3">
        <v>3.2393960350391895</v>
      </c>
      <c r="F3">
        <f>(D3-D$2)/D$2*100</f>
        <v>26.799007444168758</v>
      </c>
    </row>
    <row r="4" spans="2:19" x14ac:dyDescent="0.2">
      <c r="C4" t="s">
        <v>1551</v>
      </c>
      <c r="D4">
        <v>4.0191332411249432</v>
      </c>
      <c r="F4">
        <f>(D4-D$2)/D$2*100</f>
        <v>57.320099255583145</v>
      </c>
    </row>
    <row r="5" spans="2:19" x14ac:dyDescent="0.2">
      <c r="B5" t="s">
        <v>1554</v>
      </c>
      <c r="C5" t="s">
        <v>1553</v>
      </c>
      <c r="D5">
        <v>2.8336791147994473</v>
      </c>
    </row>
    <row r="6" spans="2:19" x14ac:dyDescent="0.2">
      <c r="C6" t="s">
        <v>1550</v>
      </c>
      <c r="D6">
        <v>4.1585984324573539</v>
      </c>
      <c r="F6">
        <f>(D6-D$5)/D$5*100</f>
        <v>46.75615212527962</v>
      </c>
    </row>
    <row r="7" spans="2:19" x14ac:dyDescent="0.2">
      <c r="C7" t="s">
        <v>1551</v>
      </c>
      <c r="D7">
        <v>6.0096818810511774</v>
      </c>
      <c r="F7">
        <f>(D7-D$5)/D$5*100</f>
        <v>112.08053691275171</v>
      </c>
    </row>
    <row r="8" spans="2:19" x14ac:dyDescent="0.2">
      <c r="B8" t="s">
        <v>1552</v>
      </c>
      <c r="C8" t="s">
        <v>1553</v>
      </c>
      <c r="D8">
        <v>2.4659981558321813</v>
      </c>
    </row>
    <row r="9" spans="2:19" x14ac:dyDescent="0.2">
      <c r="C9" t="s">
        <v>1550</v>
      </c>
      <c r="D9">
        <v>4.7988704472106978</v>
      </c>
      <c r="F9">
        <f>(D9-D$8)/D$8*100</f>
        <v>94.60154241645246</v>
      </c>
    </row>
    <row r="10" spans="2:19" x14ac:dyDescent="0.2">
      <c r="C10" t="s">
        <v>1551</v>
      </c>
      <c r="D10">
        <v>3.9874366067312135</v>
      </c>
      <c r="F10">
        <f>(D10-D$8)/D$8*100</f>
        <v>61.696658097686374</v>
      </c>
    </row>
    <row r="13" spans="2:19" x14ac:dyDescent="0.2">
      <c r="B13" t="s">
        <v>438</v>
      </c>
      <c r="C13" t="s">
        <v>1560</v>
      </c>
      <c r="D13" t="s">
        <v>1558</v>
      </c>
      <c r="E13" t="s">
        <v>1559</v>
      </c>
    </row>
    <row r="14" spans="2:19" x14ac:dyDescent="0.2">
      <c r="B14" t="s">
        <v>196</v>
      </c>
      <c r="C14" t="s">
        <v>1556</v>
      </c>
      <c r="D14">
        <v>4.5703227885210831</v>
      </c>
      <c r="E14">
        <v>21</v>
      </c>
      <c r="F14">
        <f>(D15-D14)/D14*100</f>
        <v>15.055777369829082</v>
      </c>
      <c r="S14">
        <v>243365</v>
      </c>
    </row>
    <row r="15" spans="2:19" x14ac:dyDescent="0.2">
      <c r="C15" t="s">
        <v>1557</v>
      </c>
      <c r="D15">
        <v>5.2584204126433818</v>
      </c>
      <c r="E15">
        <v>21</v>
      </c>
      <c r="S15">
        <f>S14-70000</f>
        <v>173365</v>
      </c>
    </row>
    <row r="16" spans="2:19" x14ac:dyDescent="0.2">
      <c r="B16" t="s">
        <v>645</v>
      </c>
      <c r="C16" t="s">
        <v>1556</v>
      </c>
      <c r="D16">
        <v>3.5416726562568877</v>
      </c>
      <c r="E16">
        <v>26</v>
      </c>
      <c r="F16">
        <f>(D17-D16)/D16*100</f>
        <v>44.130963310950996</v>
      </c>
    </row>
    <row r="17" spans="2:18" x14ac:dyDescent="0.2">
      <c r="C17" t="s">
        <v>1557</v>
      </c>
      <c r="D17">
        <v>5.1046469167835982</v>
      </c>
      <c r="E17">
        <v>26</v>
      </c>
    </row>
    <row r="18" spans="2:18" x14ac:dyDescent="0.2">
      <c r="B18" t="s">
        <v>732</v>
      </c>
      <c r="C18" t="s">
        <v>1556</v>
      </c>
      <c r="D18">
        <v>1.7611616617318817</v>
      </c>
      <c r="E18">
        <v>15</v>
      </c>
      <c r="F18">
        <f>(D19-D18)/D18*100</f>
        <v>32.912453472296612</v>
      </c>
    </row>
    <row r="19" spans="2:18" x14ac:dyDescent="0.2">
      <c r="C19" t="s">
        <v>1557</v>
      </c>
      <c r="D19">
        <v>2.3408031742213131</v>
      </c>
      <c r="E19">
        <v>15</v>
      </c>
    </row>
    <row r="20" spans="2:18" x14ac:dyDescent="0.2">
      <c r="B20" t="s">
        <v>26</v>
      </c>
      <c r="C20" t="s">
        <v>1556</v>
      </c>
      <c r="D20">
        <v>2.8622916666666667</v>
      </c>
      <c r="E20">
        <v>2</v>
      </c>
      <c r="F20">
        <f>(D21-D20)/D20*100</f>
        <v>126.09009766735946</v>
      </c>
    </row>
    <row r="21" spans="2:18" x14ac:dyDescent="0.2">
      <c r="C21" t="s">
        <v>1557</v>
      </c>
      <c r="D21">
        <v>6.4713580246913578</v>
      </c>
      <c r="E21">
        <v>2</v>
      </c>
    </row>
    <row r="22" spans="2:18" x14ac:dyDescent="0.2">
      <c r="B22" t="s">
        <v>843</v>
      </c>
      <c r="C22" t="s">
        <v>1556</v>
      </c>
      <c r="D22">
        <v>3.9907766542633198</v>
      </c>
      <c r="E22">
        <v>23</v>
      </c>
      <c r="F22">
        <f>(D23-D22)/D22*100</f>
        <v>38.72726230074521</v>
      </c>
    </row>
    <row r="23" spans="2:18" x14ac:dyDescent="0.2">
      <c r="C23" t="s">
        <v>1557</v>
      </c>
      <c r="D23">
        <v>5.5362951969967797</v>
      </c>
      <c r="E23">
        <v>23</v>
      </c>
    </row>
    <row r="24" spans="2:18" x14ac:dyDescent="0.2">
      <c r="B24" t="s">
        <v>938</v>
      </c>
      <c r="C24" t="s">
        <v>1556</v>
      </c>
      <c r="D24">
        <v>3.9325294983830865</v>
      </c>
      <c r="E24">
        <v>19</v>
      </c>
      <c r="F24">
        <f>(D25-D24)/D24*100</f>
        <v>18.836304862847218</v>
      </c>
    </row>
    <row r="25" spans="2:18" x14ac:dyDescent="0.2">
      <c r="C25" t="s">
        <v>1557</v>
      </c>
      <c r="D25">
        <v>4.6732727435199211</v>
      </c>
      <c r="E25">
        <v>19</v>
      </c>
    </row>
    <row r="26" spans="2:18" x14ac:dyDescent="0.2">
      <c r="B26" t="s">
        <v>1042</v>
      </c>
      <c r="C26" t="s">
        <v>1556</v>
      </c>
      <c r="D26">
        <v>2.2268531378600822</v>
      </c>
      <c r="E26">
        <v>3</v>
      </c>
      <c r="F26">
        <f>(D27-D26)/D26*100</f>
        <v>10.491809182789375</v>
      </c>
    </row>
    <row r="27" spans="2:18" x14ac:dyDescent="0.2">
      <c r="C27" t="s">
        <v>1557</v>
      </c>
      <c r="D27">
        <v>2.4604903198653196</v>
      </c>
      <c r="E27">
        <v>3</v>
      </c>
    </row>
    <row r="28" spans="2:18" x14ac:dyDescent="0.2">
      <c r="B28" t="s">
        <v>777</v>
      </c>
      <c r="C28" t="s">
        <v>1556</v>
      </c>
      <c r="D28">
        <v>4.0111506769821395</v>
      </c>
      <c r="E28">
        <v>29</v>
      </c>
      <c r="F28">
        <f>(D29-D28)/D28*100</f>
        <v>24.2919405668904</v>
      </c>
    </row>
    <row r="29" spans="2:18" x14ac:dyDescent="0.2">
      <c r="C29" t="s">
        <v>1557</v>
      </c>
      <c r="D29">
        <v>4.9855370154830627</v>
      </c>
      <c r="E29">
        <v>29</v>
      </c>
    </row>
    <row r="30" spans="2:18" x14ac:dyDescent="0.2">
      <c r="B30" t="s">
        <v>1175</v>
      </c>
      <c r="C30" t="s">
        <v>1556</v>
      </c>
      <c r="D30">
        <v>3.4265424078880127</v>
      </c>
      <c r="E30">
        <v>19</v>
      </c>
      <c r="F30">
        <f>(D31-D30)/D30*100</f>
        <v>14.645602893648546</v>
      </c>
      <c r="P30" t="s">
        <v>1556</v>
      </c>
      <c r="Q30">
        <v>3.6049956446070928</v>
      </c>
      <c r="R30">
        <v>1.6446399585852691</v>
      </c>
    </row>
    <row r="31" spans="2:18" x14ac:dyDescent="0.2">
      <c r="C31" t="s">
        <v>1557</v>
      </c>
      <c r="D31">
        <v>3.928380201929754</v>
      </c>
      <c r="E31">
        <v>19</v>
      </c>
      <c r="P31" t="s">
        <v>1557</v>
      </c>
      <c r="Q31">
        <v>4.465066146929539</v>
      </c>
      <c r="R31">
        <v>1.871203317576317</v>
      </c>
    </row>
    <row r="32" spans="2:18" x14ac:dyDescent="0.2">
      <c r="B32" t="s">
        <v>1014</v>
      </c>
      <c r="C32" t="s">
        <v>1556</v>
      </c>
      <c r="D32">
        <v>3.4082183276703435</v>
      </c>
      <c r="E32">
        <v>43</v>
      </c>
      <c r="F32">
        <f>(D33-D32)/D32*100</f>
        <v>10.669688826937525</v>
      </c>
    </row>
    <row r="33" spans="2:6" x14ac:dyDescent="0.2">
      <c r="C33" t="s">
        <v>1557</v>
      </c>
      <c r="D33">
        <v>3.7718646177754231</v>
      </c>
      <c r="E33">
        <v>45</v>
      </c>
    </row>
    <row r="34" spans="2:6" x14ac:dyDescent="0.2">
      <c r="B34" t="s">
        <v>1310</v>
      </c>
      <c r="C34" t="s">
        <v>1556</v>
      </c>
      <c r="D34">
        <v>3.3930820947315281</v>
      </c>
      <c r="E34">
        <v>11</v>
      </c>
      <c r="F34">
        <f>(D35-D34)/D34*100</f>
        <v>20.032105293525284</v>
      </c>
    </row>
    <row r="35" spans="2:6" x14ac:dyDescent="0.2">
      <c r="C35" t="s">
        <v>1557</v>
      </c>
      <c r="D35">
        <v>4.0727878726439011</v>
      </c>
      <c r="E35">
        <v>11</v>
      </c>
    </row>
    <row r="36" spans="2:6" x14ac:dyDescent="0.2">
      <c r="E36">
        <f>SUM(E14:E35)</f>
        <v>424</v>
      </c>
    </row>
    <row r="37" spans="2:6" x14ac:dyDescent="0.2">
      <c r="E37">
        <f>E36/2</f>
        <v>212</v>
      </c>
    </row>
  </sheetData>
  <sortState xmlns:xlrd2="http://schemas.microsoft.com/office/spreadsheetml/2017/richdata2" ref="B2:D10">
    <sortCondition ref="C2:C10"/>
    <sortCondition ref="B2:B10"/>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970"/>
  <sheetViews>
    <sheetView workbookViewId="0">
      <pane xSplit="6" ySplit="1" topLeftCell="G2" activePane="bottomRight" state="frozen"/>
      <selection pane="topRight" activeCell="G1" sqref="G1"/>
      <selection pane="bottomLeft" activeCell="A2" sqref="A2"/>
      <selection pane="bottomRight" activeCell="L1" sqref="L1"/>
    </sheetView>
  </sheetViews>
  <sheetFormatPr baseColWidth="10" defaultColWidth="8.83203125" defaultRowHeight="15" x14ac:dyDescent="0.2"/>
  <cols>
    <col min="2" max="3" width="26.1640625" bestFit="1" customWidth="1"/>
    <col min="4" max="4" width="12" bestFit="1" customWidth="1"/>
    <col min="5" max="5" width="9.5" bestFit="1" customWidth="1"/>
    <col min="6" max="6" width="26" bestFit="1" customWidth="1"/>
    <col min="14" max="17" width="10.5" bestFit="1" customWidth="1"/>
  </cols>
  <sheetData>
    <row r="1" spans="1:19" x14ac:dyDescent="0.2">
      <c r="A1" t="s">
        <v>419</v>
      </c>
      <c r="B1" t="s">
        <v>1535</v>
      </c>
      <c r="C1" t="s">
        <v>1534</v>
      </c>
      <c r="D1" t="s">
        <v>7</v>
      </c>
      <c r="E1" t="s">
        <v>55</v>
      </c>
      <c r="F1" t="s">
        <v>56</v>
      </c>
      <c r="G1" t="s">
        <v>18</v>
      </c>
      <c r="H1" t="s">
        <v>19</v>
      </c>
      <c r="I1" t="s">
        <v>20</v>
      </c>
      <c r="J1" t="s">
        <v>21</v>
      </c>
      <c r="K1" t="s">
        <v>22</v>
      </c>
      <c r="L1" t="s">
        <v>51</v>
      </c>
      <c r="M1" t="s">
        <v>52</v>
      </c>
      <c r="N1" t="s">
        <v>62</v>
      </c>
      <c r="O1" t="s">
        <v>63</v>
      </c>
      <c r="P1" t="s">
        <v>64</v>
      </c>
      <c r="Q1" t="s">
        <v>65</v>
      </c>
      <c r="R1" t="s">
        <v>543</v>
      </c>
    </row>
    <row r="2" spans="1:19" x14ac:dyDescent="0.2">
      <c r="A2">
        <v>1</v>
      </c>
      <c r="B2" t="s">
        <v>66</v>
      </c>
      <c r="C2" t="s">
        <v>414</v>
      </c>
      <c r="D2" t="s">
        <v>2</v>
      </c>
      <c r="E2" t="s">
        <v>9</v>
      </c>
      <c r="F2" t="s">
        <v>10</v>
      </c>
      <c r="G2">
        <v>38</v>
      </c>
      <c r="H2">
        <v>42</v>
      </c>
      <c r="I2">
        <v>9.3000000000000007</v>
      </c>
      <c r="J2">
        <v>5.68</v>
      </c>
      <c r="K2">
        <v>0.84</v>
      </c>
      <c r="L2">
        <v>0.41599999999999998</v>
      </c>
      <c r="M2">
        <v>0.14000000000000001</v>
      </c>
      <c r="N2" s="21">
        <v>3.1255026455026456</v>
      </c>
      <c r="O2" s="21">
        <v>3.4116402116402118</v>
      </c>
      <c r="P2" s="21">
        <v>3.1255026455026456</v>
      </c>
      <c r="Q2" s="21" t="s">
        <v>547</v>
      </c>
      <c r="S2" t="s">
        <v>547</v>
      </c>
    </row>
    <row r="3" spans="1:19" x14ac:dyDescent="0.2">
      <c r="A3">
        <v>2</v>
      </c>
      <c r="B3" t="s">
        <v>66</v>
      </c>
      <c r="C3" t="s">
        <v>414</v>
      </c>
      <c r="D3" t="s">
        <v>2</v>
      </c>
      <c r="E3" t="s">
        <v>9</v>
      </c>
      <c r="F3" t="s">
        <v>11</v>
      </c>
      <c r="G3">
        <v>39</v>
      </c>
      <c r="H3">
        <v>38</v>
      </c>
      <c r="I3">
        <v>5.6</v>
      </c>
      <c r="J3">
        <v>4.42</v>
      </c>
      <c r="K3">
        <v>0.84</v>
      </c>
      <c r="L3">
        <v>0.41599999999999998</v>
      </c>
      <c r="M3">
        <v>0.14000000000000001</v>
      </c>
      <c r="N3" s="21">
        <v>2.4321693121693126</v>
      </c>
      <c r="O3" s="21">
        <v>2.0543209876543211</v>
      </c>
      <c r="P3" s="21">
        <v>2.4321693121693126</v>
      </c>
      <c r="Q3" s="21" t="s">
        <v>547</v>
      </c>
      <c r="S3" t="s">
        <v>547</v>
      </c>
    </row>
    <row r="4" spans="1:19" x14ac:dyDescent="0.2">
      <c r="A4">
        <v>3</v>
      </c>
      <c r="B4" t="s">
        <v>66</v>
      </c>
      <c r="C4" t="s">
        <v>414</v>
      </c>
      <c r="D4" t="s">
        <v>2</v>
      </c>
      <c r="E4" t="s">
        <v>9</v>
      </c>
      <c r="F4" t="s">
        <v>12</v>
      </c>
      <c r="G4">
        <v>28</v>
      </c>
      <c r="H4">
        <v>28</v>
      </c>
      <c r="I4">
        <v>6.74</v>
      </c>
      <c r="J4">
        <v>6.17</v>
      </c>
      <c r="K4">
        <v>1.07</v>
      </c>
      <c r="L4">
        <v>0.65100000000000002</v>
      </c>
      <c r="M4">
        <v>0.114</v>
      </c>
      <c r="N4" s="21">
        <v>4.1709968847352021</v>
      </c>
      <c r="O4" s="21">
        <v>3.0375493250259611</v>
      </c>
      <c r="P4" s="21" t="s">
        <v>547</v>
      </c>
      <c r="Q4" s="21">
        <v>4.1709968847352021</v>
      </c>
      <c r="S4" t="s">
        <v>547</v>
      </c>
    </row>
    <row r="5" spans="1:19" x14ac:dyDescent="0.2">
      <c r="A5">
        <v>4</v>
      </c>
      <c r="B5" t="s">
        <v>66</v>
      </c>
      <c r="C5" t="s">
        <v>414</v>
      </c>
      <c r="D5" t="s">
        <v>2</v>
      </c>
      <c r="E5" t="s">
        <v>9</v>
      </c>
      <c r="F5" t="s">
        <v>14</v>
      </c>
      <c r="G5">
        <v>27</v>
      </c>
      <c r="H5">
        <v>26</v>
      </c>
      <c r="I5">
        <v>5.28</v>
      </c>
      <c r="J5">
        <v>5.64</v>
      </c>
      <c r="K5">
        <v>1.07</v>
      </c>
      <c r="L5">
        <v>0.65100000000000002</v>
      </c>
      <c r="M5">
        <v>0.114</v>
      </c>
      <c r="N5" s="21">
        <v>3.8127102803738318</v>
      </c>
      <c r="O5" s="21">
        <v>2.3795638629283493</v>
      </c>
      <c r="P5" s="21" t="s">
        <v>547</v>
      </c>
      <c r="Q5" s="21">
        <v>3.8127102803738318</v>
      </c>
      <c r="S5" t="s">
        <v>547</v>
      </c>
    </row>
    <row r="6" spans="1:19" x14ac:dyDescent="0.2">
      <c r="A6">
        <v>5</v>
      </c>
      <c r="B6" t="s">
        <v>67</v>
      </c>
      <c r="D6" t="s">
        <v>2</v>
      </c>
      <c r="E6" t="s">
        <v>9</v>
      </c>
      <c r="F6" t="s">
        <v>10</v>
      </c>
      <c r="G6">
        <v>32</v>
      </c>
      <c r="H6">
        <v>37</v>
      </c>
      <c r="I6">
        <v>19.350000000000001</v>
      </c>
      <c r="J6">
        <v>9.69</v>
      </c>
      <c r="K6">
        <v>1.56</v>
      </c>
      <c r="L6">
        <v>0.65100000000000002</v>
      </c>
      <c r="M6">
        <v>0.114</v>
      </c>
      <c r="N6" s="21">
        <v>4.4930128205128206</v>
      </c>
      <c r="O6" s="21">
        <v>5.9814102564102578</v>
      </c>
      <c r="P6" s="21">
        <v>4.4930128205128206</v>
      </c>
      <c r="Q6" s="21" t="s">
        <v>547</v>
      </c>
      <c r="R6" t="s">
        <v>54</v>
      </c>
      <c r="S6" t="s">
        <v>547</v>
      </c>
    </row>
    <row r="7" spans="1:19" x14ac:dyDescent="0.2">
      <c r="A7">
        <v>6</v>
      </c>
      <c r="B7" t="s">
        <v>68</v>
      </c>
      <c r="C7" t="s">
        <v>415</v>
      </c>
      <c r="D7" t="s">
        <v>2</v>
      </c>
      <c r="E7" t="s">
        <v>9</v>
      </c>
      <c r="F7" t="s">
        <v>11</v>
      </c>
      <c r="G7">
        <v>36</v>
      </c>
      <c r="H7">
        <v>48</v>
      </c>
      <c r="I7">
        <v>16.47</v>
      </c>
      <c r="J7">
        <v>10.73</v>
      </c>
      <c r="L7">
        <v>0.60399999999999998</v>
      </c>
      <c r="M7">
        <v>0.15</v>
      </c>
      <c r="N7" s="21">
        <v>7.5716569200779738</v>
      </c>
      <c r="O7" s="21">
        <v>7.7480701754385963</v>
      </c>
      <c r="P7" s="21">
        <v>7.5716569200779738</v>
      </c>
      <c r="Q7" s="21" t="s">
        <v>547</v>
      </c>
      <c r="S7" t="s">
        <v>547</v>
      </c>
    </row>
    <row r="8" spans="1:19" x14ac:dyDescent="0.2">
      <c r="A8">
        <v>7</v>
      </c>
      <c r="B8" t="s">
        <v>68</v>
      </c>
      <c r="C8" t="s">
        <v>415</v>
      </c>
      <c r="D8" t="s">
        <v>2</v>
      </c>
      <c r="E8" t="s">
        <v>9</v>
      </c>
      <c r="F8" t="s">
        <v>12</v>
      </c>
      <c r="G8">
        <v>21</v>
      </c>
      <c r="H8">
        <v>26</v>
      </c>
      <c r="I8">
        <v>8.0500000000000007</v>
      </c>
      <c r="J8">
        <v>6.55</v>
      </c>
      <c r="K8">
        <v>1.1399999999999999</v>
      </c>
      <c r="L8">
        <v>0.72399999999999998</v>
      </c>
      <c r="M8">
        <v>0.13600000000000001</v>
      </c>
      <c r="N8" s="21">
        <v>4.6220272904483437</v>
      </c>
      <c r="O8" s="21">
        <v>3.7870045484080577</v>
      </c>
      <c r="P8" s="21" t="s">
        <v>547</v>
      </c>
      <c r="Q8" s="21">
        <v>4.6220272904483437</v>
      </c>
      <c r="S8" t="s">
        <v>547</v>
      </c>
    </row>
    <row r="9" spans="1:19" x14ac:dyDescent="0.2">
      <c r="A9">
        <v>8</v>
      </c>
      <c r="B9" t="s">
        <v>68</v>
      </c>
      <c r="C9" t="s">
        <v>415</v>
      </c>
      <c r="D9" t="s">
        <v>2</v>
      </c>
      <c r="E9" t="s">
        <v>9</v>
      </c>
      <c r="F9" t="s">
        <v>14</v>
      </c>
      <c r="G9">
        <v>38</v>
      </c>
      <c r="H9">
        <v>41</v>
      </c>
      <c r="I9">
        <v>7.58</v>
      </c>
      <c r="J9">
        <v>5.92</v>
      </c>
      <c r="K9">
        <v>1.1399999999999999</v>
      </c>
      <c r="L9">
        <v>0.72399999999999998</v>
      </c>
      <c r="M9">
        <v>0.13600000000000001</v>
      </c>
      <c r="N9" s="21">
        <v>4.1774658869395722</v>
      </c>
      <c r="O9" s="21">
        <v>3.5658999350227423</v>
      </c>
      <c r="P9" s="21" t="s">
        <v>547</v>
      </c>
      <c r="Q9" s="21">
        <v>4.1774658869395722</v>
      </c>
      <c r="S9" t="s">
        <v>547</v>
      </c>
    </row>
    <row r="10" spans="1:19" x14ac:dyDescent="0.2">
      <c r="A10">
        <v>9</v>
      </c>
      <c r="B10" t="s">
        <v>313</v>
      </c>
      <c r="C10" t="s">
        <v>313</v>
      </c>
      <c r="D10" t="s">
        <v>2</v>
      </c>
      <c r="E10" t="s">
        <v>9</v>
      </c>
      <c r="F10" t="s">
        <v>10</v>
      </c>
      <c r="G10">
        <v>29</v>
      </c>
      <c r="H10">
        <v>49</v>
      </c>
      <c r="I10">
        <v>23.93</v>
      </c>
      <c r="J10">
        <v>14.08</v>
      </c>
      <c r="K10">
        <v>1.56</v>
      </c>
      <c r="L10">
        <v>0.88100000000000001</v>
      </c>
      <c r="M10">
        <v>0.16800000000000001</v>
      </c>
      <c r="N10" s="21">
        <v>8.8350997150997159</v>
      </c>
      <c r="O10" s="21">
        <v>10.010603038936374</v>
      </c>
      <c r="P10" s="21">
        <v>8.8350997150997159</v>
      </c>
      <c r="Q10" s="21" t="s">
        <v>547</v>
      </c>
      <c r="S10" t="s">
        <v>547</v>
      </c>
    </row>
    <row r="11" spans="1:19" x14ac:dyDescent="0.2">
      <c r="A11">
        <v>10</v>
      </c>
      <c r="B11" t="s">
        <v>313</v>
      </c>
      <c r="C11" t="s">
        <v>313</v>
      </c>
      <c r="D11" t="s">
        <v>2</v>
      </c>
      <c r="E11" t="s">
        <v>9</v>
      </c>
      <c r="F11" t="s">
        <v>11</v>
      </c>
      <c r="G11">
        <v>33</v>
      </c>
      <c r="H11">
        <v>46</v>
      </c>
      <c r="I11">
        <v>20.059999999999999</v>
      </c>
      <c r="J11">
        <v>12.43</v>
      </c>
      <c r="K11">
        <v>1.56</v>
      </c>
      <c r="L11">
        <v>0.88100000000000001</v>
      </c>
      <c r="M11">
        <v>0.16800000000000001</v>
      </c>
      <c r="N11" s="21">
        <v>7.7997364672364675</v>
      </c>
      <c r="O11" s="21">
        <v>8.3916714150047493</v>
      </c>
      <c r="P11" s="21">
        <v>7.7997364672364675</v>
      </c>
      <c r="Q11" s="21" t="s">
        <v>547</v>
      </c>
      <c r="S11" t="s">
        <v>547</v>
      </c>
    </row>
    <row r="12" spans="1:19" x14ac:dyDescent="0.2">
      <c r="A12">
        <v>11</v>
      </c>
      <c r="B12" t="s">
        <v>313</v>
      </c>
      <c r="C12" t="s">
        <v>313</v>
      </c>
      <c r="D12" t="s">
        <v>2</v>
      </c>
      <c r="E12" t="s">
        <v>9</v>
      </c>
      <c r="F12" t="s">
        <v>12</v>
      </c>
      <c r="G12">
        <v>50</v>
      </c>
      <c r="H12">
        <v>51</v>
      </c>
      <c r="I12">
        <v>21.95</v>
      </c>
      <c r="J12">
        <v>14.63</v>
      </c>
      <c r="K12">
        <v>1.55</v>
      </c>
      <c r="L12">
        <v>0.7</v>
      </c>
      <c r="M12">
        <v>9.6000000000000002E-2</v>
      </c>
      <c r="N12" s="21">
        <v>7.3412186379928315</v>
      </c>
      <c r="O12" s="21">
        <v>7.3428912783751485</v>
      </c>
      <c r="P12" s="21" t="s">
        <v>547</v>
      </c>
      <c r="Q12" s="21">
        <v>7.3412186379928315</v>
      </c>
      <c r="S12" t="s">
        <v>547</v>
      </c>
    </row>
    <row r="13" spans="1:19" x14ac:dyDescent="0.2">
      <c r="A13">
        <v>12</v>
      </c>
      <c r="B13" t="s">
        <v>313</v>
      </c>
      <c r="C13" t="s">
        <v>313</v>
      </c>
      <c r="D13" t="s">
        <v>2</v>
      </c>
      <c r="E13" t="s">
        <v>9</v>
      </c>
      <c r="F13" t="s">
        <v>14</v>
      </c>
      <c r="G13">
        <v>49</v>
      </c>
      <c r="H13">
        <v>46</v>
      </c>
      <c r="I13">
        <v>17.73</v>
      </c>
      <c r="J13">
        <v>12.96</v>
      </c>
      <c r="K13">
        <v>1.55</v>
      </c>
      <c r="L13">
        <v>0.7</v>
      </c>
      <c r="M13">
        <v>9.6000000000000002E-2</v>
      </c>
      <c r="N13" s="21">
        <v>6.5032258064516126</v>
      </c>
      <c r="O13" s="21">
        <v>5.9311827956989243</v>
      </c>
      <c r="P13" s="21" t="s">
        <v>547</v>
      </c>
      <c r="Q13" s="21">
        <v>6.5032258064516126</v>
      </c>
      <c r="S13" t="s">
        <v>547</v>
      </c>
    </row>
    <row r="14" spans="1:19" x14ac:dyDescent="0.2">
      <c r="A14">
        <v>13</v>
      </c>
      <c r="B14" t="s">
        <v>69</v>
      </c>
      <c r="C14" t="s">
        <v>69</v>
      </c>
      <c r="D14" t="s">
        <v>2</v>
      </c>
      <c r="E14" t="s">
        <v>9</v>
      </c>
      <c r="F14" t="s">
        <v>10</v>
      </c>
      <c r="G14">
        <v>47</v>
      </c>
      <c r="I14">
        <v>3.84</v>
      </c>
      <c r="J14">
        <v>1.05</v>
      </c>
      <c r="K14">
        <v>0.28999999999999998</v>
      </c>
      <c r="N14" s="21">
        <v>0.6656293222683265</v>
      </c>
      <c r="O14" s="21">
        <v>1.6228676809589675</v>
      </c>
      <c r="P14" s="21">
        <v>0.6656293222683265</v>
      </c>
      <c r="Q14" s="21" t="s">
        <v>547</v>
      </c>
      <c r="R14" t="s">
        <v>1531</v>
      </c>
      <c r="S14" t="s">
        <v>547</v>
      </c>
    </row>
    <row r="15" spans="1:19" x14ac:dyDescent="0.2">
      <c r="A15">
        <v>14</v>
      </c>
      <c r="B15" t="s">
        <v>69</v>
      </c>
      <c r="C15" t="s">
        <v>69</v>
      </c>
      <c r="D15" t="s">
        <v>2</v>
      </c>
      <c r="E15" t="s">
        <v>9</v>
      </c>
      <c r="F15" t="s">
        <v>11</v>
      </c>
      <c r="G15">
        <v>45</v>
      </c>
      <c r="I15">
        <v>3.78</v>
      </c>
      <c r="J15">
        <v>0.85</v>
      </c>
      <c r="K15">
        <v>0.28999999999999998</v>
      </c>
      <c r="N15" s="21">
        <v>0.53884278469340718</v>
      </c>
      <c r="O15" s="21">
        <v>1.5975103734439835</v>
      </c>
      <c r="P15" s="21">
        <v>0.53884278469340718</v>
      </c>
      <c r="Q15" s="21" t="s">
        <v>547</v>
      </c>
      <c r="R15" t="s">
        <v>1531</v>
      </c>
      <c r="S15" t="s">
        <v>547</v>
      </c>
    </row>
    <row r="16" spans="1:19" x14ac:dyDescent="0.2">
      <c r="A16">
        <v>15</v>
      </c>
      <c r="B16" t="s">
        <v>69</v>
      </c>
      <c r="C16" t="s">
        <v>69</v>
      </c>
      <c r="D16" t="s">
        <v>2</v>
      </c>
      <c r="E16" t="s">
        <v>9</v>
      </c>
      <c r="F16" t="s">
        <v>12</v>
      </c>
      <c r="G16">
        <v>24</v>
      </c>
      <c r="I16">
        <v>6.04</v>
      </c>
      <c r="J16">
        <v>1.81</v>
      </c>
      <c r="K16">
        <v>0.34</v>
      </c>
      <c r="N16" s="21">
        <v>1.14741816505302</v>
      </c>
      <c r="O16" s="21">
        <v>2.5526356231750427</v>
      </c>
      <c r="P16" s="21" t="s">
        <v>547</v>
      </c>
      <c r="Q16" s="21">
        <v>1.14741816505302</v>
      </c>
      <c r="R16" t="s">
        <v>1531</v>
      </c>
      <c r="S16" t="s">
        <v>547</v>
      </c>
    </row>
    <row r="17" spans="1:19" x14ac:dyDescent="0.2">
      <c r="A17">
        <v>16</v>
      </c>
      <c r="B17" t="s">
        <v>69</v>
      </c>
      <c r="C17" t="s">
        <v>69</v>
      </c>
      <c r="D17" t="s">
        <v>2</v>
      </c>
      <c r="E17" t="s">
        <v>9</v>
      </c>
      <c r="F17" t="s">
        <v>14</v>
      </c>
      <c r="G17">
        <v>25</v>
      </c>
      <c r="I17">
        <v>7.99</v>
      </c>
      <c r="J17">
        <v>2.5499999999999998</v>
      </c>
      <c r="K17">
        <v>0.34</v>
      </c>
      <c r="N17" s="21">
        <v>1.6165283540802216</v>
      </c>
      <c r="O17" s="21">
        <v>3.3767481174120184</v>
      </c>
      <c r="P17" s="21" t="s">
        <v>547</v>
      </c>
      <c r="Q17" s="21">
        <v>1.6165283540802216</v>
      </c>
      <c r="R17" t="s">
        <v>1531</v>
      </c>
      <c r="S17" t="s">
        <v>547</v>
      </c>
    </row>
    <row r="18" spans="1:19" x14ac:dyDescent="0.2">
      <c r="A18">
        <v>17</v>
      </c>
      <c r="B18" t="s">
        <v>70</v>
      </c>
      <c r="D18" t="s">
        <v>2</v>
      </c>
      <c r="E18" t="s">
        <v>9</v>
      </c>
      <c r="F18" t="s">
        <v>10</v>
      </c>
      <c r="G18">
        <v>14</v>
      </c>
      <c r="I18">
        <v>3.61</v>
      </c>
      <c r="J18">
        <v>1.79</v>
      </c>
      <c r="K18">
        <v>0.31</v>
      </c>
      <c r="N18" s="21">
        <v>1.1347395112955281</v>
      </c>
      <c r="O18" s="21">
        <v>1.5256646688181958</v>
      </c>
      <c r="P18" s="21">
        <v>1.1347395112955281</v>
      </c>
      <c r="Q18" s="21" t="s">
        <v>547</v>
      </c>
      <c r="R18" t="s">
        <v>1531</v>
      </c>
      <c r="S18" t="s">
        <v>547</v>
      </c>
    </row>
    <row r="19" spans="1:19" x14ac:dyDescent="0.2">
      <c r="A19">
        <v>18</v>
      </c>
      <c r="B19" t="s">
        <v>70</v>
      </c>
      <c r="D19" t="s">
        <v>2</v>
      </c>
      <c r="E19" t="s">
        <v>9</v>
      </c>
      <c r="F19" t="s">
        <v>11</v>
      </c>
      <c r="G19">
        <v>20</v>
      </c>
      <c r="I19">
        <v>4.4400000000000004</v>
      </c>
      <c r="J19">
        <v>1.92</v>
      </c>
      <c r="K19">
        <v>0.31</v>
      </c>
      <c r="N19" s="21">
        <v>1.2171507607192256</v>
      </c>
      <c r="O19" s="21">
        <v>1.8764407561088061</v>
      </c>
      <c r="P19" s="21">
        <v>1.2171507607192256</v>
      </c>
      <c r="Q19" s="21" t="s">
        <v>547</v>
      </c>
      <c r="R19" t="s">
        <v>1531</v>
      </c>
      <c r="S19" t="s">
        <v>547</v>
      </c>
    </row>
    <row r="20" spans="1:19" x14ac:dyDescent="0.2">
      <c r="A20">
        <v>19</v>
      </c>
      <c r="B20" t="s">
        <v>70</v>
      </c>
      <c r="D20" t="s">
        <v>2</v>
      </c>
      <c r="E20" t="s">
        <v>9</v>
      </c>
      <c r="F20" t="s">
        <v>12</v>
      </c>
      <c r="G20">
        <v>29</v>
      </c>
      <c r="I20">
        <v>9.5399999999999991</v>
      </c>
      <c r="J20">
        <v>3.87</v>
      </c>
      <c r="K20">
        <v>0.28000000000000003</v>
      </c>
      <c r="N20" s="21">
        <v>2.4533195020746894</v>
      </c>
      <c r="O20" s="21">
        <v>4.0318118948824342</v>
      </c>
      <c r="P20" s="21" t="s">
        <v>547</v>
      </c>
      <c r="Q20" s="21">
        <v>2.4533195020746894</v>
      </c>
      <c r="R20" t="s">
        <v>1531</v>
      </c>
      <c r="S20" t="s">
        <v>547</v>
      </c>
    </row>
    <row r="21" spans="1:19" x14ac:dyDescent="0.2">
      <c r="A21">
        <v>20</v>
      </c>
      <c r="B21" t="s">
        <v>70</v>
      </c>
      <c r="D21" t="s">
        <v>2</v>
      </c>
      <c r="E21" t="s">
        <v>9</v>
      </c>
      <c r="F21" t="s">
        <v>14</v>
      </c>
      <c r="G21">
        <v>14</v>
      </c>
      <c r="I21">
        <v>5.46</v>
      </c>
      <c r="J21">
        <v>2.4700000000000002</v>
      </c>
      <c r="K21">
        <v>0.28000000000000003</v>
      </c>
      <c r="N21" s="21">
        <v>1.565813739050254</v>
      </c>
      <c r="O21" s="21">
        <v>2.3075149838635318</v>
      </c>
      <c r="P21" s="21" t="s">
        <v>547</v>
      </c>
      <c r="Q21" s="21">
        <v>1.565813739050254</v>
      </c>
      <c r="R21" t="s">
        <v>1531</v>
      </c>
      <c r="S21" t="s">
        <v>547</v>
      </c>
    </row>
    <row r="22" spans="1:19" x14ac:dyDescent="0.2">
      <c r="A22">
        <v>21</v>
      </c>
      <c r="B22" t="s">
        <v>71</v>
      </c>
      <c r="C22" t="s">
        <v>314</v>
      </c>
      <c r="D22" t="s">
        <v>2</v>
      </c>
      <c r="E22" t="s">
        <v>9</v>
      </c>
      <c r="F22" t="s">
        <v>10</v>
      </c>
      <c r="G22">
        <v>30</v>
      </c>
      <c r="H22">
        <v>33</v>
      </c>
      <c r="I22">
        <v>11.28</v>
      </c>
      <c r="J22">
        <v>8.43</v>
      </c>
      <c r="K22">
        <v>1.34</v>
      </c>
      <c r="L22">
        <v>0.88200000000000001</v>
      </c>
      <c r="M22">
        <v>0.16800000000000001</v>
      </c>
      <c r="N22" s="21">
        <v>6.1652238805970141</v>
      </c>
      <c r="O22" s="21">
        <v>5.4997014925373131</v>
      </c>
      <c r="P22" s="21">
        <v>6.1652238805970141</v>
      </c>
      <c r="Q22" s="21" t="s">
        <v>547</v>
      </c>
      <c r="S22" t="s">
        <v>547</v>
      </c>
    </row>
    <row r="23" spans="1:19" x14ac:dyDescent="0.2">
      <c r="A23">
        <v>22</v>
      </c>
      <c r="B23" t="s">
        <v>71</v>
      </c>
      <c r="C23" t="s">
        <v>314</v>
      </c>
      <c r="D23" t="s">
        <v>2</v>
      </c>
      <c r="E23" t="s">
        <v>9</v>
      </c>
      <c r="F23" t="s">
        <v>11</v>
      </c>
      <c r="G23">
        <v>23</v>
      </c>
      <c r="H23">
        <v>39</v>
      </c>
      <c r="I23">
        <v>8.84</v>
      </c>
      <c r="J23">
        <v>8.5299999999999994</v>
      </c>
      <c r="K23">
        <v>1.34</v>
      </c>
      <c r="L23">
        <v>0.88200000000000001</v>
      </c>
      <c r="M23">
        <v>0.16800000000000001</v>
      </c>
      <c r="N23" s="21">
        <v>6.2383582089552236</v>
      </c>
      <c r="O23" s="21">
        <v>4.3100497512437812</v>
      </c>
      <c r="P23" s="21">
        <v>6.2383582089552236</v>
      </c>
      <c r="Q23" s="21" t="s">
        <v>547</v>
      </c>
      <c r="S23" t="s">
        <v>547</v>
      </c>
    </row>
    <row r="24" spans="1:19" x14ac:dyDescent="0.2">
      <c r="A24">
        <v>23</v>
      </c>
      <c r="B24" t="s">
        <v>71</v>
      </c>
      <c r="C24" t="s">
        <v>314</v>
      </c>
      <c r="D24" t="s">
        <v>2</v>
      </c>
      <c r="E24" t="s">
        <v>9</v>
      </c>
      <c r="F24" t="s">
        <v>12</v>
      </c>
      <c r="G24">
        <v>24</v>
      </c>
      <c r="H24">
        <v>41</v>
      </c>
      <c r="I24">
        <v>7.39</v>
      </c>
      <c r="J24">
        <v>8.1300000000000008</v>
      </c>
      <c r="K24">
        <v>6.8</v>
      </c>
      <c r="L24">
        <v>0.499</v>
      </c>
      <c r="M24">
        <v>0.10100000000000001</v>
      </c>
      <c r="N24" s="21">
        <v>0.66288725490196088</v>
      </c>
      <c r="O24" s="21">
        <v>0.40170043572984754</v>
      </c>
      <c r="P24" s="21" t="s">
        <v>547</v>
      </c>
      <c r="Q24" s="21">
        <v>0.66288725490196088</v>
      </c>
      <c r="S24" t="s">
        <v>547</v>
      </c>
    </row>
    <row r="25" spans="1:19" x14ac:dyDescent="0.2">
      <c r="A25">
        <v>24</v>
      </c>
      <c r="B25" t="s">
        <v>71</v>
      </c>
      <c r="C25" t="s">
        <v>314</v>
      </c>
      <c r="D25" t="s">
        <v>2</v>
      </c>
      <c r="E25" t="s">
        <v>9</v>
      </c>
      <c r="F25" t="s">
        <v>14</v>
      </c>
      <c r="G25">
        <v>23</v>
      </c>
      <c r="H25">
        <v>33</v>
      </c>
      <c r="I25">
        <v>6.85</v>
      </c>
      <c r="J25">
        <v>6.64</v>
      </c>
      <c r="K25">
        <v>6.8</v>
      </c>
      <c r="L25">
        <v>0.499</v>
      </c>
      <c r="M25">
        <v>0.10100000000000001</v>
      </c>
      <c r="N25" s="21">
        <v>0.54139869281045749</v>
      </c>
      <c r="O25" s="21">
        <v>0.37234749455337696</v>
      </c>
      <c r="P25" s="21" t="s">
        <v>547</v>
      </c>
      <c r="Q25" s="21">
        <v>0.54139869281045749</v>
      </c>
      <c r="S25" t="s">
        <v>547</v>
      </c>
    </row>
    <row r="26" spans="1:19" x14ac:dyDescent="0.2">
      <c r="A26">
        <v>25</v>
      </c>
      <c r="B26" t="s">
        <v>72</v>
      </c>
      <c r="C26" t="s">
        <v>428</v>
      </c>
      <c r="D26" t="s">
        <v>2</v>
      </c>
      <c r="E26" t="s">
        <v>9</v>
      </c>
      <c r="F26" t="s">
        <v>10</v>
      </c>
      <c r="G26">
        <v>37</v>
      </c>
      <c r="H26">
        <v>42</v>
      </c>
      <c r="I26">
        <v>9.33</v>
      </c>
      <c r="J26">
        <v>8.89</v>
      </c>
      <c r="K26">
        <v>1.08</v>
      </c>
      <c r="L26">
        <v>0.64300000000000002</v>
      </c>
      <c r="M26">
        <v>0.14499999999999999</v>
      </c>
      <c r="N26" s="21">
        <v>5.8809362139917694</v>
      </c>
      <c r="O26" s="21">
        <v>4.1146707818930048</v>
      </c>
      <c r="P26" s="21">
        <v>5.8809362139917694</v>
      </c>
      <c r="Q26" s="21" t="s">
        <v>547</v>
      </c>
      <c r="S26" t="s">
        <v>547</v>
      </c>
    </row>
    <row r="27" spans="1:19" x14ac:dyDescent="0.2">
      <c r="A27">
        <v>26</v>
      </c>
      <c r="B27" t="s">
        <v>72</v>
      </c>
      <c r="C27" t="s">
        <v>428</v>
      </c>
      <c r="D27" t="s">
        <v>2</v>
      </c>
      <c r="E27" t="s">
        <v>9</v>
      </c>
      <c r="F27" t="s">
        <v>11</v>
      </c>
      <c r="G27">
        <v>42</v>
      </c>
      <c r="H27">
        <v>34</v>
      </c>
      <c r="I27">
        <v>9.84</v>
      </c>
      <c r="J27">
        <v>7.55</v>
      </c>
      <c r="K27">
        <v>1.08</v>
      </c>
      <c r="L27">
        <v>0.64300000000000002</v>
      </c>
      <c r="M27">
        <v>0.14499999999999999</v>
      </c>
      <c r="N27" s="21">
        <v>4.9944958847736629</v>
      </c>
      <c r="O27" s="21">
        <v>4.339588477366255</v>
      </c>
      <c r="P27" s="21">
        <v>4.9944958847736629</v>
      </c>
      <c r="Q27" s="21" t="s">
        <v>547</v>
      </c>
      <c r="S27" t="s">
        <v>547</v>
      </c>
    </row>
    <row r="28" spans="1:19" x14ac:dyDescent="0.2">
      <c r="A28">
        <v>27</v>
      </c>
      <c r="B28" t="s">
        <v>72</v>
      </c>
      <c r="C28" t="s">
        <v>428</v>
      </c>
      <c r="D28" t="s">
        <v>2</v>
      </c>
      <c r="E28" t="s">
        <v>9</v>
      </c>
      <c r="F28" t="s">
        <v>12</v>
      </c>
      <c r="G28">
        <v>35</v>
      </c>
      <c r="H28">
        <v>33</v>
      </c>
      <c r="I28">
        <v>5.84</v>
      </c>
      <c r="J28">
        <v>6.84</v>
      </c>
      <c r="K28">
        <v>1.1000000000000001</v>
      </c>
      <c r="L28">
        <v>0.501</v>
      </c>
      <c r="M28">
        <v>7.3999999999999996E-2</v>
      </c>
      <c r="N28" s="21">
        <v>3.4614545454545453</v>
      </c>
      <c r="O28" s="21">
        <v>1.9702626262626259</v>
      </c>
      <c r="P28" s="21" t="s">
        <v>547</v>
      </c>
      <c r="Q28" s="21">
        <v>3.4614545454545453</v>
      </c>
      <c r="S28" t="s">
        <v>547</v>
      </c>
    </row>
    <row r="29" spans="1:19" x14ac:dyDescent="0.2">
      <c r="A29">
        <v>28</v>
      </c>
      <c r="B29" t="s">
        <v>72</v>
      </c>
      <c r="C29" t="s">
        <v>428</v>
      </c>
      <c r="D29" t="s">
        <v>2</v>
      </c>
      <c r="E29" t="s">
        <v>9</v>
      </c>
      <c r="F29" t="s">
        <v>14</v>
      </c>
      <c r="G29">
        <v>27</v>
      </c>
      <c r="H29">
        <v>26</v>
      </c>
      <c r="I29">
        <v>4.8099999999999996</v>
      </c>
      <c r="J29">
        <v>9.08</v>
      </c>
      <c r="K29">
        <v>1.1000000000000001</v>
      </c>
      <c r="L29">
        <v>0.501</v>
      </c>
      <c r="M29">
        <v>7.3999999999999996E-2</v>
      </c>
      <c r="N29" s="21">
        <v>4.5950303030303026</v>
      </c>
      <c r="O29" s="21">
        <v>1.6227676767676766</v>
      </c>
      <c r="P29" s="21" t="s">
        <v>547</v>
      </c>
      <c r="Q29" s="21">
        <v>4.5950303030303026</v>
      </c>
      <c r="S29" t="s">
        <v>547</v>
      </c>
    </row>
    <row r="30" spans="1:19" x14ac:dyDescent="0.2">
      <c r="A30">
        <v>29</v>
      </c>
      <c r="B30" t="s">
        <v>73</v>
      </c>
      <c r="C30" t="s">
        <v>315</v>
      </c>
      <c r="D30" t="s">
        <v>2</v>
      </c>
      <c r="E30" t="s">
        <v>9</v>
      </c>
      <c r="F30" t="s">
        <v>10</v>
      </c>
      <c r="G30">
        <v>46</v>
      </c>
      <c r="H30">
        <v>47</v>
      </c>
      <c r="I30">
        <v>10.78</v>
      </c>
      <c r="J30">
        <v>9.9</v>
      </c>
      <c r="K30">
        <v>1.23</v>
      </c>
      <c r="L30">
        <v>0.60199999999999998</v>
      </c>
      <c r="M30">
        <v>0.11</v>
      </c>
      <c r="N30" s="21">
        <v>5.3837398373983749</v>
      </c>
      <c r="O30" s="21">
        <v>3.9081963264077082</v>
      </c>
      <c r="P30" s="21">
        <v>5.3837398373983749</v>
      </c>
      <c r="Q30" s="21" t="s">
        <v>547</v>
      </c>
      <c r="S30" t="s">
        <v>547</v>
      </c>
    </row>
    <row r="31" spans="1:19" x14ac:dyDescent="0.2">
      <c r="A31">
        <v>30</v>
      </c>
      <c r="B31" t="s">
        <v>73</v>
      </c>
      <c r="C31" t="s">
        <v>315</v>
      </c>
      <c r="D31" t="s">
        <v>2</v>
      </c>
      <c r="E31" t="s">
        <v>9</v>
      </c>
      <c r="F31" t="s">
        <v>11</v>
      </c>
      <c r="G31">
        <v>63</v>
      </c>
      <c r="H31">
        <v>53</v>
      </c>
      <c r="I31">
        <v>17.14</v>
      </c>
      <c r="J31">
        <v>11.52</v>
      </c>
      <c r="K31">
        <v>1.23</v>
      </c>
      <c r="L31">
        <v>0.60199999999999998</v>
      </c>
      <c r="M31">
        <v>0.11</v>
      </c>
      <c r="N31" s="21">
        <v>6.2647154471544715</v>
      </c>
      <c r="O31" s="21">
        <v>6.2139596507076176</v>
      </c>
      <c r="P31" s="21">
        <v>6.2647154471544715</v>
      </c>
      <c r="Q31" s="21" t="s">
        <v>547</v>
      </c>
      <c r="S31" t="s">
        <v>547</v>
      </c>
    </row>
    <row r="32" spans="1:19" x14ac:dyDescent="0.2">
      <c r="A32">
        <v>31</v>
      </c>
      <c r="B32" t="s">
        <v>73</v>
      </c>
      <c r="C32" t="s">
        <v>315</v>
      </c>
      <c r="D32" t="s">
        <v>2</v>
      </c>
      <c r="E32" t="s">
        <v>9</v>
      </c>
      <c r="F32" t="s">
        <v>12</v>
      </c>
      <c r="G32">
        <v>43</v>
      </c>
      <c r="H32">
        <v>45</v>
      </c>
      <c r="I32">
        <v>22.3</v>
      </c>
      <c r="J32">
        <v>14.89</v>
      </c>
      <c r="K32">
        <v>1.68</v>
      </c>
      <c r="L32">
        <v>0.93300000000000005</v>
      </c>
      <c r="M32">
        <v>0.155</v>
      </c>
      <c r="N32" s="21">
        <v>9.188075396825397</v>
      </c>
      <c r="O32" s="21">
        <v>9.1736772486772491</v>
      </c>
      <c r="P32" s="21" t="s">
        <v>547</v>
      </c>
      <c r="Q32" s="21">
        <v>9.188075396825397</v>
      </c>
      <c r="S32" t="s">
        <v>547</v>
      </c>
    </row>
    <row r="33" spans="1:19" x14ac:dyDescent="0.2">
      <c r="A33">
        <v>32</v>
      </c>
      <c r="B33" t="s">
        <v>73</v>
      </c>
      <c r="C33" t="s">
        <v>315</v>
      </c>
      <c r="D33" t="s">
        <v>2</v>
      </c>
      <c r="E33" t="s">
        <v>9</v>
      </c>
      <c r="F33" t="s">
        <v>14</v>
      </c>
      <c r="G33">
        <v>41</v>
      </c>
      <c r="H33">
        <v>44</v>
      </c>
      <c r="I33">
        <v>21.9</v>
      </c>
      <c r="J33">
        <v>14.59</v>
      </c>
      <c r="K33">
        <v>1.68</v>
      </c>
      <c r="L33">
        <v>0.93300000000000005</v>
      </c>
      <c r="M33">
        <v>0.155</v>
      </c>
      <c r="N33" s="21">
        <v>9.0029563492063502</v>
      </c>
      <c r="O33" s="21">
        <v>9.0091269841269845</v>
      </c>
      <c r="P33" s="21" t="s">
        <v>547</v>
      </c>
      <c r="Q33" s="21">
        <v>9.0029563492063502</v>
      </c>
      <c r="S33" t="s">
        <v>547</v>
      </c>
    </row>
    <row r="34" spans="1:19" x14ac:dyDescent="0.2">
      <c r="A34">
        <v>33</v>
      </c>
      <c r="B34" t="s">
        <v>74</v>
      </c>
      <c r="C34" t="s">
        <v>429</v>
      </c>
      <c r="D34" t="s">
        <v>2</v>
      </c>
      <c r="E34" t="s">
        <v>9</v>
      </c>
      <c r="F34" t="s">
        <v>10</v>
      </c>
      <c r="G34">
        <v>39</v>
      </c>
      <c r="H34">
        <v>42</v>
      </c>
      <c r="I34">
        <v>6.2</v>
      </c>
      <c r="J34">
        <v>9.41</v>
      </c>
      <c r="K34">
        <v>1.24</v>
      </c>
      <c r="L34">
        <v>0.78500000000000003</v>
      </c>
      <c r="M34">
        <v>0.124</v>
      </c>
      <c r="N34" s="21">
        <v>6.6190412186379932</v>
      </c>
      <c r="O34" s="21">
        <v>2.9074074074074079</v>
      </c>
      <c r="P34" s="21">
        <v>6.6190412186379932</v>
      </c>
      <c r="Q34" s="21" t="s">
        <v>547</v>
      </c>
      <c r="S34" t="s">
        <v>547</v>
      </c>
    </row>
    <row r="35" spans="1:19" x14ac:dyDescent="0.2">
      <c r="A35">
        <v>34</v>
      </c>
      <c r="B35" t="s">
        <v>74</v>
      </c>
      <c r="C35" t="s">
        <v>429</v>
      </c>
      <c r="D35" t="s">
        <v>2</v>
      </c>
      <c r="E35" t="s">
        <v>9</v>
      </c>
      <c r="F35" t="s">
        <v>11</v>
      </c>
      <c r="G35">
        <v>38</v>
      </c>
      <c r="H35">
        <v>32</v>
      </c>
      <c r="I35">
        <v>7.16</v>
      </c>
      <c r="J35">
        <v>9.0399999999999991</v>
      </c>
      <c r="K35">
        <v>1.24</v>
      </c>
      <c r="L35">
        <v>0.78500000000000003</v>
      </c>
      <c r="M35">
        <v>0.124</v>
      </c>
      <c r="N35" s="21">
        <v>6.3587813620071687</v>
      </c>
      <c r="O35" s="21">
        <v>3.3575866188769421</v>
      </c>
      <c r="P35" s="21">
        <v>6.3587813620071687</v>
      </c>
      <c r="Q35" s="21" t="s">
        <v>547</v>
      </c>
      <c r="S35" t="s">
        <v>547</v>
      </c>
    </row>
    <row r="36" spans="1:19" x14ac:dyDescent="0.2">
      <c r="A36">
        <v>35</v>
      </c>
      <c r="B36" t="s">
        <v>74</v>
      </c>
      <c r="C36" t="s">
        <v>429</v>
      </c>
      <c r="D36" t="s">
        <v>2</v>
      </c>
      <c r="E36" t="s">
        <v>9</v>
      </c>
      <c r="F36" t="s">
        <v>12</v>
      </c>
      <c r="G36">
        <v>49</v>
      </c>
      <c r="H36">
        <v>49</v>
      </c>
      <c r="I36">
        <v>12.63</v>
      </c>
      <c r="J36">
        <v>9.0500000000000007</v>
      </c>
      <c r="K36">
        <v>1.1000000000000001</v>
      </c>
      <c r="L36">
        <v>0.68500000000000005</v>
      </c>
      <c r="M36">
        <v>0.13100000000000001</v>
      </c>
      <c r="N36" s="21">
        <v>6.261868686868687</v>
      </c>
      <c r="O36" s="21">
        <v>5.8259595959595964</v>
      </c>
      <c r="P36" s="21" t="s">
        <v>547</v>
      </c>
      <c r="Q36" s="21">
        <v>6.261868686868687</v>
      </c>
      <c r="S36" t="s">
        <v>547</v>
      </c>
    </row>
    <row r="37" spans="1:19" x14ac:dyDescent="0.2">
      <c r="A37">
        <v>36</v>
      </c>
      <c r="B37" t="s">
        <v>74</v>
      </c>
      <c r="C37" t="s">
        <v>429</v>
      </c>
      <c r="D37" t="s">
        <v>2</v>
      </c>
      <c r="E37" t="s">
        <v>9</v>
      </c>
      <c r="F37" t="s">
        <v>14</v>
      </c>
      <c r="G37">
        <v>36</v>
      </c>
      <c r="H37">
        <v>38</v>
      </c>
      <c r="I37">
        <v>10.4</v>
      </c>
      <c r="J37">
        <v>7.78</v>
      </c>
      <c r="K37">
        <v>1.1000000000000001</v>
      </c>
      <c r="L37">
        <v>0.68500000000000005</v>
      </c>
      <c r="M37">
        <v>0.13100000000000001</v>
      </c>
      <c r="N37" s="21">
        <v>5.3831313131313134</v>
      </c>
      <c r="O37" s="21">
        <v>4.7973063973063974</v>
      </c>
      <c r="P37" s="21" t="s">
        <v>547</v>
      </c>
      <c r="Q37" s="21">
        <v>5.3831313131313134</v>
      </c>
      <c r="S37" t="s">
        <v>547</v>
      </c>
    </row>
    <row r="38" spans="1:19" x14ac:dyDescent="0.2">
      <c r="A38">
        <v>37</v>
      </c>
      <c r="B38" t="s">
        <v>75</v>
      </c>
      <c r="C38" t="s">
        <v>316</v>
      </c>
      <c r="D38" t="s">
        <v>2</v>
      </c>
      <c r="E38" t="s">
        <v>9</v>
      </c>
      <c r="F38" t="s">
        <v>10</v>
      </c>
      <c r="G38">
        <v>27</v>
      </c>
      <c r="H38">
        <v>22</v>
      </c>
      <c r="I38">
        <v>6.12</v>
      </c>
      <c r="J38">
        <v>5.12</v>
      </c>
      <c r="K38">
        <v>1.19</v>
      </c>
      <c r="L38">
        <v>0.67100000000000004</v>
      </c>
      <c r="M38">
        <v>0.112</v>
      </c>
      <c r="N38" s="21">
        <v>3.2077684407096179</v>
      </c>
      <c r="O38" s="21">
        <v>2.5561904761904763</v>
      </c>
      <c r="P38" s="21">
        <v>3.2077684407096179</v>
      </c>
      <c r="Q38" s="21" t="s">
        <v>547</v>
      </c>
      <c r="S38" t="s">
        <v>547</v>
      </c>
    </row>
    <row r="39" spans="1:19" x14ac:dyDescent="0.2">
      <c r="A39">
        <v>38</v>
      </c>
      <c r="B39" t="s">
        <v>75</v>
      </c>
      <c r="C39" t="s">
        <v>316</v>
      </c>
      <c r="D39" t="s">
        <v>2</v>
      </c>
      <c r="E39" t="s">
        <v>9</v>
      </c>
      <c r="F39" t="s">
        <v>11</v>
      </c>
      <c r="G39">
        <v>28</v>
      </c>
      <c r="H39">
        <v>28</v>
      </c>
      <c r="I39">
        <v>3.98</v>
      </c>
      <c r="J39">
        <v>3.98</v>
      </c>
      <c r="K39">
        <v>1.19</v>
      </c>
      <c r="L39">
        <v>0.67100000000000004</v>
      </c>
      <c r="M39">
        <v>0.112</v>
      </c>
      <c r="N39" s="21">
        <v>2.4935387488328673</v>
      </c>
      <c r="O39" s="21">
        <v>1.6623591658885779</v>
      </c>
      <c r="P39" s="21">
        <v>2.4935387488328673</v>
      </c>
      <c r="Q39" s="21" t="s">
        <v>547</v>
      </c>
      <c r="S39" t="s">
        <v>547</v>
      </c>
    </row>
    <row r="40" spans="1:19" x14ac:dyDescent="0.2">
      <c r="A40">
        <v>39</v>
      </c>
      <c r="B40" t="s">
        <v>75</v>
      </c>
      <c r="C40" t="s">
        <v>316</v>
      </c>
      <c r="D40" t="s">
        <v>2</v>
      </c>
      <c r="E40" t="s">
        <v>9</v>
      </c>
      <c r="F40" t="s">
        <v>12</v>
      </c>
      <c r="G40">
        <v>23</v>
      </c>
      <c r="H40">
        <v>22</v>
      </c>
      <c r="I40">
        <v>4.9800000000000004</v>
      </c>
      <c r="J40">
        <v>4.9800000000000004</v>
      </c>
      <c r="K40">
        <v>1</v>
      </c>
      <c r="L40">
        <v>0.56100000000000005</v>
      </c>
      <c r="M40">
        <v>6.5000000000000002E-2</v>
      </c>
      <c r="N40" s="21">
        <v>3.1042000000000005</v>
      </c>
      <c r="O40" s="21">
        <v>2.069466666666667</v>
      </c>
      <c r="P40" s="21" t="s">
        <v>547</v>
      </c>
      <c r="Q40" s="21">
        <v>3.1042000000000005</v>
      </c>
      <c r="S40" t="s">
        <v>547</v>
      </c>
    </row>
    <row r="41" spans="1:19" x14ac:dyDescent="0.2">
      <c r="A41">
        <v>40</v>
      </c>
      <c r="B41" t="s">
        <v>75</v>
      </c>
      <c r="C41" t="s">
        <v>316</v>
      </c>
      <c r="D41" t="s">
        <v>2</v>
      </c>
      <c r="E41" t="s">
        <v>9</v>
      </c>
      <c r="F41" t="s">
        <v>14</v>
      </c>
      <c r="G41">
        <v>25</v>
      </c>
      <c r="H41">
        <v>24</v>
      </c>
      <c r="I41">
        <v>5.0199999999999996</v>
      </c>
      <c r="J41">
        <v>5.08</v>
      </c>
      <c r="K41">
        <v>1</v>
      </c>
      <c r="L41">
        <v>0.56100000000000005</v>
      </c>
      <c r="M41">
        <v>6.5000000000000002E-2</v>
      </c>
      <c r="N41" s="21">
        <v>3.1665333333333336</v>
      </c>
      <c r="O41" s="21">
        <v>2.0860888888888889</v>
      </c>
      <c r="P41" s="21" t="s">
        <v>547</v>
      </c>
      <c r="Q41" s="21">
        <v>3.1665333333333336</v>
      </c>
      <c r="S41" t="s">
        <v>547</v>
      </c>
    </row>
    <row r="42" spans="1:19" x14ac:dyDescent="0.2">
      <c r="A42">
        <v>41</v>
      </c>
      <c r="B42" t="s">
        <v>76</v>
      </c>
      <c r="C42" t="s">
        <v>317</v>
      </c>
      <c r="D42" t="s">
        <v>2</v>
      </c>
      <c r="E42" t="s">
        <v>9</v>
      </c>
      <c r="F42" t="s">
        <v>10</v>
      </c>
      <c r="G42">
        <v>44</v>
      </c>
      <c r="H42">
        <v>36</v>
      </c>
      <c r="I42">
        <v>5.33</v>
      </c>
      <c r="J42">
        <v>4.74</v>
      </c>
      <c r="K42">
        <v>0.92</v>
      </c>
      <c r="L42">
        <v>0.54600000000000004</v>
      </c>
      <c r="M42">
        <v>0.14099999999999999</v>
      </c>
      <c r="N42" s="21">
        <v>3.1256521739130441</v>
      </c>
      <c r="O42" s="21">
        <v>2.3431400966183573</v>
      </c>
      <c r="P42" s="21">
        <v>3.1256521739130441</v>
      </c>
      <c r="Q42" s="21" t="s">
        <v>547</v>
      </c>
      <c r="S42" t="s">
        <v>547</v>
      </c>
    </row>
    <row r="43" spans="1:19" x14ac:dyDescent="0.2">
      <c r="A43">
        <v>42</v>
      </c>
      <c r="B43" t="s">
        <v>76</v>
      </c>
      <c r="C43" t="s">
        <v>317</v>
      </c>
      <c r="D43" t="s">
        <v>2</v>
      </c>
      <c r="E43" t="s">
        <v>9</v>
      </c>
      <c r="F43" t="s">
        <v>11</v>
      </c>
      <c r="G43">
        <v>41</v>
      </c>
      <c r="H43">
        <v>39</v>
      </c>
      <c r="I43">
        <v>4.92</v>
      </c>
      <c r="J43">
        <v>4.5</v>
      </c>
      <c r="K43">
        <v>0.92</v>
      </c>
      <c r="L43">
        <v>0.54600000000000004</v>
      </c>
      <c r="M43">
        <v>0.14099999999999999</v>
      </c>
      <c r="N43" s="21">
        <v>2.9673913043478262</v>
      </c>
      <c r="O43" s="21">
        <v>2.1628985507246377</v>
      </c>
      <c r="P43" s="21">
        <v>2.9673913043478262</v>
      </c>
      <c r="Q43" s="21" t="s">
        <v>547</v>
      </c>
      <c r="S43" t="s">
        <v>547</v>
      </c>
    </row>
    <row r="44" spans="1:19" x14ac:dyDescent="0.2">
      <c r="A44">
        <v>43</v>
      </c>
      <c r="B44" t="s">
        <v>76</v>
      </c>
      <c r="C44" t="s">
        <v>317</v>
      </c>
      <c r="D44" t="s">
        <v>2</v>
      </c>
      <c r="E44" t="s">
        <v>9</v>
      </c>
      <c r="F44" t="s">
        <v>12</v>
      </c>
      <c r="G44">
        <v>39</v>
      </c>
      <c r="H44">
        <v>38</v>
      </c>
      <c r="I44">
        <v>6.17</v>
      </c>
      <c r="J44">
        <v>4.8</v>
      </c>
      <c r="K44">
        <v>0.96</v>
      </c>
      <c r="L44">
        <v>0.58299999999999996</v>
      </c>
      <c r="M44">
        <v>9.4E-2</v>
      </c>
      <c r="N44" s="21">
        <v>3.2388888888888889</v>
      </c>
      <c r="O44" s="21">
        <v>2.7755478395061726</v>
      </c>
      <c r="P44" s="21" t="s">
        <v>547</v>
      </c>
      <c r="Q44" s="21">
        <v>3.2388888888888889</v>
      </c>
      <c r="S44" t="s">
        <v>547</v>
      </c>
    </row>
    <row r="45" spans="1:19" x14ac:dyDescent="0.2">
      <c r="A45">
        <v>44</v>
      </c>
      <c r="B45" t="s">
        <v>76</v>
      </c>
      <c r="C45" t="s">
        <v>317</v>
      </c>
      <c r="D45" t="s">
        <v>2</v>
      </c>
      <c r="E45" t="s">
        <v>9</v>
      </c>
      <c r="F45" t="s">
        <v>14</v>
      </c>
      <c r="G45">
        <v>38</v>
      </c>
      <c r="H45">
        <v>36</v>
      </c>
      <c r="I45">
        <v>5.98</v>
      </c>
      <c r="J45">
        <v>4.5</v>
      </c>
      <c r="K45">
        <v>0.96</v>
      </c>
      <c r="L45">
        <v>0.58299999999999996</v>
      </c>
      <c r="M45">
        <v>9.4E-2</v>
      </c>
      <c r="N45" s="21">
        <v>3.0364583333333335</v>
      </c>
      <c r="O45" s="21">
        <v>2.6900771604938272</v>
      </c>
      <c r="P45" s="21" t="s">
        <v>547</v>
      </c>
      <c r="Q45" s="21">
        <v>3.0364583333333335</v>
      </c>
      <c r="S45" t="s">
        <v>547</v>
      </c>
    </row>
    <row r="46" spans="1:19" x14ac:dyDescent="0.2">
      <c r="A46">
        <v>45</v>
      </c>
      <c r="B46" t="s">
        <v>77</v>
      </c>
      <c r="C46" t="s">
        <v>318</v>
      </c>
      <c r="D46" t="s">
        <v>2</v>
      </c>
      <c r="E46" t="s">
        <v>9</v>
      </c>
      <c r="F46" t="s">
        <v>10</v>
      </c>
      <c r="G46">
        <v>25</v>
      </c>
      <c r="H46">
        <v>25</v>
      </c>
      <c r="I46">
        <v>5.3</v>
      </c>
      <c r="J46">
        <v>5.64</v>
      </c>
      <c r="K46">
        <v>1.02</v>
      </c>
      <c r="L46">
        <v>0.68799999999999994</v>
      </c>
      <c r="M46">
        <v>0.104</v>
      </c>
      <c r="N46" s="21">
        <v>4.2269281045751628</v>
      </c>
      <c r="O46" s="21">
        <v>2.6480755265068989</v>
      </c>
      <c r="P46" s="21">
        <v>4.2269281045751628</v>
      </c>
      <c r="Q46" s="21" t="s">
        <v>547</v>
      </c>
      <c r="S46" t="s">
        <v>547</v>
      </c>
    </row>
    <row r="47" spans="1:19" x14ac:dyDescent="0.2">
      <c r="A47">
        <v>46</v>
      </c>
      <c r="B47" t="s">
        <v>77</v>
      </c>
      <c r="C47" t="s">
        <v>318</v>
      </c>
      <c r="D47" t="s">
        <v>2</v>
      </c>
      <c r="E47" t="s">
        <v>9</v>
      </c>
      <c r="F47" t="s">
        <v>11</v>
      </c>
      <c r="G47">
        <v>36</v>
      </c>
      <c r="H47">
        <v>36</v>
      </c>
      <c r="I47">
        <v>7.82</v>
      </c>
      <c r="J47">
        <v>10.3</v>
      </c>
      <c r="K47">
        <v>1.02</v>
      </c>
      <c r="L47">
        <v>0.68799999999999994</v>
      </c>
      <c r="M47">
        <v>0.104</v>
      </c>
      <c r="N47" s="21">
        <v>7.719389978213508</v>
      </c>
      <c r="O47" s="21">
        <v>3.9071604938271607</v>
      </c>
      <c r="P47" s="21">
        <v>7.719389978213508</v>
      </c>
      <c r="Q47" s="21" t="s">
        <v>547</v>
      </c>
      <c r="S47" t="s">
        <v>547</v>
      </c>
    </row>
    <row r="48" spans="1:19" x14ac:dyDescent="0.2">
      <c r="A48">
        <v>47</v>
      </c>
      <c r="B48" t="s">
        <v>77</v>
      </c>
      <c r="C48" t="s">
        <v>318</v>
      </c>
      <c r="D48" t="s">
        <v>2</v>
      </c>
      <c r="E48" t="s">
        <v>9</v>
      </c>
      <c r="F48" t="s">
        <v>12</v>
      </c>
      <c r="G48">
        <v>27</v>
      </c>
      <c r="H48">
        <v>35</v>
      </c>
      <c r="I48">
        <v>5.97</v>
      </c>
      <c r="J48">
        <v>6.07</v>
      </c>
      <c r="K48">
        <v>1.1399999999999999</v>
      </c>
      <c r="L48">
        <v>0.73899999999999999</v>
      </c>
      <c r="M48">
        <v>0.107</v>
      </c>
      <c r="N48" s="21">
        <v>4.372056530214425</v>
      </c>
      <c r="O48" s="21">
        <v>2.8666861598440545</v>
      </c>
      <c r="P48" s="21" t="s">
        <v>547</v>
      </c>
      <c r="Q48" s="21">
        <v>4.372056530214425</v>
      </c>
      <c r="S48" t="s">
        <v>547</v>
      </c>
    </row>
    <row r="49" spans="1:19" x14ac:dyDescent="0.2">
      <c r="A49">
        <v>48</v>
      </c>
      <c r="B49" t="s">
        <v>77</v>
      </c>
      <c r="C49" t="s">
        <v>318</v>
      </c>
      <c r="D49" t="s">
        <v>2</v>
      </c>
      <c r="E49" t="s">
        <v>9</v>
      </c>
      <c r="F49" t="s">
        <v>14</v>
      </c>
      <c r="G49">
        <v>25</v>
      </c>
      <c r="H49">
        <v>35</v>
      </c>
      <c r="I49">
        <v>5.26</v>
      </c>
      <c r="J49">
        <v>5.76</v>
      </c>
      <c r="K49">
        <v>1.1399999999999999</v>
      </c>
      <c r="L49">
        <v>0.73899999999999999</v>
      </c>
      <c r="M49">
        <v>0.107</v>
      </c>
      <c r="N49" s="21">
        <v>4.1487719298245613</v>
      </c>
      <c r="O49" s="21">
        <v>2.5257569850552306</v>
      </c>
      <c r="P49" s="21" t="s">
        <v>547</v>
      </c>
      <c r="Q49" s="21">
        <v>4.1487719298245613</v>
      </c>
      <c r="S49" t="s">
        <v>547</v>
      </c>
    </row>
    <row r="50" spans="1:19" x14ac:dyDescent="0.2">
      <c r="A50">
        <v>49</v>
      </c>
      <c r="B50" t="s">
        <v>78</v>
      </c>
      <c r="D50" t="s">
        <v>2</v>
      </c>
      <c r="E50" t="s">
        <v>9</v>
      </c>
      <c r="F50" t="s">
        <v>12</v>
      </c>
      <c r="G50">
        <v>31</v>
      </c>
      <c r="H50">
        <v>30</v>
      </c>
      <c r="I50">
        <v>8.61</v>
      </c>
      <c r="J50">
        <v>5.23</v>
      </c>
      <c r="K50">
        <v>0.9</v>
      </c>
      <c r="L50">
        <v>0.45500000000000002</v>
      </c>
      <c r="M50">
        <v>0.104</v>
      </c>
      <c r="N50" s="21">
        <v>2.9378395061728395</v>
      </c>
      <c r="O50" s="21">
        <v>3.2243209876543211</v>
      </c>
      <c r="P50" s="21" t="s">
        <v>547</v>
      </c>
      <c r="Q50" s="21">
        <v>2.9378395061728395</v>
      </c>
      <c r="S50" t="s">
        <v>547</v>
      </c>
    </row>
    <row r="51" spans="1:19" x14ac:dyDescent="0.2">
      <c r="A51">
        <v>50</v>
      </c>
      <c r="B51" t="s">
        <v>78</v>
      </c>
      <c r="D51" t="s">
        <v>2</v>
      </c>
      <c r="E51" t="s">
        <v>9</v>
      </c>
      <c r="F51" t="s">
        <v>14</v>
      </c>
      <c r="G51">
        <v>35</v>
      </c>
      <c r="H51">
        <v>32</v>
      </c>
      <c r="I51">
        <v>7.18</v>
      </c>
      <c r="J51">
        <v>4.88</v>
      </c>
      <c r="K51">
        <v>0.9</v>
      </c>
      <c r="L51">
        <v>0.45500000000000002</v>
      </c>
      <c r="M51">
        <v>0.104</v>
      </c>
      <c r="N51" s="21">
        <v>2.7412345679012344</v>
      </c>
      <c r="O51" s="21">
        <v>2.68880658436214</v>
      </c>
      <c r="P51" s="21" t="s">
        <v>547</v>
      </c>
      <c r="Q51" s="21">
        <v>2.7412345679012344</v>
      </c>
      <c r="S51" t="s">
        <v>547</v>
      </c>
    </row>
    <row r="52" spans="1:19" x14ac:dyDescent="0.2">
      <c r="A52">
        <v>51</v>
      </c>
      <c r="B52" t="s">
        <v>78</v>
      </c>
      <c r="D52" t="s">
        <v>2</v>
      </c>
      <c r="E52" t="s">
        <v>9</v>
      </c>
      <c r="F52" t="s">
        <v>10</v>
      </c>
      <c r="G52">
        <v>31</v>
      </c>
      <c r="H52">
        <v>35</v>
      </c>
      <c r="I52">
        <v>9.5299999999999994</v>
      </c>
      <c r="J52">
        <v>7.53</v>
      </c>
      <c r="K52">
        <v>1.1000000000000001</v>
      </c>
      <c r="N52" s="21">
        <v>4.2298148148148149</v>
      </c>
      <c r="O52" s="21">
        <v>3.5688477366255138</v>
      </c>
      <c r="P52" s="21">
        <v>4.2298148148148149</v>
      </c>
      <c r="Q52" s="21" t="s">
        <v>547</v>
      </c>
      <c r="S52" t="s">
        <v>547</v>
      </c>
    </row>
    <row r="53" spans="1:19" x14ac:dyDescent="0.2">
      <c r="A53">
        <v>52</v>
      </c>
      <c r="B53" t="s">
        <v>78</v>
      </c>
      <c r="D53" t="s">
        <v>2</v>
      </c>
      <c r="E53" t="s">
        <v>9</v>
      </c>
      <c r="F53" t="s">
        <v>11</v>
      </c>
      <c r="G53">
        <v>35</v>
      </c>
      <c r="H53">
        <v>36</v>
      </c>
      <c r="I53">
        <v>9.52</v>
      </c>
      <c r="J53">
        <v>7.16</v>
      </c>
      <c r="K53">
        <v>1.1000000000000001</v>
      </c>
      <c r="N53" s="21">
        <v>4.0219753086419754</v>
      </c>
      <c r="O53" s="21">
        <v>3.5651028806584359</v>
      </c>
      <c r="P53" s="21">
        <v>4.0219753086419754</v>
      </c>
      <c r="Q53" s="21" t="s">
        <v>547</v>
      </c>
      <c r="S53" t="s">
        <v>547</v>
      </c>
    </row>
    <row r="54" spans="1:19" x14ac:dyDescent="0.2">
      <c r="A54">
        <v>53</v>
      </c>
      <c r="B54" t="s">
        <v>79</v>
      </c>
      <c r="D54" t="s">
        <v>2</v>
      </c>
      <c r="E54" t="s">
        <v>9</v>
      </c>
      <c r="F54" t="s">
        <v>10</v>
      </c>
      <c r="G54">
        <v>33</v>
      </c>
      <c r="H54">
        <v>31</v>
      </c>
      <c r="I54">
        <v>8.44</v>
      </c>
      <c r="J54">
        <v>7.82</v>
      </c>
      <c r="K54">
        <v>1.1599999999999999</v>
      </c>
      <c r="L54">
        <v>0.628</v>
      </c>
      <c r="M54">
        <v>0.10299999999999999</v>
      </c>
      <c r="N54" s="21">
        <v>4.7039846743295026</v>
      </c>
      <c r="O54" s="21">
        <v>3.3846232439335893</v>
      </c>
      <c r="P54" s="21">
        <v>4.7039846743295026</v>
      </c>
      <c r="Q54" s="21" t="s">
        <v>547</v>
      </c>
      <c r="S54" t="s">
        <v>547</v>
      </c>
    </row>
    <row r="55" spans="1:19" x14ac:dyDescent="0.2">
      <c r="A55">
        <v>54</v>
      </c>
      <c r="B55" t="s">
        <v>79</v>
      </c>
      <c r="D55" t="s">
        <v>2</v>
      </c>
      <c r="E55" t="s">
        <v>9</v>
      </c>
      <c r="F55" t="s">
        <v>11</v>
      </c>
      <c r="G55">
        <v>26</v>
      </c>
      <c r="H55">
        <v>29</v>
      </c>
      <c r="I55">
        <v>14.93</v>
      </c>
      <c r="J55">
        <v>9.9</v>
      </c>
      <c r="K55">
        <v>1.1599999999999999</v>
      </c>
      <c r="L55">
        <v>0.628</v>
      </c>
      <c r="M55">
        <v>0.10299999999999999</v>
      </c>
      <c r="N55" s="21">
        <v>5.9551724137931048</v>
      </c>
      <c r="O55" s="21">
        <v>5.9872541507024275</v>
      </c>
      <c r="P55" s="21">
        <v>5.9551724137931048</v>
      </c>
      <c r="Q55" s="21" t="s">
        <v>547</v>
      </c>
      <c r="S55" t="s">
        <v>547</v>
      </c>
    </row>
    <row r="56" spans="1:19" x14ac:dyDescent="0.2">
      <c r="A56">
        <v>55</v>
      </c>
      <c r="B56" t="s">
        <v>79</v>
      </c>
      <c r="D56" t="s">
        <v>2</v>
      </c>
      <c r="E56" t="s">
        <v>9</v>
      </c>
      <c r="F56" t="s">
        <v>12</v>
      </c>
      <c r="G56">
        <v>30</v>
      </c>
      <c r="H56">
        <v>30</v>
      </c>
      <c r="I56">
        <v>12</v>
      </c>
      <c r="J56">
        <v>7.28</v>
      </c>
      <c r="K56">
        <v>0</v>
      </c>
      <c r="L56">
        <v>0.69199999999999995</v>
      </c>
      <c r="M56">
        <v>0.105</v>
      </c>
      <c r="N56" s="21">
        <v>4.3791570881226063</v>
      </c>
      <c r="O56" s="21">
        <v>4.8122605363984681</v>
      </c>
      <c r="P56" s="21" t="s">
        <v>547</v>
      </c>
      <c r="Q56" s="21">
        <v>4.3791570881226063</v>
      </c>
      <c r="S56" t="s">
        <v>547</v>
      </c>
    </row>
    <row r="57" spans="1:19" x14ac:dyDescent="0.2">
      <c r="A57">
        <v>56</v>
      </c>
      <c r="B57" t="s">
        <v>79</v>
      </c>
      <c r="D57" t="s">
        <v>2</v>
      </c>
      <c r="E57" t="s">
        <v>9</v>
      </c>
      <c r="F57" t="s">
        <v>14</v>
      </c>
      <c r="G57">
        <v>20</v>
      </c>
      <c r="H57">
        <v>20</v>
      </c>
      <c r="I57">
        <v>7.68</v>
      </c>
      <c r="J57">
        <v>7.68</v>
      </c>
      <c r="K57">
        <v>0</v>
      </c>
      <c r="L57">
        <v>0.69199999999999995</v>
      </c>
      <c r="M57">
        <v>0.105</v>
      </c>
      <c r="N57" s="21">
        <v>4.6197701149425292</v>
      </c>
      <c r="O57" s="21">
        <v>3.0798467432950196</v>
      </c>
      <c r="P57" s="21" t="s">
        <v>547</v>
      </c>
      <c r="Q57" s="21">
        <v>4.6197701149425292</v>
      </c>
      <c r="S57" t="s">
        <v>547</v>
      </c>
    </row>
    <row r="58" spans="1:19" x14ac:dyDescent="0.2">
      <c r="A58">
        <v>57</v>
      </c>
      <c r="B58" t="s">
        <v>80</v>
      </c>
      <c r="C58" t="s">
        <v>80</v>
      </c>
      <c r="D58" t="s">
        <v>2</v>
      </c>
      <c r="E58" t="s">
        <v>9</v>
      </c>
      <c r="F58" t="s">
        <v>10</v>
      </c>
      <c r="G58">
        <v>54</v>
      </c>
      <c r="H58">
        <v>58</v>
      </c>
      <c r="I58">
        <v>16</v>
      </c>
      <c r="J58">
        <v>14.44</v>
      </c>
      <c r="K58">
        <v>1.34</v>
      </c>
      <c r="L58">
        <v>0.85199999999999998</v>
      </c>
      <c r="M58">
        <v>0.13600000000000001</v>
      </c>
      <c r="N58" s="21">
        <v>10.20139303482587</v>
      </c>
      <c r="O58" s="21">
        <v>7.5356550580431172</v>
      </c>
      <c r="P58" s="21">
        <v>10.20139303482587</v>
      </c>
      <c r="Q58" s="21" t="s">
        <v>547</v>
      </c>
      <c r="S58" t="s">
        <v>547</v>
      </c>
    </row>
    <row r="59" spans="1:19" x14ac:dyDescent="0.2">
      <c r="A59">
        <v>58</v>
      </c>
      <c r="B59" t="s">
        <v>80</v>
      </c>
      <c r="C59" t="s">
        <v>80</v>
      </c>
      <c r="D59" t="s">
        <v>2</v>
      </c>
      <c r="E59" t="s">
        <v>9</v>
      </c>
      <c r="F59" t="s">
        <v>11</v>
      </c>
      <c r="G59">
        <v>55</v>
      </c>
      <c r="H59">
        <v>53</v>
      </c>
      <c r="I59">
        <v>14.15</v>
      </c>
      <c r="J59">
        <v>7.68</v>
      </c>
      <c r="K59">
        <v>1.34</v>
      </c>
      <c r="L59">
        <v>0.85199999999999998</v>
      </c>
      <c r="M59">
        <v>0.13600000000000001</v>
      </c>
      <c r="N59" s="21">
        <v>5.4256716417910447</v>
      </c>
      <c r="O59" s="21">
        <v>6.6643449419568821</v>
      </c>
      <c r="P59" s="21">
        <v>5.4256716417910447</v>
      </c>
      <c r="Q59" s="21" t="s">
        <v>547</v>
      </c>
      <c r="S59" t="s">
        <v>547</v>
      </c>
    </row>
    <row r="60" spans="1:19" x14ac:dyDescent="0.2">
      <c r="A60">
        <v>59</v>
      </c>
      <c r="B60" t="s">
        <v>80</v>
      </c>
      <c r="C60" t="s">
        <v>80</v>
      </c>
      <c r="D60" t="s">
        <v>2</v>
      </c>
      <c r="E60" t="s">
        <v>9</v>
      </c>
      <c r="F60" t="s">
        <v>12</v>
      </c>
      <c r="G60">
        <v>37</v>
      </c>
      <c r="H60">
        <v>39</v>
      </c>
      <c r="I60">
        <v>8.98</v>
      </c>
      <c r="J60">
        <v>8.42</v>
      </c>
      <c r="K60">
        <v>1.33</v>
      </c>
      <c r="L60">
        <v>0.75</v>
      </c>
      <c r="M60">
        <v>0.14299999999999999</v>
      </c>
      <c r="N60" s="21">
        <v>5.2756892230576442</v>
      </c>
      <c r="O60" s="21">
        <v>3.7510442773600672</v>
      </c>
      <c r="P60" s="21" t="s">
        <v>547</v>
      </c>
      <c r="Q60" s="21">
        <v>5.2756892230576442</v>
      </c>
      <c r="S60" t="s">
        <v>547</v>
      </c>
    </row>
    <row r="61" spans="1:19" x14ac:dyDescent="0.2">
      <c r="A61">
        <v>60</v>
      </c>
      <c r="B61" t="s">
        <v>80</v>
      </c>
      <c r="C61" t="s">
        <v>80</v>
      </c>
      <c r="D61" t="s">
        <v>2</v>
      </c>
      <c r="E61" t="s">
        <v>9</v>
      </c>
      <c r="F61" t="s">
        <v>14</v>
      </c>
      <c r="G61">
        <v>46</v>
      </c>
      <c r="H61">
        <v>45</v>
      </c>
      <c r="I61">
        <v>14.27</v>
      </c>
      <c r="J61">
        <v>9.8000000000000007</v>
      </c>
      <c r="K61">
        <v>1.33</v>
      </c>
      <c r="L61">
        <v>0.75</v>
      </c>
      <c r="M61">
        <v>0.14299999999999999</v>
      </c>
      <c r="N61" s="21">
        <v>6.1403508771929838</v>
      </c>
      <c r="O61" s="21">
        <v>5.9607351712614864</v>
      </c>
      <c r="P61" s="21" t="s">
        <v>547</v>
      </c>
      <c r="Q61" s="21">
        <v>6.1403508771929838</v>
      </c>
      <c r="S61" t="s">
        <v>547</v>
      </c>
    </row>
    <row r="62" spans="1:19" x14ac:dyDescent="0.2">
      <c r="A62">
        <v>61</v>
      </c>
      <c r="B62" t="s">
        <v>81</v>
      </c>
      <c r="C62" t="s">
        <v>319</v>
      </c>
      <c r="D62" t="s">
        <v>2</v>
      </c>
      <c r="E62" t="s">
        <v>9</v>
      </c>
      <c r="F62" t="s">
        <v>10</v>
      </c>
      <c r="G62">
        <v>43</v>
      </c>
      <c r="H62">
        <v>40</v>
      </c>
      <c r="I62">
        <v>11.11</v>
      </c>
      <c r="J62">
        <v>7.87</v>
      </c>
      <c r="K62">
        <v>1.21</v>
      </c>
      <c r="L62">
        <v>0.63500000000000001</v>
      </c>
      <c r="M62">
        <v>0.13200000000000001</v>
      </c>
      <c r="N62" s="21">
        <v>4.589026629935721</v>
      </c>
      <c r="O62" s="21">
        <v>4.3188552188552194</v>
      </c>
      <c r="P62" s="21">
        <v>4.589026629935721</v>
      </c>
      <c r="Q62" s="21" t="s">
        <v>547</v>
      </c>
      <c r="S62" t="s">
        <v>547</v>
      </c>
    </row>
    <row r="63" spans="1:19" x14ac:dyDescent="0.2">
      <c r="A63">
        <v>62</v>
      </c>
      <c r="B63" t="s">
        <v>81</v>
      </c>
      <c r="C63" t="s">
        <v>319</v>
      </c>
      <c r="D63" t="s">
        <v>2</v>
      </c>
      <c r="E63" t="s">
        <v>9</v>
      </c>
      <c r="F63" t="s">
        <v>11</v>
      </c>
      <c r="G63">
        <v>46</v>
      </c>
      <c r="H63">
        <v>45</v>
      </c>
      <c r="I63">
        <v>7.87</v>
      </c>
      <c r="J63">
        <v>8.65</v>
      </c>
      <c r="K63">
        <v>1.21</v>
      </c>
      <c r="L63">
        <v>0.63500000000000001</v>
      </c>
      <c r="M63">
        <v>0.13200000000000001</v>
      </c>
      <c r="N63" s="21">
        <v>5.0438475665748399</v>
      </c>
      <c r="O63" s="21">
        <v>3.0593510866238143</v>
      </c>
      <c r="P63" s="21">
        <v>5.0438475665748399</v>
      </c>
      <c r="Q63" s="21" t="s">
        <v>547</v>
      </c>
      <c r="S63" t="s">
        <v>547</v>
      </c>
    </row>
    <row r="64" spans="1:19" x14ac:dyDescent="0.2">
      <c r="A64">
        <v>63</v>
      </c>
      <c r="B64" t="s">
        <v>81</v>
      </c>
      <c r="C64" t="s">
        <v>319</v>
      </c>
      <c r="D64" t="s">
        <v>2</v>
      </c>
      <c r="E64" t="s">
        <v>9</v>
      </c>
      <c r="F64" t="s">
        <v>12</v>
      </c>
      <c r="G64">
        <v>42</v>
      </c>
      <c r="H64">
        <v>37</v>
      </c>
      <c r="I64">
        <v>8.65</v>
      </c>
      <c r="J64">
        <v>8.91</v>
      </c>
      <c r="K64">
        <v>1</v>
      </c>
      <c r="L64">
        <v>0.60599999999999998</v>
      </c>
      <c r="M64">
        <v>0.13300000000000001</v>
      </c>
      <c r="N64" s="21">
        <v>5.9994000000000005</v>
      </c>
      <c r="O64" s="21">
        <v>3.8828888888888886</v>
      </c>
      <c r="P64" s="21" t="s">
        <v>547</v>
      </c>
      <c r="Q64" s="21">
        <v>5.9994000000000005</v>
      </c>
      <c r="S64" t="s">
        <v>547</v>
      </c>
    </row>
    <row r="65" spans="1:19" x14ac:dyDescent="0.2">
      <c r="A65">
        <v>64</v>
      </c>
      <c r="B65" t="s">
        <v>81</v>
      </c>
      <c r="C65" t="s">
        <v>319</v>
      </c>
      <c r="D65" t="s">
        <v>2</v>
      </c>
      <c r="E65" t="s">
        <v>9</v>
      </c>
      <c r="F65" t="s">
        <v>14</v>
      </c>
      <c r="G65">
        <v>37</v>
      </c>
      <c r="H65">
        <v>44</v>
      </c>
      <c r="I65">
        <v>8.91</v>
      </c>
      <c r="J65">
        <v>10.9</v>
      </c>
      <c r="K65">
        <v>1</v>
      </c>
      <c r="L65">
        <v>0.60599999999999998</v>
      </c>
      <c r="M65">
        <v>0.13300000000000001</v>
      </c>
      <c r="N65" s="21">
        <v>7.3393333333333342</v>
      </c>
      <c r="O65" s="21">
        <v>3.9996</v>
      </c>
      <c r="P65" s="21" t="s">
        <v>547</v>
      </c>
      <c r="Q65" s="21">
        <v>7.3393333333333342</v>
      </c>
      <c r="S65" t="s">
        <v>547</v>
      </c>
    </row>
    <row r="66" spans="1:19" x14ac:dyDescent="0.2">
      <c r="A66">
        <v>65</v>
      </c>
      <c r="B66" t="s">
        <v>82</v>
      </c>
      <c r="C66" t="s">
        <v>320</v>
      </c>
      <c r="D66" t="s">
        <v>2</v>
      </c>
      <c r="E66" t="s">
        <v>9</v>
      </c>
      <c r="F66" t="s">
        <v>10</v>
      </c>
      <c r="G66">
        <v>35</v>
      </c>
      <c r="H66">
        <v>36</v>
      </c>
      <c r="I66">
        <v>6.83</v>
      </c>
      <c r="J66">
        <v>8.48</v>
      </c>
      <c r="K66">
        <v>1.33</v>
      </c>
      <c r="L66">
        <v>0.78400000000000003</v>
      </c>
      <c r="M66">
        <v>0.152</v>
      </c>
      <c r="N66" s="21">
        <v>5.5541520467836261</v>
      </c>
      <c r="O66" s="21">
        <v>2.9823001949317742</v>
      </c>
      <c r="P66" s="21">
        <v>5.5541520467836261</v>
      </c>
      <c r="Q66" s="21" t="s">
        <v>547</v>
      </c>
      <c r="S66" t="s">
        <v>547</v>
      </c>
    </row>
    <row r="67" spans="1:19" x14ac:dyDescent="0.2">
      <c r="A67">
        <v>66</v>
      </c>
      <c r="B67" t="s">
        <v>82</v>
      </c>
      <c r="C67" t="s">
        <v>320</v>
      </c>
      <c r="D67" t="s">
        <v>2</v>
      </c>
      <c r="E67" t="s">
        <v>9</v>
      </c>
      <c r="F67" t="s">
        <v>11</v>
      </c>
      <c r="G67">
        <v>34</v>
      </c>
      <c r="H67">
        <v>34</v>
      </c>
      <c r="I67">
        <v>6.79</v>
      </c>
      <c r="J67">
        <v>8.35</v>
      </c>
      <c r="K67">
        <v>1.33</v>
      </c>
      <c r="L67">
        <v>0.78400000000000003</v>
      </c>
      <c r="M67">
        <v>0.152</v>
      </c>
      <c r="N67" s="21">
        <v>5.4690058479532153</v>
      </c>
      <c r="O67" s="21">
        <v>2.964834307992203</v>
      </c>
      <c r="P67" s="21">
        <v>5.4690058479532153</v>
      </c>
      <c r="Q67" s="21" t="s">
        <v>547</v>
      </c>
      <c r="S67" t="s">
        <v>547</v>
      </c>
    </row>
    <row r="68" spans="1:19" x14ac:dyDescent="0.2">
      <c r="A68">
        <v>67</v>
      </c>
      <c r="B68" t="s">
        <v>82</v>
      </c>
      <c r="C68" t="s">
        <v>320</v>
      </c>
      <c r="D68" t="s">
        <v>2</v>
      </c>
      <c r="E68" t="s">
        <v>9</v>
      </c>
      <c r="F68" t="s">
        <v>12</v>
      </c>
      <c r="G68">
        <v>39</v>
      </c>
      <c r="H68">
        <v>37</v>
      </c>
      <c r="I68">
        <v>13.96</v>
      </c>
      <c r="J68">
        <v>10.37</v>
      </c>
      <c r="K68">
        <v>1.38</v>
      </c>
      <c r="L68">
        <v>0.90800000000000003</v>
      </c>
      <c r="M68">
        <v>0.13800000000000001</v>
      </c>
      <c r="N68" s="21">
        <v>7.5812882447665064</v>
      </c>
      <c r="O68" s="21">
        <v>6.8039076757917352</v>
      </c>
      <c r="P68" s="21" t="s">
        <v>547</v>
      </c>
      <c r="Q68" s="21">
        <v>7.5812882447665064</v>
      </c>
      <c r="S68" t="s">
        <v>547</v>
      </c>
    </row>
    <row r="69" spans="1:19" x14ac:dyDescent="0.2">
      <c r="A69">
        <v>68</v>
      </c>
      <c r="B69" t="s">
        <v>82</v>
      </c>
      <c r="C69" t="s">
        <v>320</v>
      </c>
      <c r="D69" t="s">
        <v>2</v>
      </c>
      <c r="E69" t="s">
        <v>9</v>
      </c>
      <c r="F69" t="s">
        <v>14</v>
      </c>
      <c r="G69">
        <v>51</v>
      </c>
      <c r="H69">
        <v>53</v>
      </c>
      <c r="I69">
        <v>15.78</v>
      </c>
      <c r="J69">
        <v>13.05</v>
      </c>
      <c r="K69">
        <v>1.38</v>
      </c>
      <c r="L69">
        <v>0.90800000000000003</v>
      </c>
      <c r="M69">
        <v>0.13800000000000001</v>
      </c>
      <c r="N69" s="21">
        <v>9.5405797101449288</v>
      </c>
      <c r="O69" s="21">
        <v>7.6909500805152984</v>
      </c>
      <c r="P69" s="21" t="s">
        <v>547</v>
      </c>
      <c r="Q69" s="21">
        <v>9.5405797101449288</v>
      </c>
      <c r="S69" t="s">
        <v>547</v>
      </c>
    </row>
    <row r="70" spans="1:19" x14ac:dyDescent="0.2">
      <c r="A70">
        <v>69</v>
      </c>
      <c r="B70" t="s">
        <v>83</v>
      </c>
      <c r="C70" s="14" t="s">
        <v>83</v>
      </c>
      <c r="D70" t="s">
        <v>2</v>
      </c>
      <c r="E70" t="s">
        <v>27</v>
      </c>
      <c r="F70" t="s">
        <v>32</v>
      </c>
      <c r="G70">
        <v>42</v>
      </c>
      <c r="H70">
        <v>46</v>
      </c>
      <c r="I70">
        <v>14.07</v>
      </c>
      <c r="J70">
        <v>11.06</v>
      </c>
      <c r="K70">
        <v>0.92</v>
      </c>
      <c r="N70" s="21">
        <v>7.01129552789304</v>
      </c>
      <c r="O70" s="21">
        <v>5.9462886122637171</v>
      </c>
      <c r="P70" s="21" t="s">
        <v>547</v>
      </c>
      <c r="Q70" s="21" t="s">
        <v>547</v>
      </c>
      <c r="S70" t="s">
        <v>547</v>
      </c>
    </row>
    <row r="71" spans="1:19" x14ac:dyDescent="0.2">
      <c r="A71">
        <v>70</v>
      </c>
      <c r="B71" t="s">
        <v>83</v>
      </c>
      <c r="C71" s="14" t="s">
        <v>83</v>
      </c>
      <c r="D71" t="s">
        <v>2</v>
      </c>
      <c r="E71" t="s">
        <v>27</v>
      </c>
      <c r="F71" t="s">
        <v>33</v>
      </c>
      <c r="G71">
        <v>46</v>
      </c>
      <c r="H71">
        <v>48</v>
      </c>
      <c r="I71">
        <v>15.87</v>
      </c>
      <c r="J71">
        <v>11.76</v>
      </c>
      <c r="K71">
        <v>0.92</v>
      </c>
      <c r="N71" s="21">
        <v>7.4550484094052569</v>
      </c>
      <c r="O71" s="21">
        <v>6.7070078377132321</v>
      </c>
      <c r="P71" s="21" t="s">
        <v>547</v>
      </c>
      <c r="Q71" s="21" t="s">
        <v>547</v>
      </c>
      <c r="S71" t="s">
        <v>547</v>
      </c>
    </row>
    <row r="72" spans="1:19" x14ac:dyDescent="0.2">
      <c r="A72">
        <v>71</v>
      </c>
      <c r="B72" t="s">
        <v>83</v>
      </c>
      <c r="C72" s="14" t="s">
        <v>83</v>
      </c>
      <c r="D72" t="s">
        <v>2</v>
      </c>
      <c r="E72" t="s">
        <v>27</v>
      </c>
      <c r="F72" t="s">
        <v>45</v>
      </c>
      <c r="G72">
        <v>41</v>
      </c>
      <c r="H72">
        <v>42</v>
      </c>
      <c r="I72">
        <v>8.31</v>
      </c>
      <c r="J72">
        <v>6.21</v>
      </c>
      <c r="K72">
        <v>1.02</v>
      </c>
      <c r="N72" s="21">
        <v>3.9367219917012455</v>
      </c>
      <c r="O72" s="21">
        <v>3.5119870908252655</v>
      </c>
      <c r="P72" s="21" t="s">
        <v>547</v>
      </c>
      <c r="Q72" s="21" t="s">
        <v>547</v>
      </c>
      <c r="S72" t="s">
        <v>547</v>
      </c>
    </row>
    <row r="73" spans="1:19" x14ac:dyDescent="0.2">
      <c r="A73">
        <v>72</v>
      </c>
      <c r="B73" t="s">
        <v>83</v>
      </c>
      <c r="C73" s="14" t="s">
        <v>83</v>
      </c>
      <c r="D73" t="s">
        <v>2</v>
      </c>
      <c r="E73" t="s">
        <v>27</v>
      </c>
      <c r="F73" t="s">
        <v>46</v>
      </c>
      <c r="G73">
        <v>39</v>
      </c>
      <c r="H73">
        <v>41</v>
      </c>
      <c r="I73">
        <v>6.5</v>
      </c>
      <c r="J73">
        <v>6.41</v>
      </c>
      <c r="K73">
        <v>1.02</v>
      </c>
      <c r="N73" s="21">
        <v>4.0635085292761648</v>
      </c>
      <c r="O73" s="21">
        <v>2.7470416474565855</v>
      </c>
      <c r="P73" s="21" t="s">
        <v>547</v>
      </c>
      <c r="Q73" s="21" t="s">
        <v>547</v>
      </c>
      <c r="S73" t="s">
        <v>547</v>
      </c>
    </row>
    <row r="74" spans="1:19" x14ac:dyDescent="0.2">
      <c r="A74">
        <v>73</v>
      </c>
      <c r="B74" t="s">
        <v>84</v>
      </c>
      <c r="C74" s="14" t="s">
        <v>84</v>
      </c>
      <c r="D74" t="s">
        <v>2</v>
      </c>
      <c r="E74" t="s">
        <v>9</v>
      </c>
      <c r="F74" t="s">
        <v>10</v>
      </c>
      <c r="G74">
        <v>30</v>
      </c>
      <c r="H74">
        <v>30</v>
      </c>
      <c r="I74">
        <v>7.33</v>
      </c>
      <c r="J74">
        <v>5.74</v>
      </c>
      <c r="K74">
        <v>1.1000000000000001</v>
      </c>
      <c r="N74" s="21">
        <v>4.7640067340067347</v>
      </c>
      <c r="O74" s="21">
        <v>4.0557687991021325</v>
      </c>
      <c r="P74" s="21">
        <v>4.7640067340067347</v>
      </c>
      <c r="Q74" s="21" t="s">
        <v>547</v>
      </c>
      <c r="S74" t="s">
        <v>547</v>
      </c>
    </row>
    <row r="75" spans="1:19" x14ac:dyDescent="0.2">
      <c r="A75">
        <v>74</v>
      </c>
      <c r="B75" t="s">
        <v>84</v>
      </c>
      <c r="C75" s="14" t="s">
        <v>84</v>
      </c>
      <c r="D75" t="s">
        <v>2</v>
      </c>
      <c r="E75" t="s">
        <v>9</v>
      </c>
      <c r="F75" t="s">
        <v>11</v>
      </c>
      <c r="G75">
        <v>33</v>
      </c>
      <c r="H75">
        <v>31</v>
      </c>
      <c r="I75">
        <v>9.9600000000000009</v>
      </c>
      <c r="J75">
        <v>5.77</v>
      </c>
      <c r="K75">
        <v>0.79</v>
      </c>
      <c r="N75" s="21">
        <v>4.7889057239057244</v>
      </c>
      <c r="O75" s="21">
        <v>5.5109764309764309</v>
      </c>
      <c r="P75" s="21">
        <v>4.7889057239057244</v>
      </c>
      <c r="Q75" s="21" t="s">
        <v>547</v>
      </c>
      <c r="S75" t="s">
        <v>547</v>
      </c>
    </row>
    <row r="76" spans="1:19" x14ac:dyDescent="0.2">
      <c r="A76">
        <v>75</v>
      </c>
      <c r="B76" t="s">
        <v>84</v>
      </c>
      <c r="C76" s="14" t="s">
        <v>84</v>
      </c>
      <c r="D76" t="s">
        <v>2</v>
      </c>
      <c r="E76" t="s">
        <v>9</v>
      </c>
      <c r="F76" t="s">
        <v>12</v>
      </c>
      <c r="G76">
        <v>35</v>
      </c>
      <c r="H76">
        <v>32</v>
      </c>
      <c r="I76">
        <v>7.18</v>
      </c>
      <c r="J76">
        <v>4.88</v>
      </c>
      <c r="K76">
        <v>0.66</v>
      </c>
      <c r="L76">
        <v>0.49299999999999999</v>
      </c>
      <c r="M76">
        <v>7.2999999999999995E-2</v>
      </c>
      <c r="N76" s="21">
        <v>4.0502356902356906</v>
      </c>
      <c r="O76" s="21">
        <v>3.9727721661054995</v>
      </c>
      <c r="P76" s="21" t="s">
        <v>547</v>
      </c>
      <c r="Q76" s="21">
        <v>4.0502356902356906</v>
      </c>
      <c r="S76" t="s">
        <v>547</v>
      </c>
    </row>
    <row r="77" spans="1:19" x14ac:dyDescent="0.2">
      <c r="A77">
        <v>76</v>
      </c>
      <c r="B77" t="s">
        <v>84</v>
      </c>
      <c r="C77" s="14" t="s">
        <v>84</v>
      </c>
      <c r="D77" t="s">
        <v>2</v>
      </c>
      <c r="E77" t="s">
        <v>9</v>
      </c>
      <c r="F77" t="s">
        <v>14</v>
      </c>
      <c r="G77">
        <v>31</v>
      </c>
      <c r="H77">
        <v>30</v>
      </c>
      <c r="I77">
        <v>8.61</v>
      </c>
      <c r="J77">
        <v>5.23</v>
      </c>
      <c r="K77">
        <v>0.66</v>
      </c>
      <c r="L77">
        <v>0.49299999999999999</v>
      </c>
      <c r="M77">
        <v>7.2999999999999995E-2</v>
      </c>
      <c r="N77" s="21">
        <v>4.3407239057239062</v>
      </c>
      <c r="O77" s="21">
        <v>4.7640067340067338</v>
      </c>
      <c r="P77" s="21" t="s">
        <v>547</v>
      </c>
      <c r="Q77" s="21">
        <v>4.3407239057239062</v>
      </c>
      <c r="S77" t="s">
        <v>547</v>
      </c>
    </row>
    <row r="78" spans="1:19" x14ac:dyDescent="0.2">
      <c r="A78">
        <v>77</v>
      </c>
      <c r="B78" t="s">
        <v>85</v>
      </c>
      <c r="C78" t="s">
        <v>321</v>
      </c>
      <c r="D78" t="s">
        <v>2</v>
      </c>
      <c r="E78" t="s">
        <v>9</v>
      </c>
      <c r="F78" t="s">
        <v>10</v>
      </c>
      <c r="G78">
        <v>53</v>
      </c>
      <c r="H78">
        <v>60</v>
      </c>
      <c r="I78">
        <v>10.210000000000001</v>
      </c>
      <c r="J78">
        <v>10.33</v>
      </c>
      <c r="K78">
        <v>1.1100000000000001</v>
      </c>
      <c r="L78">
        <v>0.69499999999999995</v>
      </c>
      <c r="M78">
        <v>0.14199999999999999</v>
      </c>
      <c r="N78" s="21">
        <v>7.1865365365365355</v>
      </c>
      <c r="O78" s="21">
        <v>4.7353687020353687</v>
      </c>
      <c r="P78" s="21">
        <v>7.1865365365365355</v>
      </c>
      <c r="Q78" s="21" t="s">
        <v>547</v>
      </c>
      <c r="S78" t="s">
        <v>547</v>
      </c>
    </row>
    <row r="79" spans="1:19" x14ac:dyDescent="0.2">
      <c r="A79">
        <v>78</v>
      </c>
      <c r="B79" t="s">
        <v>85</v>
      </c>
      <c r="C79" t="s">
        <v>321</v>
      </c>
      <c r="D79" t="s">
        <v>2</v>
      </c>
      <c r="E79" t="s">
        <v>9</v>
      </c>
      <c r="F79" t="s">
        <v>11</v>
      </c>
      <c r="G79">
        <v>50</v>
      </c>
      <c r="H79">
        <v>48</v>
      </c>
      <c r="I79">
        <v>6.21</v>
      </c>
      <c r="J79">
        <v>6.21</v>
      </c>
      <c r="K79">
        <v>1.1100000000000001</v>
      </c>
      <c r="L79">
        <v>0.69499999999999995</v>
      </c>
      <c r="M79">
        <v>0.14199999999999999</v>
      </c>
      <c r="N79" s="21">
        <v>4.32027027027027</v>
      </c>
      <c r="O79" s="21">
        <v>2.8801801801801803</v>
      </c>
      <c r="P79" s="21">
        <v>4.32027027027027</v>
      </c>
      <c r="Q79" s="21" t="s">
        <v>547</v>
      </c>
      <c r="S79" t="s">
        <v>547</v>
      </c>
    </row>
    <row r="80" spans="1:19" x14ac:dyDescent="0.2">
      <c r="A80">
        <v>79</v>
      </c>
      <c r="B80" t="s">
        <v>85</v>
      </c>
      <c r="C80" t="s">
        <v>321</v>
      </c>
      <c r="D80" t="s">
        <v>2</v>
      </c>
      <c r="E80" t="s">
        <v>9</v>
      </c>
      <c r="F80" t="s">
        <v>12</v>
      </c>
      <c r="G80">
        <v>43</v>
      </c>
      <c r="H80">
        <v>45</v>
      </c>
      <c r="I80">
        <v>4.16</v>
      </c>
      <c r="J80">
        <v>4.16</v>
      </c>
      <c r="K80">
        <v>0.53</v>
      </c>
      <c r="L80">
        <v>0.26</v>
      </c>
      <c r="M80">
        <v>6.9000000000000006E-2</v>
      </c>
      <c r="N80" s="21">
        <v>2.2675052410901468</v>
      </c>
      <c r="O80" s="21">
        <v>1.5116701607267646</v>
      </c>
      <c r="P80" s="21" t="s">
        <v>547</v>
      </c>
      <c r="Q80" s="21">
        <v>2.2675052410901468</v>
      </c>
      <c r="S80" t="s">
        <v>547</v>
      </c>
    </row>
    <row r="81" spans="1:19" x14ac:dyDescent="0.2">
      <c r="A81">
        <v>80</v>
      </c>
      <c r="B81" t="s">
        <v>85</v>
      </c>
      <c r="C81" t="s">
        <v>321</v>
      </c>
      <c r="D81" t="s">
        <v>2</v>
      </c>
      <c r="E81" t="s">
        <v>9</v>
      </c>
      <c r="F81" t="s">
        <v>14</v>
      </c>
      <c r="G81">
        <v>54</v>
      </c>
      <c r="H81">
        <v>55</v>
      </c>
      <c r="I81">
        <v>5.83</v>
      </c>
      <c r="J81">
        <v>5.83</v>
      </c>
      <c r="K81">
        <v>0.53</v>
      </c>
      <c r="L81">
        <v>0.26</v>
      </c>
      <c r="M81">
        <v>6.9000000000000006E-2</v>
      </c>
      <c r="N81" s="21">
        <v>3.1777777777777776</v>
      </c>
      <c r="O81" s="21">
        <v>2.1185185185185182</v>
      </c>
      <c r="P81" s="21" t="s">
        <v>547</v>
      </c>
      <c r="Q81" s="21">
        <v>3.1777777777777776</v>
      </c>
      <c r="S81" t="s">
        <v>547</v>
      </c>
    </row>
    <row r="82" spans="1:19" x14ac:dyDescent="0.2">
      <c r="A82">
        <v>81</v>
      </c>
      <c r="B82" t="s">
        <v>86</v>
      </c>
      <c r="C82" t="s">
        <v>322</v>
      </c>
      <c r="D82" t="s">
        <v>2</v>
      </c>
      <c r="E82" t="s">
        <v>9</v>
      </c>
      <c r="F82" t="s">
        <v>10</v>
      </c>
      <c r="G82">
        <v>48</v>
      </c>
      <c r="H82">
        <v>42</v>
      </c>
      <c r="I82">
        <v>19.21</v>
      </c>
      <c r="J82">
        <v>10.37</v>
      </c>
      <c r="K82">
        <v>1.24</v>
      </c>
      <c r="L82">
        <v>0.66500000000000004</v>
      </c>
      <c r="M82">
        <v>0.153</v>
      </c>
      <c r="N82" s="21">
        <v>6.1792562724014344</v>
      </c>
      <c r="O82" s="21">
        <v>7.6312126642771814</v>
      </c>
      <c r="P82" s="21">
        <v>6.1792562724014344</v>
      </c>
      <c r="Q82" s="21" t="s">
        <v>547</v>
      </c>
      <c r="S82" t="s">
        <v>547</v>
      </c>
    </row>
    <row r="83" spans="1:19" x14ac:dyDescent="0.2">
      <c r="A83">
        <v>82</v>
      </c>
      <c r="B83" t="s">
        <v>86</v>
      </c>
      <c r="C83" t="s">
        <v>322</v>
      </c>
      <c r="D83" t="s">
        <v>2</v>
      </c>
      <c r="E83" t="s">
        <v>9</v>
      </c>
      <c r="F83" t="s">
        <v>11</v>
      </c>
      <c r="G83">
        <v>40</v>
      </c>
      <c r="H83">
        <v>40</v>
      </c>
      <c r="I83">
        <v>16.18</v>
      </c>
      <c r="J83">
        <v>9.8800000000000008</v>
      </c>
      <c r="K83">
        <v>1.24</v>
      </c>
      <c r="L83">
        <v>0.66500000000000004</v>
      </c>
      <c r="M83">
        <v>0.153</v>
      </c>
      <c r="N83" s="21">
        <v>5.8872759856630843</v>
      </c>
      <c r="O83" s="21">
        <v>6.4275388291517332</v>
      </c>
      <c r="P83" s="21">
        <v>5.8872759856630843</v>
      </c>
      <c r="Q83" s="21" t="s">
        <v>547</v>
      </c>
      <c r="S83" t="s">
        <v>547</v>
      </c>
    </row>
    <row r="84" spans="1:19" x14ac:dyDescent="0.2">
      <c r="A84">
        <v>83</v>
      </c>
      <c r="B84" t="s">
        <v>86</v>
      </c>
      <c r="C84" t="s">
        <v>322</v>
      </c>
      <c r="D84" t="s">
        <v>2</v>
      </c>
      <c r="E84" t="s">
        <v>9</v>
      </c>
      <c r="F84" t="s">
        <v>12</v>
      </c>
      <c r="G84">
        <v>55</v>
      </c>
      <c r="H84">
        <v>55</v>
      </c>
      <c r="I84">
        <v>13.24</v>
      </c>
      <c r="J84">
        <v>9.7799999999999994</v>
      </c>
      <c r="K84">
        <v>0.84</v>
      </c>
      <c r="L84">
        <v>0.44400000000000001</v>
      </c>
      <c r="M84">
        <v>6.9000000000000006E-2</v>
      </c>
      <c r="N84" s="21">
        <v>5.7438095238095235</v>
      </c>
      <c r="O84" s="21">
        <v>5.1839153439153449</v>
      </c>
      <c r="P84" s="21" t="s">
        <v>547</v>
      </c>
      <c r="Q84" s="21">
        <v>5.7438095238095235</v>
      </c>
      <c r="S84" t="s">
        <v>547</v>
      </c>
    </row>
    <row r="85" spans="1:19" x14ac:dyDescent="0.2">
      <c r="A85">
        <v>84</v>
      </c>
      <c r="B85" t="s">
        <v>86</v>
      </c>
      <c r="C85" t="s">
        <v>322</v>
      </c>
      <c r="D85" t="s">
        <v>2</v>
      </c>
      <c r="E85" t="s">
        <v>9</v>
      </c>
      <c r="F85" t="s">
        <v>14</v>
      </c>
      <c r="G85">
        <v>50</v>
      </c>
      <c r="H85">
        <v>45</v>
      </c>
      <c r="I85">
        <v>13.84</v>
      </c>
      <c r="J85">
        <v>9.33</v>
      </c>
      <c r="K85">
        <v>0.84</v>
      </c>
      <c r="L85">
        <v>0.44400000000000001</v>
      </c>
      <c r="M85">
        <v>6.9000000000000006E-2</v>
      </c>
      <c r="N85" s="21">
        <v>5.4795238095238101</v>
      </c>
      <c r="O85" s="21">
        <v>5.418835978835979</v>
      </c>
      <c r="P85" s="21" t="s">
        <v>547</v>
      </c>
      <c r="Q85" s="21">
        <v>5.4795238095238101</v>
      </c>
      <c r="S85" t="s">
        <v>547</v>
      </c>
    </row>
    <row r="86" spans="1:19" x14ac:dyDescent="0.2">
      <c r="A86">
        <v>85</v>
      </c>
      <c r="B86" t="s">
        <v>87</v>
      </c>
      <c r="C86" t="s">
        <v>323</v>
      </c>
      <c r="D86" t="s">
        <v>2</v>
      </c>
      <c r="E86" t="s">
        <v>9</v>
      </c>
      <c r="F86" t="s">
        <v>10</v>
      </c>
      <c r="G86">
        <v>35</v>
      </c>
      <c r="H86">
        <v>36</v>
      </c>
      <c r="I86">
        <v>9.16</v>
      </c>
      <c r="J86">
        <v>6.4</v>
      </c>
      <c r="K86">
        <v>0.83</v>
      </c>
      <c r="L86">
        <v>0.438</v>
      </c>
      <c r="M86">
        <v>0.15</v>
      </c>
      <c r="N86" s="21">
        <v>3.7526104417670694</v>
      </c>
      <c r="O86" s="21">
        <v>3.5806157965194116</v>
      </c>
      <c r="P86" s="21">
        <v>3.7526104417670694</v>
      </c>
      <c r="Q86" s="21" t="s">
        <v>547</v>
      </c>
      <c r="S86" t="s">
        <v>547</v>
      </c>
    </row>
    <row r="87" spans="1:19" x14ac:dyDescent="0.2">
      <c r="A87">
        <v>86</v>
      </c>
      <c r="B87" t="s">
        <v>87</v>
      </c>
      <c r="C87" t="s">
        <v>323</v>
      </c>
      <c r="D87" t="s">
        <v>2</v>
      </c>
      <c r="E87" t="s">
        <v>9</v>
      </c>
      <c r="F87" t="s">
        <v>11</v>
      </c>
      <c r="G87">
        <v>36</v>
      </c>
      <c r="H87">
        <v>36</v>
      </c>
      <c r="I87">
        <v>7.14</v>
      </c>
      <c r="J87">
        <v>6.4</v>
      </c>
      <c r="K87">
        <v>0.83</v>
      </c>
      <c r="L87">
        <v>0.438</v>
      </c>
      <c r="M87">
        <v>0.15</v>
      </c>
      <c r="N87" s="21">
        <v>3.7526104417670694</v>
      </c>
      <c r="O87" s="21">
        <v>2.7910040160642575</v>
      </c>
      <c r="P87" s="21">
        <v>3.7526104417670694</v>
      </c>
      <c r="Q87" s="21" t="s">
        <v>547</v>
      </c>
      <c r="S87" t="s">
        <v>547</v>
      </c>
    </row>
    <row r="88" spans="1:19" x14ac:dyDescent="0.2">
      <c r="A88">
        <v>87</v>
      </c>
      <c r="B88" t="s">
        <v>87</v>
      </c>
      <c r="C88" t="s">
        <v>323</v>
      </c>
      <c r="D88" t="s">
        <v>2</v>
      </c>
      <c r="E88" t="s">
        <v>9</v>
      </c>
      <c r="F88" t="s">
        <v>12</v>
      </c>
      <c r="G88">
        <v>43</v>
      </c>
      <c r="H88">
        <v>38</v>
      </c>
      <c r="I88">
        <v>10.36</v>
      </c>
      <c r="J88">
        <v>5.3</v>
      </c>
      <c r="K88">
        <v>0.85</v>
      </c>
      <c r="L88">
        <v>0.42</v>
      </c>
      <c r="M88">
        <v>0.105</v>
      </c>
      <c r="N88" s="21">
        <v>2.9098039215686273</v>
      </c>
      <c r="O88" s="21">
        <v>3.7918954248366012</v>
      </c>
      <c r="P88" s="21" t="s">
        <v>547</v>
      </c>
      <c r="Q88" s="21">
        <v>2.9098039215686273</v>
      </c>
      <c r="S88" t="s">
        <v>547</v>
      </c>
    </row>
    <row r="89" spans="1:19" x14ac:dyDescent="0.2">
      <c r="A89">
        <v>88</v>
      </c>
      <c r="B89" t="s">
        <v>87</v>
      </c>
      <c r="C89" t="s">
        <v>323</v>
      </c>
      <c r="D89" t="s">
        <v>2</v>
      </c>
      <c r="E89" t="s">
        <v>9</v>
      </c>
      <c r="F89" t="s">
        <v>14</v>
      </c>
      <c r="G89">
        <v>46</v>
      </c>
      <c r="H89">
        <v>36</v>
      </c>
      <c r="I89">
        <v>7.24</v>
      </c>
      <c r="J89">
        <v>10.94</v>
      </c>
      <c r="K89">
        <v>0.85</v>
      </c>
      <c r="L89">
        <v>0.42</v>
      </c>
      <c r="M89">
        <v>0.105</v>
      </c>
      <c r="N89" s="21">
        <v>6.0062745098039221</v>
      </c>
      <c r="O89" s="21">
        <v>2.6499346405228761</v>
      </c>
      <c r="P89" s="21" t="s">
        <v>547</v>
      </c>
      <c r="Q89" s="21">
        <v>6.0062745098039221</v>
      </c>
      <c r="S89" t="s">
        <v>547</v>
      </c>
    </row>
    <row r="90" spans="1:19" x14ac:dyDescent="0.2">
      <c r="A90">
        <v>89</v>
      </c>
      <c r="B90" t="s">
        <v>88</v>
      </c>
      <c r="C90" t="s">
        <v>324</v>
      </c>
      <c r="D90" t="s">
        <v>2</v>
      </c>
      <c r="E90" t="s">
        <v>9</v>
      </c>
      <c r="F90" t="s">
        <v>10</v>
      </c>
      <c r="G90">
        <v>22</v>
      </c>
      <c r="H90">
        <v>32</v>
      </c>
      <c r="I90">
        <v>8</v>
      </c>
      <c r="J90">
        <v>6.32</v>
      </c>
      <c r="K90">
        <v>0.8</v>
      </c>
      <c r="L90">
        <v>0.61499999999999999</v>
      </c>
      <c r="M90">
        <v>0.11899999999999999</v>
      </c>
      <c r="N90" s="21">
        <v>5.3983333333333325</v>
      </c>
      <c r="O90" s="21">
        <v>4.5555555555555554</v>
      </c>
      <c r="P90" s="21">
        <v>5.3983333333333325</v>
      </c>
      <c r="Q90" s="21" t="s">
        <v>547</v>
      </c>
      <c r="S90" t="s">
        <v>547</v>
      </c>
    </row>
    <row r="91" spans="1:19" x14ac:dyDescent="0.2">
      <c r="A91">
        <v>90</v>
      </c>
      <c r="B91" t="s">
        <v>88</v>
      </c>
      <c r="C91" t="s">
        <v>324</v>
      </c>
      <c r="D91" t="s">
        <v>2</v>
      </c>
      <c r="E91" t="s">
        <v>9</v>
      </c>
      <c r="F91" t="s">
        <v>11</v>
      </c>
      <c r="G91">
        <v>38</v>
      </c>
      <c r="H91">
        <v>39</v>
      </c>
      <c r="I91">
        <v>8.31</v>
      </c>
      <c r="J91">
        <v>7.42</v>
      </c>
      <c r="K91">
        <v>0.8</v>
      </c>
      <c r="L91">
        <v>0.61499999999999999</v>
      </c>
      <c r="M91">
        <v>0.11899999999999999</v>
      </c>
      <c r="N91" s="21">
        <v>6.3379166666666666</v>
      </c>
      <c r="O91" s="21">
        <v>4.7320833333333336</v>
      </c>
      <c r="P91" s="21">
        <v>6.3379166666666666</v>
      </c>
      <c r="Q91" s="21" t="s">
        <v>547</v>
      </c>
      <c r="S91" t="s">
        <v>547</v>
      </c>
    </row>
    <row r="92" spans="1:19" x14ac:dyDescent="0.2">
      <c r="A92">
        <v>91</v>
      </c>
      <c r="B92" t="s">
        <v>88</v>
      </c>
      <c r="C92" t="s">
        <v>324</v>
      </c>
      <c r="D92" t="s">
        <v>2</v>
      </c>
      <c r="E92" t="s">
        <v>9</v>
      </c>
      <c r="F92" t="s">
        <v>12</v>
      </c>
      <c r="G92">
        <v>29</v>
      </c>
      <c r="H92">
        <v>32</v>
      </c>
      <c r="I92">
        <v>9.8800000000000008</v>
      </c>
      <c r="J92">
        <v>6.8</v>
      </c>
      <c r="K92">
        <v>1.3</v>
      </c>
      <c r="L92">
        <v>0.75900000000000001</v>
      </c>
      <c r="M92">
        <v>0.11899999999999999</v>
      </c>
      <c r="N92" s="21">
        <v>4.4112820512820505</v>
      </c>
      <c r="O92" s="21">
        <v>4.2728888888888896</v>
      </c>
      <c r="P92" s="21" t="s">
        <v>547</v>
      </c>
      <c r="Q92" s="21">
        <v>4.4112820512820505</v>
      </c>
      <c r="S92" t="s">
        <v>547</v>
      </c>
    </row>
    <row r="93" spans="1:19" x14ac:dyDescent="0.2">
      <c r="A93">
        <v>92</v>
      </c>
      <c r="B93" t="s">
        <v>88</v>
      </c>
      <c r="C93" t="s">
        <v>324</v>
      </c>
      <c r="D93" t="s">
        <v>2</v>
      </c>
      <c r="E93" t="s">
        <v>9</v>
      </c>
      <c r="F93" t="s">
        <v>14</v>
      </c>
      <c r="G93">
        <v>35</v>
      </c>
      <c r="H93">
        <v>42</v>
      </c>
      <c r="I93">
        <v>8.58</v>
      </c>
      <c r="J93">
        <v>8</v>
      </c>
      <c r="K93">
        <v>1.3</v>
      </c>
      <c r="L93">
        <v>0.75900000000000001</v>
      </c>
      <c r="M93">
        <v>0.11899999999999999</v>
      </c>
      <c r="N93" s="21">
        <v>5.1897435897435891</v>
      </c>
      <c r="O93" s="21">
        <v>3.7106666666666666</v>
      </c>
      <c r="P93" s="21" t="s">
        <v>547</v>
      </c>
      <c r="Q93" s="21">
        <v>5.1897435897435891</v>
      </c>
      <c r="S93" t="s">
        <v>547</v>
      </c>
    </row>
    <row r="94" spans="1:19" x14ac:dyDescent="0.2">
      <c r="A94">
        <v>93</v>
      </c>
      <c r="B94" t="s">
        <v>89</v>
      </c>
      <c r="D94" t="s">
        <v>2</v>
      </c>
      <c r="E94" t="s">
        <v>9</v>
      </c>
      <c r="F94" t="s">
        <v>10</v>
      </c>
      <c r="G94">
        <v>31</v>
      </c>
      <c r="H94">
        <v>31</v>
      </c>
      <c r="I94">
        <v>6.87</v>
      </c>
      <c r="J94">
        <v>5.57</v>
      </c>
      <c r="K94">
        <v>0.99</v>
      </c>
      <c r="L94">
        <v>0.53800000000000003</v>
      </c>
      <c r="M94">
        <v>9.9000000000000005E-2</v>
      </c>
      <c r="N94" s="21">
        <v>3.3632547699214372</v>
      </c>
      <c r="O94" s="21">
        <v>2.7654769921436593</v>
      </c>
      <c r="P94" s="21">
        <v>3.3632547699214372</v>
      </c>
      <c r="Q94" s="21" t="s">
        <v>547</v>
      </c>
      <c r="S94" t="s">
        <v>547</v>
      </c>
    </row>
    <row r="95" spans="1:19" x14ac:dyDescent="0.2">
      <c r="A95">
        <v>94</v>
      </c>
      <c r="B95" t="s">
        <v>89</v>
      </c>
      <c r="D95" t="s">
        <v>2</v>
      </c>
      <c r="E95" t="s">
        <v>9</v>
      </c>
      <c r="F95" t="s">
        <v>11</v>
      </c>
      <c r="G95">
        <v>30</v>
      </c>
      <c r="H95">
        <v>30</v>
      </c>
      <c r="I95">
        <v>9.5399999999999991</v>
      </c>
      <c r="J95">
        <v>4.33</v>
      </c>
      <c r="K95">
        <v>0.99</v>
      </c>
      <c r="L95">
        <v>0.53800000000000003</v>
      </c>
      <c r="M95">
        <v>9.9000000000000005E-2</v>
      </c>
      <c r="N95" s="21">
        <v>2.614523007856342</v>
      </c>
      <c r="O95" s="21">
        <v>3.8402693602693607</v>
      </c>
      <c r="P95" s="21">
        <v>2.614523007856342</v>
      </c>
      <c r="Q95" s="21" t="s">
        <v>547</v>
      </c>
      <c r="S95" t="s">
        <v>547</v>
      </c>
    </row>
    <row r="96" spans="1:19" x14ac:dyDescent="0.2">
      <c r="A96">
        <v>95</v>
      </c>
      <c r="B96" t="s">
        <v>89</v>
      </c>
      <c r="D96" t="s">
        <v>2</v>
      </c>
      <c r="E96" t="s">
        <v>9</v>
      </c>
      <c r="F96" t="s">
        <v>12</v>
      </c>
      <c r="G96">
        <v>36</v>
      </c>
      <c r="H96">
        <v>36</v>
      </c>
      <c r="I96">
        <v>7.22</v>
      </c>
      <c r="J96">
        <v>6.51</v>
      </c>
      <c r="K96">
        <v>1.07</v>
      </c>
      <c r="L96">
        <v>0.57799999999999996</v>
      </c>
      <c r="M96">
        <v>8.5999999999999993E-2</v>
      </c>
      <c r="N96" s="21">
        <v>3.9073520249221181</v>
      </c>
      <c r="O96" s="21">
        <v>2.8889996538594667</v>
      </c>
      <c r="P96" s="21" t="s">
        <v>547</v>
      </c>
      <c r="Q96" s="21">
        <v>3.9073520249221181</v>
      </c>
      <c r="S96" t="s">
        <v>547</v>
      </c>
    </row>
    <row r="97" spans="1:19" x14ac:dyDescent="0.2">
      <c r="A97">
        <v>96</v>
      </c>
      <c r="B97" t="s">
        <v>89</v>
      </c>
      <c r="D97" t="s">
        <v>2</v>
      </c>
      <c r="E97" t="s">
        <v>9</v>
      </c>
      <c r="F97" t="s">
        <v>14</v>
      </c>
      <c r="G97">
        <v>37</v>
      </c>
      <c r="H97">
        <v>35</v>
      </c>
      <c r="I97">
        <v>7.12</v>
      </c>
      <c r="J97">
        <v>6.34</v>
      </c>
      <c r="K97">
        <v>1.07</v>
      </c>
      <c r="L97">
        <v>0.57799999999999996</v>
      </c>
      <c r="M97">
        <v>8.5999999999999993E-2</v>
      </c>
      <c r="N97" s="21">
        <v>3.8053167185877461</v>
      </c>
      <c r="O97" s="21">
        <v>2.8489858082381443</v>
      </c>
      <c r="P97" s="21" t="s">
        <v>547</v>
      </c>
      <c r="Q97" s="21">
        <v>3.8053167185877461</v>
      </c>
      <c r="S97" t="s">
        <v>547</v>
      </c>
    </row>
    <row r="98" spans="1:19" x14ac:dyDescent="0.2">
      <c r="A98">
        <v>97</v>
      </c>
      <c r="B98" t="s">
        <v>90</v>
      </c>
      <c r="C98" t="s">
        <v>325</v>
      </c>
      <c r="D98" t="s">
        <v>2</v>
      </c>
      <c r="E98" t="s">
        <v>9</v>
      </c>
      <c r="F98" t="s">
        <v>10</v>
      </c>
      <c r="G98">
        <v>55</v>
      </c>
      <c r="H98">
        <v>59</v>
      </c>
      <c r="I98">
        <v>18.43</v>
      </c>
      <c r="J98">
        <v>11.87</v>
      </c>
      <c r="K98">
        <v>1.1599999999999999</v>
      </c>
      <c r="L98">
        <v>0.60799999999999998</v>
      </c>
      <c r="M98">
        <v>8.5999999999999993E-2</v>
      </c>
      <c r="N98" s="21">
        <v>6.9127969348659013</v>
      </c>
      <c r="O98" s="21">
        <v>7.1554533844189026</v>
      </c>
      <c r="P98" s="21">
        <v>6.9127969348659013</v>
      </c>
      <c r="Q98" s="21" t="s">
        <v>547</v>
      </c>
      <c r="S98" t="s">
        <v>547</v>
      </c>
    </row>
    <row r="99" spans="1:19" x14ac:dyDescent="0.2">
      <c r="A99">
        <v>98</v>
      </c>
      <c r="B99" t="s">
        <v>90</v>
      </c>
      <c r="C99" t="s">
        <v>325</v>
      </c>
      <c r="D99" t="s">
        <v>2</v>
      </c>
      <c r="E99" t="s">
        <v>9</v>
      </c>
      <c r="F99" t="s">
        <v>11</v>
      </c>
      <c r="G99">
        <v>47</v>
      </c>
      <c r="H99">
        <v>47</v>
      </c>
      <c r="I99">
        <v>18.690000000000001</v>
      </c>
      <c r="J99">
        <v>11.13</v>
      </c>
      <c r="K99">
        <v>1.1599999999999999</v>
      </c>
      <c r="L99">
        <v>0.60799999999999998</v>
      </c>
      <c r="M99">
        <v>8.5999999999999993E-2</v>
      </c>
      <c r="N99" s="21">
        <v>6.4818390804597712</v>
      </c>
      <c r="O99" s="21">
        <v>7.2563984674329518</v>
      </c>
      <c r="P99" s="21">
        <v>6.4818390804597712</v>
      </c>
      <c r="Q99" s="21" t="s">
        <v>547</v>
      </c>
      <c r="S99" t="s">
        <v>547</v>
      </c>
    </row>
    <row r="100" spans="1:19" x14ac:dyDescent="0.2">
      <c r="A100">
        <v>99</v>
      </c>
      <c r="B100" t="s">
        <v>90</v>
      </c>
      <c r="C100" t="s">
        <v>325</v>
      </c>
      <c r="D100" t="s">
        <v>2</v>
      </c>
      <c r="E100" t="s">
        <v>9</v>
      </c>
      <c r="F100" t="s">
        <v>12</v>
      </c>
      <c r="G100">
        <v>55</v>
      </c>
      <c r="H100">
        <v>53</v>
      </c>
      <c r="I100">
        <v>10.25</v>
      </c>
      <c r="J100">
        <v>8.16</v>
      </c>
      <c r="K100">
        <v>0.78</v>
      </c>
      <c r="L100">
        <v>0.38100000000000001</v>
      </c>
      <c r="M100">
        <v>9.2999999999999999E-2</v>
      </c>
      <c r="N100" s="21">
        <v>4.4287179487179484</v>
      </c>
      <c r="O100" s="21">
        <v>3.708689458689459</v>
      </c>
      <c r="P100" s="21" t="s">
        <v>547</v>
      </c>
      <c r="Q100" s="21">
        <v>4.4287179487179484</v>
      </c>
      <c r="S100" t="s">
        <v>547</v>
      </c>
    </row>
    <row r="101" spans="1:19" x14ac:dyDescent="0.2">
      <c r="A101">
        <v>100</v>
      </c>
      <c r="B101" t="s">
        <v>90</v>
      </c>
      <c r="C101" t="s">
        <v>325</v>
      </c>
      <c r="D101" t="s">
        <v>2</v>
      </c>
      <c r="E101" t="s">
        <v>9</v>
      </c>
      <c r="F101" t="s">
        <v>14</v>
      </c>
      <c r="G101">
        <v>56</v>
      </c>
      <c r="H101">
        <v>53</v>
      </c>
      <c r="I101">
        <v>10.7</v>
      </c>
      <c r="J101">
        <v>8.25</v>
      </c>
      <c r="K101">
        <v>0.78</v>
      </c>
      <c r="L101">
        <v>0.38100000000000001</v>
      </c>
      <c r="M101">
        <v>9.2999999999999999E-2</v>
      </c>
      <c r="N101" s="21">
        <v>4.4775641025641022</v>
      </c>
      <c r="O101" s="21">
        <v>3.8715099715099717</v>
      </c>
      <c r="P101" s="21" t="s">
        <v>547</v>
      </c>
      <c r="Q101" s="21">
        <v>4.4775641025641022</v>
      </c>
      <c r="S101" t="s">
        <v>547</v>
      </c>
    </row>
    <row r="102" spans="1:19" x14ac:dyDescent="0.2">
      <c r="A102">
        <v>101</v>
      </c>
      <c r="B102" t="s">
        <v>91</v>
      </c>
      <c r="C102" t="s">
        <v>91</v>
      </c>
      <c r="D102" t="s">
        <v>2</v>
      </c>
      <c r="E102" t="s">
        <v>9</v>
      </c>
      <c r="F102" t="s">
        <v>10</v>
      </c>
      <c r="G102">
        <v>38</v>
      </c>
      <c r="H102">
        <v>38</v>
      </c>
      <c r="I102">
        <v>7.98</v>
      </c>
      <c r="J102">
        <v>5.98</v>
      </c>
      <c r="K102">
        <v>0.99</v>
      </c>
      <c r="L102">
        <v>0.60199999999999998</v>
      </c>
      <c r="M102">
        <v>0.14099999999999999</v>
      </c>
      <c r="N102" s="21">
        <v>4.0403591470258142</v>
      </c>
      <c r="O102" s="21">
        <v>3.5944332210998886</v>
      </c>
      <c r="P102" s="21">
        <v>4.0403591470258142</v>
      </c>
      <c r="Q102" s="21" t="s">
        <v>547</v>
      </c>
      <c r="S102" t="s">
        <v>547</v>
      </c>
    </row>
    <row r="103" spans="1:19" x14ac:dyDescent="0.2">
      <c r="A103">
        <v>102</v>
      </c>
      <c r="B103" t="s">
        <v>91</v>
      </c>
      <c r="C103" t="s">
        <v>91</v>
      </c>
      <c r="D103" t="s">
        <v>2</v>
      </c>
      <c r="E103" t="s">
        <v>9</v>
      </c>
      <c r="F103" t="s">
        <v>11</v>
      </c>
      <c r="G103">
        <v>44</v>
      </c>
      <c r="H103">
        <v>40</v>
      </c>
      <c r="I103">
        <v>7.47</v>
      </c>
      <c r="J103">
        <v>7.47</v>
      </c>
      <c r="K103">
        <v>0.99</v>
      </c>
      <c r="L103">
        <v>0.60199999999999998</v>
      </c>
      <c r="M103">
        <v>0.14099999999999999</v>
      </c>
      <c r="N103" s="21">
        <v>5.0470707070707075</v>
      </c>
      <c r="O103" s="21">
        <v>3.364713804713805</v>
      </c>
      <c r="P103" s="21">
        <v>5.0470707070707075</v>
      </c>
      <c r="Q103" s="21" t="s">
        <v>547</v>
      </c>
      <c r="S103" t="s">
        <v>547</v>
      </c>
    </row>
    <row r="104" spans="1:19" x14ac:dyDescent="0.2">
      <c r="A104">
        <v>103</v>
      </c>
      <c r="B104" t="s">
        <v>91</v>
      </c>
      <c r="C104" t="s">
        <v>91</v>
      </c>
      <c r="D104" t="s">
        <v>2</v>
      </c>
      <c r="E104" t="s">
        <v>9</v>
      </c>
      <c r="F104" t="s">
        <v>12</v>
      </c>
      <c r="G104">
        <v>35</v>
      </c>
      <c r="H104">
        <v>32</v>
      </c>
      <c r="I104">
        <v>7.18</v>
      </c>
      <c r="J104">
        <v>4.88</v>
      </c>
      <c r="K104">
        <v>0.77</v>
      </c>
      <c r="L104">
        <v>0.42599999999999999</v>
      </c>
      <c r="M104">
        <v>9.4E-2</v>
      </c>
      <c r="N104" s="21">
        <v>2.9998268398268397</v>
      </c>
      <c r="O104" s="21">
        <v>2.9424531024531024</v>
      </c>
      <c r="P104" s="21" t="s">
        <v>547</v>
      </c>
      <c r="Q104" s="21">
        <v>2.9998268398268397</v>
      </c>
      <c r="S104" t="s">
        <v>547</v>
      </c>
    </row>
    <row r="105" spans="1:19" x14ac:dyDescent="0.2">
      <c r="A105">
        <v>104</v>
      </c>
      <c r="B105" t="s">
        <v>91</v>
      </c>
      <c r="C105" t="s">
        <v>91</v>
      </c>
      <c r="D105" t="s">
        <v>2</v>
      </c>
      <c r="E105" t="s">
        <v>9</v>
      </c>
      <c r="F105" t="s">
        <v>14</v>
      </c>
      <c r="G105">
        <v>31</v>
      </c>
      <c r="H105">
        <v>30</v>
      </c>
      <c r="I105">
        <v>8.61</v>
      </c>
      <c r="J105">
        <v>5.23</v>
      </c>
      <c r="K105">
        <v>0.77</v>
      </c>
      <c r="L105">
        <v>0.42599999999999999</v>
      </c>
      <c r="M105">
        <v>9.4E-2</v>
      </c>
      <c r="N105" s="21">
        <v>3.214978354978355</v>
      </c>
      <c r="O105" s="21">
        <v>3.5284848484848479</v>
      </c>
      <c r="P105" s="21" t="s">
        <v>547</v>
      </c>
      <c r="Q105" s="21">
        <v>3.214978354978355</v>
      </c>
      <c r="S105" t="s">
        <v>547</v>
      </c>
    </row>
    <row r="106" spans="1:19" x14ac:dyDescent="0.2">
      <c r="A106">
        <v>105</v>
      </c>
      <c r="B106" t="s">
        <v>92</v>
      </c>
      <c r="C106" t="s">
        <v>326</v>
      </c>
      <c r="D106" t="s">
        <v>0</v>
      </c>
      <c r="E106" t="s">
        <v>9</v>
      </c>
      <c r="F106" t="s">
        <v>10</v>
      </c>
      <c r="G106">
        <v>29</v>
      </c>
      <c r="H106">
        <v>32</v>
      </c>
      <c r="I106">
        <v>8.85</v>
      </c>
      <c r="J106">
        <v>8.2899999999999991</v>
      </c>
      <c r="K106">
        <v>1.1599999999999999</v>
      </c>
      <c r="N106" s="21">
        <v>5.2553019824804066</v>
      </c>
      <c r="O106" s="21">
        <v>3.7402028584601199</v>
      </c>
      <c r="P106" s="21">
        <v>5.2553019824804066</v>
      </c>
      <c r="Q106" s="21" t="s">
        <v>547</v>
      </c>
      <c r="R106" t="s">
        <v>54</v>
      </c>
      <c r="S106" t="s">
        <v>547</v>
      </c>
    </row>
    <row r="107" spans="1:19" x14ac:dyDescent="0.2">
      <c r="A107">
        <v>106</v>
      </c>
      <c r="B107" t="s">
        <v>92</v>
      </c>
      <c r="C107" t="s">
        <v>326</v>
      </c>
      <c r="D107" t="s">
        <v>0</v>
      </c>
      <c r="E107" t="s">
        <v>9</v>
      </c>
      <c r="F107" t="s">
        <v>11</v>
      </c>
      <c r="G107">
        <v>45</v>
      </c>
      <c r="H107">
        <v>42</v>
      </c>
      <c r="I107">
        <v>10.82</v>
      </c>
      <c r="J107">
        <v>10.82</v>
      </c>
      <c r="K107">
        <v>1.1599999999999999</v>
      </c>
      <c r="N107" s="21">
        <v>6.8591516828031365</v>
      </c>
      <c r="O107" s="21">
        <v>4.5727677885354243</v>
      </c>
      <c r="P107" s="21">
        <v>6.8591516828031365</v>
      </c>
      <c r="Q107" s="21" t="s">
        <v>547</v>
      </c>
      <c r="S107" t="s">
        <v>547</v>
      </c>
    </row>
    <row r="108" spans="1:19" x14ac:dyDescent="0.2">
      <c r="A108">
        <v>107</v>
      </c>
      <c r="B108" t="s">
        <v>92</v>
      </c>
      <c r="C108" t="s">
        <v>326</v>
      </c>
      <c r="D108" t="s">
        <v>0</v>
      </c>
      <c r="E108" t="s">
        <v>9</v>
      </c>
      <c r="F108" t="s">
        <v>12</v>
      </c>
      <c r="G108">
        <v>23</v>
      </c>
      <c r="H108">
        <v>28</v>
      </c>
      <c r="I108">
        <v>11.1</v>
      </c>
      <c r="J108">
        <v>5.51</v>
      </c>
      <c r="K108">
        <v>1.1100000000000001</v>
      </c>
      <c r="N108" s="21">
        <v>3.4929691101890277</v>
      </c>
      <c r="O108" s="21">
        <v>4.691101890272015</v>
      </c>
      <c r="P108" s="21" t="s">
        <v>547</v>
      </c>
      <c r="Q108" s="21">
        <v>3.4929691101890277</v>
      </c>
      <c r="R108" t="s">
        <v>54</v>
      </c>
      <c r="S108" t="s">
        <v>547</v>
      </c>
    </row>
    <row r="109" spans="1:19" x14ac:dyDescent="0.2">
      <c r="A109">
        <v>108</v>
      </c>
      <c r="B109" t="s">
        <v>92</v>
      </c>
      <c r="C109" t="s">
        <v>326</v>
      </c>
      <c r="D109" t="s">
        <v>0</v>
      </c>
      <c r="E109" t="s">
        <v>9</v>
      </c>
      <c r="F109" t="s">
        <v>14</v>
      </c>
      <c r="G109">
        <v>16</v>
      </c>
      <c r="H109">
        <v>16</v>
      </c>
      <c r="I109">
        <v>3.64</v>
      </c>
      <c r="J109">
        <v>3.74</v>
      </c>
      <c r="K109">
        <v>1.1100000000000001</v>
      </c>
      <c r="N109" s="21">
        <v>2.3709082526509917</v>
      </c>
      <c r="O109" s="21">
        <v>1.538343322575688</v>
      </c>
      <c r="P109" s="21" t="s">
        <v>547</v>
      </c>
      <c r="Q109" s="21">
        <v>2.3709082526509917</v>
      </c>
      <c r="S109" t="s">
        <v>547</v>
      </c>
    </row>
    <row r="110" spans="1:19" x14ac:dyDescent="0.2">
      <c r="A110">
        <v>109</v>
      </c>
      <c r="B110" t="s">
        <v>93</v>
      </c>
      <c r="C110" t="s">
        <v>421</v>
      </c>
      <c r="D110" t="s">
        <v>0</v>
      </c>
      <c r="E110" t="s">
        <v>9</v>
      </c>
      <c r="F110" t="s">
        <v>10</v>
      </c>
      <c r="G110">
        <v>30</v>
      </c>
      <c r="H110">
        <v>29</v>
      </c>
      <c r="I110">
        <v>5.0999999999999996</v>
      </c>
      <c r="J110">
        <v>5.49</v>
      </c>
      <c r="K110">
        <v>0.96</v>
      </c>
      <c r="N110" s="21">
        <v>4.0569841269841271</v>
      </c>
      <c r="O110" s="21">
        <v>2.5125220458553787</v>
      </c>
      <c r="P110" s="21">
        <v>4.0569841269841271</v>
      </c>
      <c r="Q110" s="21" t="s">
        <v>547</v>
      </c>
      <c r="R110" t="s">
        <v>54</v>
      </c>
      <c r="S110" t="s">
        <v>547</v>
      </c>
    </row>
    <row r="111" spans="1:19" x14ac:dyDescent="0.2">
      <c r="A111">
        <v>110</v>
      </c>
      <c r="B111" t="s">
        <v>93</v>
      </c>
      <c r="C111" t="s">
        <v>421</v>
      </c>
      <c r="D111" t="s">
        <v>0</v>
      </c>
      <c r="E111" t="s">
        <v>9</v>
      </c>
      <c r="F111" t="s">
        <v>11</v>
      </c>
      <c r="G111">
        <v>36</v>
      </c>
      <c r="H111">
        <v>50</v>
      </c>
      <c r="I111">
        <v>11.09</v>
      </c>
      <c r="J111">
        <v>9.2100000000000009</v>
      </c>
      <c r="K111">
        <v>0.96</v>
      </c>
      <c r="N111" s="21">
        <v>6.8059788359788369</v>
      </c>
      <c r="O111" s="21">
        <v>5.4635038212815985</v>
      </c>
      <c r="P111" s="21">
        <v>6.8059788359788369</v>
      </c>
      <c r="Q111" s="21" t="s">
        <v>547</v>
      </c>
      <c r="S111" t="s">
        <v>547</v>
      </c>
    </row>
    <row r="112" spans="1:19" x14ac:dyDescent="0.2">
      <c r="A112">
        <v>111</v>
      </c>
      <c r="B112" t="s">
        <v>93</v>
      </c>
      <c r="C112" t="s">
        <v>421</v>
      </c>
      <c r="D112" t="s">
        <v>0</v>
      </c>
      <c r="E112" t="s">
        <v>9</v>
      </c>
      <c r="F112" t="s">
        <v>12</v>
      </c>
      <c r="G112">
        <v>32</v>
      </c>
      <c r="H112">
        <v>33</v>
      </c>
      <c r="I112">
        <v>7.15</v>
      </c>
      <c r="J112">
        <v>5.98</v>
      </c>
      <c r="K112">
        <v>0.63</v>
      </c>
      <c r="L112">
        <v>0.41899999999999998</v>
      </c>
      <c r="M112">
        <v>9.7000000000000003E-2</v>
      </c>
      <c r="N112" s="21">
        <v>4.4190828924162258</v>
      </c>
      <c r="O112" s="21">
        <v>3.5224573780129331</v>
      </c>
      <c r="P112" s="21" t="s">
        <v>547</v>
      </c>
      <c r="Q112" s="21">
        <v>4.4190828924162258</v>
      </c>
      <c r="S112" t="s">
        <v>547</v>
      </c>
    </row>
    <row r="113" spans="1:19" x14ac:dyDescent="0.2">
      <c r="A113">
        <v>112</v>
      </c>
      <c r="B113" t="s">
        <v>93</v>
      </c>
      <c r="C113" t="s">
        <v>421</v>
      </c>
      <c r="D113" t="s">
        <v>0</v>
      </c>
      <c r="E113" t="s">
        <v>9</v>
      </c>
      <c r="F113" t="s">
        <v>14</v>
      </c>
      <c r="G113">
        <v>32</v>
      </c>
      <c r="H113">
        <v>31</v>
      </c>
      <c r="I113">
        <v>6.9</v>
      </c>
      <c r="J113">
        <v>5.62</v>
      </c>
      <c r="K113">
        <v>0.63</v>
      </c>
      <c r="L113">
        <v>0.41899999999999998</v>
      </c>
      <c r="M113">
        <v>9.7000000000000003E-2</v>
      </c>
      <c r="N113" s="21">
        <v>4.1530511463844801</v>
      </c>
      <c r="O113" s="21">
        <v>3.3992945326278656</v>
      </c>
      <c r="P113" s="21" t="s">
        <v>547</v>
      </c>
      <c r="Q113" s="21">
        <v>4.1530511463844801</v>
      </c>
      <c r="S113" t="s">
        <v>547</v>
      </c>
    </row>
    <row r="114" spans="1:19" x14ac:dyDescent="0.2">
      <c r="A114">
        <v>113</v>
      </c>
      <c r="B114" t="s">
        <v>94</v>
      </c>
      <c r="C114" t="s">
        <v>94</v>
      </c>
      <c r="D114" t="s">
        <v>0</v>
      </c>
      <c r="E114" t="s">
        <v>9</v>
      </c>
      <c r="F114" t="s">
        <v>10</v>
      </c>
      <c r="G114">
        <v>40</v>
      </c>
      <c r="H114">
        <v>40</v>
      </c>
      <c r="I114">
        <v>4.84</v>
      </c>
      <c r="J114">
        <v>4.87</v>
      </c>
      <c r="K114">
        <v>0.75</v>
      </c>
      <c r="L114">
        <v>0.58099999999999996</v>
      </c>
      <c r="M114">
        <v>0.128</v>
      </c>
      <c r="N114" s="21">
        <v>4.1918074074074072</v>
      </c>
      <c r="O114" s="21">
        <v>2.777323456790123</v>
      </c>
      <c r="P114" s="21">
        <v>4.1918074074074072</v>
      </c>
      <c r="Q114" s="21" t="s">
        <v>547</v>
      </c>
      <c r="S114" t="s">
        <v>547</v>
      </c>
    </row>
    <row r="115" spans="1:19" x14ac:dyDescent="0.2">
      <c r="A115">
        <v>114</v>
      </c>
      <c r="B115" t="s">
        <v>94</v>
      </c>
      <c r="C115" t="s">
        <v>94</v>
      </c>
      <c r="D115" t="s">
        <v>0</v>
      </c>
      <c r="E115" t="s">
        <v>9</v>
      </c>
      <c r="F115" t="s">
        <v>11</v>
      </c>
      <c r="G115">
        <v>38</v>
      </c>
      <c r="H115">
        <v>41</v>
      </c>
      <c r="I115">
        <v>6.93</v>
      </c>
      <c r="J115">
        <v>6.4</v>
      </c>
      <c r="K115">
        <v>0.75</v>
      </c>
      <c r="L115">
        <v>0.58099999999999996</v>
      </c>
      <c r="M115">
        <v>0.128</v>
      </c>
      <c r="N115" s="21">
        <v>5.5087407407407412</v>
      </c>
      <c r="O115" s="21">
        <v>3.9766222222222218</v>
      </c>
      <c r="P115" s="21">
        <v>5.5087407407407412</v>
      </c>
      <c r="Q115" s="21" t="s">
        <v>547</v>
      </c>
      <c r="S115" t="s">
        <v>547</v>
      </c>
    </row>
    <row r="116" spans="1:19" x14ac:dyDescent="0.2">
      <c r="A116">
        <v>115</v>
      </c>
      <c r="B116" t="s">
        <v>94</v>
      </c>
      <c r="C116" t="s">
        <v>94</v>
      </c>
      <c r="D116" t="s">
        <v>0</v>
      </c>
      <c r="E116" t="s">
        <v>9</v>
      </c>
      <c r="F116" t="s">
        <v>12</v>
      </c>
      <c r="G116">
        <v>57</v>
      </c>
      <c r="H116">
        <v>57</v>
      </c>
      <c r="I116">
        <v>3.53</v>
      </c>
      <c r="J116">
        <v>3.33</v>
      </c>
      <c r="K116">
        <v>0.57999999999999996</v>
      </c>
      <c r="L116">
        <v>0.32800000000000001</v>
      </c>
      <c r="M116">
        <v>6.5000000000000002E-2</v>
      </c>
      <c r="N116" s="21">
        <v>2.0924137931034488</v>
      </c>
      <c r="O116" s="21">
        <v>1.4787228607918266</v>
      </c>
      <c r="P116" s="21" t="s">
        <v>547</v>
      </c>
      <c r="Q116" s="21">
        <v>2.0924137931034488</v>
      </c>
      <c r="S116" t="s">
        <v>547</v>
      </c>
    </row>
    <row r="117" spans="1:19" x14ac:dyDescent="0.2">
      <c r="A117">
        <v>116</v>
      </c>
      <c r="B117" t="s">
        <v>94</v>
      </c>
      <c r="C117" t="s">
        <v>94</v>
      </c>
      <c r="D117" t="s">
        <v>0</v>
      </c>
      <c r="E117" t="s">
        <v>9</v>
      </c>
      <c r="F117" t="s">
        <v>14</v>
      </c>
      <c r="G117">
        <v>45</v>
      </c>
      <c r="H117">
        <v>45</v>
      </c>
      <c r="I117">
        <v>3.83</v>
      </c>
      <c r="J117">
        <v>3.05</v>
      </c>
      <c r="K117">
        <v>0.57999999999999996</v>
      </c>
      <c r="L117">
        <v>0.32800000000000001</v>
      </c>
      <c r="M117">
        <v>6.5000000000000002E-2</v>
      </c>
      <c r="N117" s="21">
        <v>1.9164750957854406</v>
      </c>
      <c r="O117" s="21">
        <v>1.6043933588761179</v>
      </c>
      <c r="P117" s="21" t="s">
        <v>547</v>
      </c>
      <c r="Q117" s="21">
        <v>1.9164750957854406</v>
      </c>
      <c r="S117" t="s">
        <v>547</v>
      </c>
    </row>
    <row r="118" spans="1:19" x14ac:dyDescent="0.2">
      <c r="A118">
        <v>117</v>
      </c>
      <c r="B118" t="s">
        <v>95</v>
      </c>
      <c r="C118" t="s">
        <v>327</v>
      </c>
      <c r="D118" t="s">
        <v>0</v>
      </c>
      <c r="E118" t="s">
        <v>9</v>
      </c>
      <c r="F118" t="s">
        <v>10</v>
      </c>
      <c r="G118">
        <v>23</v>
      </c>
      <c r="H118">
        <v>21</v>
      </c>
      <c r="I118">
        <v>8.98</v>
      </c>
      <c r="J118">
        <v>4.7300000000000004</v>
      </c>
      <c r="K118">
        <v>1.1399999999999999</v>
      </c>
      <c r="L118">
        <v>0.65800000000000003</v>
      </c>
      <c r="M118">
        <v>0.16800000000000001</v>
      </c>
      <c r="N118" s="21">
        <v>3.0334697855750496</v>
      </c>
      <c r="O118" s="21">
        <v>3.8394022092267712</v>
      </c>
      <c r="P118" s="21">
        <v>3.0334697855750496</v>
      </c>
      <c r="Q118" s="21" t="s">
        <v>547</v>
      </c>
      <c r="S118" t="s">
        <v>547</v>
      </c>
    </row>
    <row r="119" spans="1:19" x14ac:dyDescent="0.2">
      <c r="A119">
        <v>118</v>
      </c>
      <c r="B119" t="s">
        <v>95</v>
      </c>
      <c r="C119" t="s">
        <v>327</v>
      </c>
      <c r="D119" t="s">
        <v>0</v>
      </c>
      <c r="E119" t="s">
        <v>9</v>
      </c>
      <c r="F119" t="s">
        <v>11</v>
      </c>
      <c r="G119">
        <v>26</v>
      </c>
      <c r="H119">
        <v>27</v>
      </c>
      <c r="I119">
        <v>7.81</v>
      </c>
      <c r="J119">
        <v>3.71</v>
      </c>
      <c r="K119">
        <v>1.1399999999999999</v>
      </c>
      <c r="L119">
        <v>0.65800000000000003</v>
      </c>
      <c r="M119">
        <v>0.16800000000000001</v>
      </c>
      <c r="N119" s="21">
        <v>2.3793177387914239</v>
      </c>
      <c r="O119" s="21">
        <v>3.3391682910981157</v>
      </c>
      <c r="P119" s="21">
        <v>2.3793177387914239</v>
      </c>
      <c r="Q119" s="21" t="s">
        <v>547</v>
      </c>
      <c r="S119" t="s">
        <v>547</v>
      </c>
    </row>
    <row r="120" spans="1:19" x14ac:dyDescent="0.2">
      <c r="A120">
        <v>119</v>
      </c>
      <c r="B120" t="s">
        <v>95</v>
      </c>
      <c r="C120" t="s">
        <v>327</v>
      </c>
      <c r="D120" t="s">
        <v>0</v>
      </c>
      <c r="E120" t="s">
        <v>9</v>
      </c>
      <c r="F120" t="s">
        <v>12</v>
      </c>
      <c r="G120">
        <v>21</v>
      </c>
      <c r="H120">
        <v>21</v>
      </c>
      <c r="I120">
        <v>6.17</v>
      </c>
      <c r="J120">
        <v>3.05</v>
      </c>
      <c r="K120">
        <v>0.53</v>
      </c>
      <c r="L120">
        <v>0.48699999999999999</v>
      </c>
      <c r="M120">
        <v>9.1999999999999998E-2</v>
      </c>
      <c r="N120" s="21">
        <v>3.1139412997903562</v>
      </c>
      <c r="O120" s="21">
        <v>4.1995667365478688</v>
      </c>
      <c r="P120" s="21" t="s">
        <v>547</v>
      </c>
      <c r="Q120" s="21">
        <v>3.1139412997903562</v>
      </c>
      <c r="S120" t="s">
        <v>547</v>
      </c>
    </row>
    <row r="121" spans="1:19" x14ac:dyDescent="0.2">
      <c r="A121">
        <v>120</v>
      </c>
      <c r="B121" t="s">
        <v>95</v>
      </c>
      <c r="C121" t="s">
        <v>327</v>
      </c>
      <c r="D121" t="s">
        <v>0</v>
      </c>
      <c r="E121" t="s">
        <v>9</v>
      </c>
      <c r="F121" t="s">
        <v>14</v>
      </c>
      <c r="G121">
        <v>37</v>
      </c>
      <c r="H121">
        <v>29</v>
      </c>
      <c r="I121">
        <v>8.1</v>
      </c>
      <c r="J121">
        <v>3.37</v>
      </c>
      <c r="K121">
        <v>0.53</v>
      </c>
      <c r="L121">
        <v>0.48699999999999999</v>
      </c>
      <c r="M121">
        <v>9.1999999999999998E-2</v>
      </c>
      <c r="N121" s="21">
        <v>3.4406498951781974</v>
      </c>
      <c r="O121" s="21">
        <v>5.5132075471698103</v>
      </c>
      <c r="P121" s="21" t="s">
        <v>547</v>
      </c>
      <c r="Q121" s="21">
        <v>3.4406498951781974</v>
      </c>
      <c r="S121" t="s">
        <v>547</v>
      </c>
    </row>
    <row r="122" spans="1:19" x14ac:dyDescent="0.2">
      <c r="A122">
        <v>121</v>
      </c>
      <c r="B122" t="s">
        <v>96</v>
      </c>
      <c r="C122" t="s">
        <v>96</v>
      </c>
      <c r="D122" t="s">
        <v>0</v>
      </c>
      <c r="E122" t="s">
        <v>9</v>
      </c>
      <c r="F122" t="s">
        <v>10</v>
      </c>
      <c r="G122">
        <v>36</v>
      </c>
      <c r="H122">
        <v>35</v>
      </c>
      <c r="I122">
        <v>13.79</v>
      </c>
      <c r="J122">
        <v>7.01</v>
      </c>
      <c r="K122">
        <v>1.44</v>
      </c>
      <c r="L122">
        <v>0.77300000000000002</v>
      </c>
      <c r="M122">
        <v>0.16700000000000001</v>
      </c>
      <c r="N122" s="21">
        <v>4.1811188271604935</v>
      </c>
      <c r="O122" s="21">
        <v>5.4833693415637859</v>
      </c>
      <c r="P122" s="21">
        <v>4.1811188271604935</v>
      </c>
      <c r="Q122" s="21" t="s">
        <v>547</v>
      </c>
      <c r="S122" t="s">
        <v>547</v>
      </c>
    </row>
    <row r="123" spans="1:19" x14ac:dyDescent="0.2">
      <c r="A123">
        <v>122</v>
      </c>
      <c r="B123" t="s">
        <v>96</v>
      </c>
      <c r="C123" t="s">
        <v>96</v>
      </c>
      <c r="D123" t="s">
        <v>0</v>
      </c>
      <c r="E123" t="s">
        <v>9</v>
      </c>
      <c r="F123" t="s">
        <v>11</v>
      </c>
      <c r="G123">
        <v>55</v>
      </c>
      <c r="H123">
        <v>48</v>
      </c>
      <c r="I123">
        <v>13.29</v>
      </c>
      <c r="J123">
        <v>16.8</v>
      </c>
      <c r="K123">
        <v>1.44</v>
      </c>
      <c r="L123">
        <v>0.77300000000000002</v>
      </c>
      <c r="M123">
        <v>0.16700000000000001</v>
      </c>
      <c r="N123" s="21">
        <v>10.020370370370371</v>
      </c>
      <c r="O123" s="21">
        <v>5.2845524691358019</v>
      </c>
      <c r="P123" s="21">
        <v>10.020370370370371</v>
      </c>
      <c r="Q123" s="21" t="s">
        <v>547</v>
      </c>
      <c r="S123" t="s">
        <v>547</v>
      </c>
    </row>
    <row r="124" spans="1:19" x14ac:dyDescent="0.2">
      <c r="A124">
        <v>123</v>
      </c>
      <c r="B124" t="s">
        <v>96</v>
      </c>
      <c r="C124" t="s">
        <v>96</v>
      </c>
      <c r="D124" t="s">
        <v>0</v>
      </c>
      <c r="E124" t="s">
        <v>9</v>
      </c>
      <c r="F124" t="s">
        <v>12</v>
      </c>
      <c r="G124">
        <v>35</v>
      </c>
      <c r="H124">
        <v>35</v>
      </c>
      <c r="I124">
        <v>13.3</v>
      </c>
      <c r="J124">
        <v>6.44</v>
      </c>
      <c r="K124">
        <v>0.61</v>
      </c>
      <c r="L124">
        <v>0.184</v>
      </c>
      <c r="M124">
        <v>6.7000000000000004E-2</v>
      </c>
      <c r="N124" s="21">
        <v>2.1583970856102006</v>
      </c>
      <c r="O124" s="21">
        <v>2.9717061323618701</v>
      </c>
      <c r="P124" s="21" t="s">
        <v>547</v>
      </c>
      <c r="Q124" s="21">
        <v>2.1583970856102006</v>
      </c>
      <c r="S124" t="s">
        <v>547</v>
      </c>
    </row>
    <row r="125" spans="1:19" x14ac:dyDescent="0.2">
      <c r="A125">
        <v>124</v>
      </c>
      <c r="B125" t="s">
        <v>96</v>
      </c>
      <c r="C125" t="s">
        <v>96</v>
      </c>
      <c r="D125" t="s">
        <v>0</v>
      </c>
      <c r="E125" t="s">
        <v>9</v>
      </c>
      <c r="F125" t="s">
        <v>14</v>
      </c>
      <c r="G125">
        <v>55</v>
      </c>
      <c r="H125">
        <v>26</v>
      </c>
      <c r="I125">
        <v>11.23</v>
      </c>
      <c r="J125">
        <v>2.68</v>
      </c>
      <c r="K125">
        <v>0.61</v>
      </c>
      <c r="L125">
        <v>0.184</v>
      </c>
      <c r="M125">
        <v>6.7000000000000004E-2</v>
      </c>
      <c r="N125" s="21">
        <v>0.89821493624772331</v>
      </c>
      <c r="O125" s="21">
        <v>2.5091924711596842</v>
      </c>
      <c r="P125" s="21" t="s">
        <v>547</v>
      </c>
      <c r="Q125" s="21">
        <v>0.89821493624772331</v>
      </c>
      <c r="S125" t="s">
        <v>547</v>
      </c>
    </row>
    <row r="126" spans="1:19" x14ac:dyDescent="0.2">
      <c r="A126">
        <v>125</v>
      </c>
      <c r="B126" t="s">
        <v>97</v>
      </c>
      <c r="C126" t="s">
        <v>328</v>
      </c>
      <c r="D126" t="s">
        <v>0</v>
      </c>
      <c r="E126" t="s">
        <v>9</v>
      </c>
      <c r="F126" t="s">
        <v>10</v>
      </c>
      <c r="G126">
        <v>28</v>
      </c>
      <c r="H126">
        <v>32</v>
      </c>
      <c r="I126">
        <v>7.12</v>
      </c>
      <c r="J126">
        <v>7</v>
      </c>
      <c r="K126">
        <v>1.07</v>
      </c>
      <c r="N126" s="21">
        <v>3.6759259259259265</v>
      </c>
      <c r="O126" s="21">
        <v>2.4926278659611993</v>
      </c>
      <c r="P126" s="21">
        <v>3.6759259259259265</v>
      </c>
      <c r="Q126" s="21" t="s">
        <v>547</v>
      </c>
      <c r="R126" t="s">
        <v>54</v>
      </c>
      <c r="S126" t="s">
        <v>547</v>
      </c>
    </row>
    <row r="127" spans="1:19" x14ac:dyDescent="0.2">
      <c r="A127">
        <v>126</v>
      </c>
      <c r="B127" t="s">
        <v>97</v>
      </c>
      <c r="C127" t="s">
        <v>328</v>
      </c>
      <c r="D127" t="s">
        <v>0</v>
      </c>
      <c r="E127" t="s">
        <v>9</v>
      </c>
      <c r="F127" t="s">
        <v>11</v>
      </c>
      <c r="G127">
        <v>32</v>
      </c>
      <c r="H127">
        <v>29</v>
      </c>
      <c r="I127">
        <v>4.97</v>
      </c>
      <c r="J127">
        <v>5.44</v>
      </c>
      <c r="K127">
        <v>1.07</v>
      </c>
      <c r="N127" s="21">
        <v>2.8567195767195774</v>
      </c>
      <c r="O127" s="21">
        <v>1.7399382716049383</v>
      </c>
      <c r="P127" s="21">
        <v>2.8567195767195774</v>
      </c>
      <c r="Q127" s="21" t="s">
        <v>547</v>
      </c>
      <c r="S127" t="s">
        <v>547</v>
      </c>
    </row>
    <row r="128" spans="1:19" x14ac:dyDescent="0.2">
      <c r="A128">
        <v>127</v>
      </c>
      <c r="B128" t="s">
        <v>97</v>
      </c>
      <c r="C128" t="s">
        <v>328</v>
      </c>
      <c r="D128" t="s">
        <v>0</v>
      </c>
      <c r="E128" t="s">
        <v>9</v>
      </c>
      <c r="F128" t="s">
        <v>12</v>
      </c>
      <c r="G128">
        <v>37</v>
      </c>
      <c r="H128">
        <v>37</v>
      </c>
      <c r="I128">
        <v>6.25</v>
      </c>
      <c r="J128">
        <v>6.14</v>
      </c>
      <c r="K128">
        <v>0.84</v>
      </c>
      <c r="L128">
        <v>0.39700000000000002</v>
      </c>
      <c r="M128">
        <v>9.2999999999999999E-2</v>
      </c>
      <c r="N128" s="21">
        <v>3.2243121693121695</v>
      </c>
      <c r="O128" s="21">
        <v>2.1880511463844798</v>
      </c>
      <c r="P128" s="21" t="s">
        <v>547</v>
      </c>
      <c r="Q128" s="21">
        <v>3.2243121693121695</v>
      </c>
      <c r="S128" t="s">
        <v>547</v>
      </c>
    </row>
    <row r="129" spans="1:19" x14ac:dyDescent="0.2">
      <c r="A129">
        <v>128</v>
      </c>
      <c r="B129" t="s">
        <v>97</v>
      </c>
      <c r="C129" t="s">
        <v>328</v>
      </c>
      <c r="D129" t="s">
        <v>0</v>
      </c>
      <c r="E129" t="s">
        <v>9</v>
      </c>
      <c r="F129" t="s">
        <v>14</v>
      </c>
      <c r="G129">
        <v>30</v>
      </c>
      <c r="H129">
        <v>30</v>
      </c>
      <c r="I129">
        <v>8.24</v>
      </c>
      <c r="J129">
        <v>6.07</v>
      </c>
      <c r="K129">
        <v>0.84</v>
      </c>
      <c r="L129">
        <v>0.39700000000000002</v>
      </c>
      <c r="M129">
        <v>9.2999999999999999E-2</v>
      </c>
      <c r="N129" s="21">
        <v>3.187552910052911</v>
      </c>
      <c r="O129" s="21">
        <v>2.8847266313932978</v>
      </c>
      <c r="P129" s="21" t="s">
        <v>547</v>
      </c>
      <c r="Q129" s="21">
        <v>3.187552910052911</v>
      </c>
      <c r="S129" t="s">
        <v>547</v>
      </c>
    </row>
    <row r="130" spans="1:19" x14ac:dyDescent="0.2">
      <c r="A130">
        <v>129</v>
      </c>
      <c r="B130" t="s">
        <v>98</v>
      </c>
      <c r="C130" t="s">
        <v>329</v>
      </c>
      <c r="D130" t="s">
        <v>0</v>
      </c>
      <c r="E130" t="s">
        <v>9</v>
      </c>
      <c r="F130" t="s">
        <v>10</v>
      </c>
      <c r="G130">
        <v>49</v>
      </c>
      <c r="H130">
        <v>45</v>
      </c>
      <c r="I130">
        <v>13.75</v>
      </c>
      <c r="J130">
        <v>7.39</v>
      </c>
      <c r="K130">
        <v>1.22</v>
      </c>
      <c r="L130">
        <v>0.76200000000000001</v>
      </c>
      <c r="M130">
        <v>8.2000000000000003E-2</v>
      </c>
      <c r="N130" s="21">
        <v>5.128579234972678</v>
      </c>
      <c r="O130" s="21">
        <v>6.3615664845173034</v>
      </c>
      <c r="P130" s="21">
        <v>5.128579234972678</v>
      </c>
      <c r="Q130" s="21" t="s">
        <v>547</v>
      </c>
      <c r="S130" t="s">
        <v>547</v>
      </c>
    </row>
    <row r="131" spans="1:19" x14ac:dyDescent="0.2">
      <c r="A131">
        <v>130</v>
      </c>
      <c r="B131" t="s">
        <v>98</v>
      </c>
      <c r="C131" t="s">
        <v>329</v>
      </c>
      <c r="D131" t="s">
        <v>0</v>
      </c>
      <c r="E131" t="s">
        <v>9</v>
      </c>
      <c r="F131" t="s">
        <v>11</v>
      </c>
      <c r="G131">
        <v>48</v>
      </c>
      <c r="H131">
        <v>44</v>
      </c>
      <c r="I131">
        <v>11.71</v>
      </c>
      <c r="J131">
        <v>6.93</v>
      </c>
      <c r="K131">
        <v>1.22</v>
      </c>
      <c r="L131">
        <v>0.76200000000000001</v>
      </c>
      <c r="M131">
        <v>8.2000000000000003E-2</v>
      </c>
      <c r="N131" s="21">
        <v>4.8093442622950819</v>
      </c>
      <c r="O131" s="21">
        <v>5.4177413479052827</v>
      </c>
      <c r="P131" s="21">
        <v>4.8093442622950819</v>
      </c>
      <c r="Q131" s="21" t="s">
        <v>547</v>
      </c>
      <c r="S131" t="s">
        <v>547</v>
      </c>
    </row>
    <row r="132" spans="1:19" x14ac:dyDescent="0.2">
      <c r="A132">
        <v>131</v>
      </c>
      <c r="B132" t="s">
        <v>98</v>
      </c>
      <c r="C132" t="s">
        <v>329</v>
      </c>
      <c r="D132" t="s">
        <v>0</v>
      </c>
      <c r="E132" t="s">
        <v>9</v>
      </c>
      <c r="F132" t="s">
        <v>12</v>
      </c>
      <c r="G132">
        <v>40</v>
      </c>
      <c r="H132">
        <v>41</v>
      </c>
      <c r="I132">
        <v>5.14</v>
      </c>
      <c r="J132">
        <v>6.86</v>
      </c>
      <c r="K132">
        <v>0.54</v>
      </c>
      <c r="L132">
        <v>0.33600000000000002</v>
      </c>
      <c r="M132">
        <v>7.1999999999999995E-2</v>
      </c>
      <c r="N132" s="21">
        <v>4.7427160493827163</v>
      </c>
      <c r="O132" s="21">
        <v>2.3690534979423865</v>
      </c>
      <c r="P132" s="21" t="s">
        <v>547</v>
      </c>
      <c r="Q132" s="21">
        <v>4.7427160493827163</v>
      </c>
      <c r="S132" t="s">
        <v>547</v>
      </c>
    </row>
    <row r="133" spans="1:19" x14ac:dyDescent="0.2">
      <c r="A133">
        <v>132</v>
      </c>
      <c r="B133" t="s">
        <v>98</v>
      </c>
      <c r="C133" t="s">
        <v>329</v>
      </c>
      <c r="D133" t="s">
        <v>0</v>
      </c>
      <c r="E133" t="s">
        <v>9</v>
      </c>
      <c r="F133" t="s">
        <v>14</v>
      </c>
      <c r="G133">
        <v>34</v>
      </c>
      <c r="H133">
        <v>34</v>
      </c>
      <c r="I133">
        <v>3.66</v>
      </c>
      <c r="J133">
        <v>2.65</v>
      </c>
      <c r="K133">
        <v>0.54</v>
      </c>
      <c r="L133">
        <v>0.33600000000000002</v>
      </c>
      <c r="M133">
        <v>7.1999999999999995E-2</v>
      </c>
      <c r="N133" s="21">
        <v>1.8320987654320988</v>
      </c>
      <c r="O133" s="21">
        <v>1.6869135802469135</v>
      </c>
      <c r="P133" s="21" t="s">
        <v>547</v>
      </c>
      <c r="Q133" s="21">
        <v>1.8320987654320988</v>
      </c>
      <c r="S133" t="s">
        <v>547</v>
      </c>
    </row>
    <row r="134" spans="1:19" x14ac:dyDescent="0.2">
      <c r="A134">
        <v>133</v>
      </c>
      <c r="B134" t="s">
        <v>99</v>
      </c>
      <c r="C134" t="s">
        <v>330</v>
      </c>
      <c r="D134" t="s">
        <v>0</v>
      </c>
      <c r="E134" t="s">
        <v>9</v>
      </c>
      <c r="F134" t="s">
        <v>10</v>
      </c>
      <c r="G134">
        <v>40</v>
      </c>
      <c r="H134">
        <v>45</v>
      </c>
      <c r="I134">
        <v>13.29</v>
      </c>
      <c r="J134">
        <v>9.99</v>
      </c>
      <c r="K134">
        <v>1.07</v>
      </c>
      <c r="L134">
        <v>0.56499999999999995</v>
      </c>
      <c r="M134">
        <v>0.111</v>
      </c>
      <c r="N134" s="21">
        <v>5.8612149532710278</v>
      </c>
      <c r="O134" s="21">
        <v>5.1982346832814121</v>
      </c>
      <c r="P134" s="21">
        <v>5.8612149532710278</v>
      </c>
      <c r="Q134" s="21" t="s">
        <v>547</v>
      </c>
      <c r="S134" t="s">
        <v>547</v>
      </c>
    </row>
    <row r="135" spans="1:19" x14ac:dyDescent="0.2">
      <c r="A135">
        <v>134</v>
      </c>
      <c r="B135" t="s">
        <v>99</v>
      </c>
      <c r="C135" t="s">
        <v>330</v>
      </c>
      <c r="D135" t="s">
        <v>0</v>
      </c>
      <c r="E135" t="s">
        <v>9</v>
      </c>
      <c r="F135" t="s">
        <v>11</v>
      </c>
      <c r="G135">
        <v>38</v>
      </c>
      <c r="H135">
        <v>38</v>
      </c>
      <c r="I135">
        <v>10.07</v>
      </c>
      <c r="J135">
        <v>7.09</v>
      </c>
      <c r="K135">
        <v>1.07</v>
      </c>
      <c r="L135">
        <v>0.56499999999999995</v>
      </c>
      <c r="M135">
        <v>0.111</v>
      </c>
      <c r="N135" s="21">
        <v>4.1597611630321909</v>
      </c>
      <c r="O135" s="21">
        <v>3.9387677397023193</v>
      </c>
      <c r="P135" s="21">
        <v>4.1597611630321909</v>
      </c>
      <c r="Q135" s="21" t="s">
        <v>547</v>
      </c>
      <c r="S135" t="s">
        <v>547</v>
      </c>
    </row>
    <row r="136" spans="1:19" x14ac:dyDescent="0.2">
      <c r="A136">
        <v>135</v>
      </c>
      <c r="B136" t="s">
        <v>99</v>
      </c>
      <c r="C136" t="s">
        <v>330</v>
      </c>
      <c r="D136" t="s">
        <v>0</v>
      </c>
      <c r="E136" t="s">
        <v>9</v>
      </c>
      <c r="F136" t="s">
        <v>12</v>
      </c>
      <c r="G136">
        <v>35</v>
      </c>
      <c r="H136">
        <v>36</v>
      </c>
      <c r="I136">
        <v>8.9700000000000006</v>
      </c>
      <c r="J136">
        <v>6.02</v>
      </c>
      <c r="K136">
        <v>0.97</v>
      </c>
      <c r="L136">
        <v>0.42199999999999999</v>
      </c>
      <c r="M136">
        <v>7.4999999999999997E-2</v>
      </c>
      <c r="N136" s="21">
        <v>2.9100114547537226</v>
      </c>
      <c r="O136" s="21">
        <v>2.8906758304696449</v>
      </c>
      <c r="P136" s="21" t="s">
        <v>547</v>
      </c>
      <c r="Q136" s="21">
        <v>2.9100114547537226</v>
      </c>
      <c r="S136" t="s">
        <v>547</v>
      </c>
    </row>
    <row r="137" spans="1:19" x14ac:dyDescent="0.2">
      <c r="A137">
        <v>136</v>
      </c>
      <c r="B137" t="s">
        <v>99</v>
      </c>
      <c r="C137" t="s">
        <v>330</v>
      </c>
      <c r="D137" t="s">
        <v>0</v>
      </c>
      <c r="E137" t="s">
        <v>9</v>
      </c>
      <c r="F137" t="s">
        <v>14</v>
      </c>
      <c r="G137">
        <v>41</v>
      </c>
      <c r="H137">
        <v>42</v>
      </c>
      <c r="I137">
        <v>9.1300000000000008</v>
      </c>
      <c r="J137">
        <v>6.79</v>
      </c>
      <c r="K137">
        <v>0.97</v>
      </c>
      <c r="L137">
        <v>0.42199999999999999</v>
      </c>
      <c r="M137">
        <v>7.4999999999999997E-2</v>
      </c>
      <c r="N137" s="21">
        <v>3.2822222222222224</v>
      </c>
      <c r="O137" s="21">
        <v>2.9422374952271859</v>
      </c>
      <c r="P137" s="21" t="s">
        <v>547</v>
      </c>
      <c r="Q137" s="21">
        <v>3.2822222222222224</v>
      </c>
      <c r="S137" t="s">
        <v>547</v>
      </c>
    </row>
    <row r="138" spans="1:19" x14ac:dyDescent="0.2">
      <c r="A138">
        <v>137</v>
      </c>
      <c r="B138" t="s">
        <v>100</v>
      </c>
      <c r="C138" t="s">
        <v>331</v>
      </c>
      <c r="D138" t="s">
        <v>0</v>
      </c>
      <c r="E138" t="s">
        <v>9</v>
      </c>
      <c r="F138" t="s">
        <v>10</v>
      </c>
      <c r="G138">
        <v>38</v>
      </c>
      <c r="H138">
        <v>41</v>
      </c>
      <c r="I138">
        <v>9.6199999999999992</v>
      </c>
      <c r="J138">
        <v>8.68</v>
      </c>
      <c r="K138">
        <v>1.25</v>
      </c>
      <c r="L138">
        <v>0.745</v>
      </c>
      <c r="M138">
        <v>0.156</v>
      </c>
      <c r="N138" s="21">
        <v>5.7480888888888879</v>
      </c>
      <c r="O138" s="21">
        <v>4.2470518518518521</v>
      </c>
      <c r="P138" s="21">
        <v>5.7480888888888879</v>
      </c>
      <c r="Q138" s="21" t="s">
        <v>547</v>
      </c>
      <c r="S138" t="s">
        <v>547</v>
      </c>
    </row>
    <row r="139" spans="1:19" x14ac:dyDescent="0.2">
      <c r="A139">
        <v>138</v>
      </c>
      <c r="B139" t="s">
        <v>100</v>
      </c>
      <c r="C139" t="s">
        <v>331</v>
      </c>
      <c r="D139" t="s">
        <v>0</v>
      </c>
      <c r="E139" t="s">
        <v>9</v>
      </c>
      <c r="F139" t="s">
        <v>11</v>
      </c>
      <c r="G139">
        <v>48</v>
      </c>
      <c r="H139">
        <v>50</v>
      </c>
      <c r="I139">
        <v>9.0500000000000007</v>
      </c>
      <c r="J139">
        <v>9.99</v>
      </c>
      <c r="K139">
        <v>1.25</v>
      </c>
      <c r="L139">
        <v>0.745</v>
      </c>
      <c r="M139">
        <v>0.156</v>
      </c>
      <c r="N139" s="21">
        <v>6.6156000000000006</v>
      </c>
      <c r="O139" s="21">
        <v>3.9954074074074075</v>
      </c>
      <c r="P139" s="21">
        <v>6.6156000000000006</v>
      </c>
      <c r="Q139" s="21" t="s">
        <v>547</v>
      </c>
      <c r="S139" t="s">
        <v>547</v>
      </c>
    </row>
    <row r="140" spans="1:19" x14ac:dyDescent="0.2">
      <c r="A140">
        <v>139</v>
      </c>
      <c r="B140" t="s">
        <v>100</v>
      </c>
      <c r="C140" t="s">
        <v>331</v>
      </c>
      <c r="D140" t="s">
        <v>0</v>
      </c>
      <c r="E140" t="s">
        <v>9</v>
      </c>
      <c r="F140" t="s">
        <v>12</v>
      </c>
      <c r="G140">
        <v>33</v>
      </c>
      <c r="H140">
        <v>36</v>
      </c>
      <c r="I140">
        <v>7.59</v>
      </c>
      <c r="J140">
        <v>5.59</v>
      </c>
      <c r="K140">
        <v>1.25</v>
      </c>
      <c r="L140">
        <v>0.745</v>
      </c>
      <c r="M140">
        <v>0.13500000000000001</v>
      </c>
      <c r="N140" s="21">
        <v>3.7018222222222219</v>
      </c>
      <c r="O140" s="21">
        <v>3.3508444444444443</v>
      </c>
      <c r="P140" s="21" t="s">
        <v>547</v>
      </c>
      <c r="Q140" s="21">
        <v>3.7018222222222219</v>
      </c>
      <c r="S140" t="s">
        <v>547</v>
      </c>
    </row>
    <row r="141" spans="1:19" x14ac:dyDescent="0.2">
      <c r="A141">
        <v>140</v>
      </c>
      <c r="B141" t="s">
        <v>100</v>
      </c>
      <c r="C141" t="s">
        <v>331</v>
      </c>
      <c r="D141" t="s">
        <v>0</v>
      </c>
      <c r="E141" t="s">
        <v>9</v>
      </c>
      <c r="F141" t="s">
        <v>14</v>
      </c>
      <c r="G141">
        <v>36</v>
      </c>
      <c r="H141">
        <v>36</v>
      </c>
      <c r="I141">
        <v>8.59</v>
      </c>
      <c r="J141">
        <v>6.44</v>
      </c>
      <c r="K141">
        <v>1.25</v>
      </c>
      <c r="L141">
        <v>0.745</v>
      </c>
      <c r="N141" s="21">
        <v>4.2647111111111116</v>
      </c>
      <c r="O141" s="21">
        <v>3.7923259259259261</v>
      </c>
      <c r="P141" s="21" t="s">
        <v>547</v>
      </c>
      <c r="Q141" s="21">
        <v>4.2647111111111116</v>
      </c>
      <c r="S141" t="s">
        <v>547</v>
      </c>
    </row>
    <row r="142" spans="1:19" x14ac:dyDescent="0.2">
      <c r="A142">
        <v>141</v>
      </c>
      <c r="B142" t="s">
        <v>101</v>
      </c>
      <c r="C142" t="s">
        <v>101</v>
      </c>
      <c r="D142" t="s">
        <v>0</v>
      </c>
      <c r="E142" t="s">
        <v>9</v>
      </c>
      <c r="F142" t="s">
        <v>10</v>
      </c>
      <c r="G142">
        <v>43</v>
      </c>
      <c r="H142">
        <v>44</v>
      </c>
      <c r="I142">
        <v>13.14</v>
      </c>
      <c r="J142">
        <v>10.24</v>
      </c>
      <c r="K142">
        <v>1.01</v>
      </c>
      <c r="N142" s="21">
        <v>6.5709862671660426</v>
      </c>
      <c r="O142" s="21">
        <v>5.6212734082397011</v>
      </c>
      <c r="P142" s="21">
        <v>6.5709862671660426</v>
      </c>
      <c r="Q142" s="21" t="s">
        <v>547</v>
      </c>
      <c r="S142" t="s">
        <v>547</v>
      </c>
    </row>
    <row r="143" spans="1:19" x14ac:dyDescent="0.2">
      <c r="A143">
        <v>142</v>
      </c>
      <c r="B143" t="s">
        <v>101</v>
      </c>
      <c r="C143" t="s">
        <v>101</v>
      </c>
      <c r="D143" t="s">
        <v>0</v>
      </c>
      <c r="E143" t="s">
        <v>9</v>
      </c>
      <c r="F143" t="s">
        <v>11</v>
      </c>
      <c r="G143">
        <v>44</v>
      </c>
      <c r="H143">
        <v>48</v>
      </c>
      <c r="I143">
        <v>15.16</v>
      </c>
      <c r="J143">
        <v>11.28</v>
      </c>
      <c r="K143">
        <v>1.01</v>
      </c>
      <c r="N143" s="21">
        <v>7.2383520599250941</v>
      </c>
      <c r="O143" s="21">
        <v>6.4854265501456521</v>
      </c>
      <c r="P143" s="21">
        <v>7.2383520599250941</v>
      </c>
      <c r="Q143" s="21" t="s">
        <v>547</v>
      </c>
      <c r="S143" t="s">
        <v>547</v>
      </c>
    </row>
    <row r="144" spans="1:19" x14ac:dyDescent="0.2">
      <c r="A144">
        <v>143</v>
      </c>
      <c r="B144" t="s">
        <v>101</v>
      </c>
      <c r="C144" t="s">
        <v>101</v>
      </c>
      <c r="D144" t="s">
        <v>0</v>
      </c>
      <c r="E144" t="s">
        <v>9</v>
      </c>
      <c r="F144" t="s">
        <v>12</v>
      </c>
      <c r="G144">
        <v>32</v>
      </c>
      <c r="H144">
        <v>32</v>
      </c>
      <c r="I144">
        <v>7.95</v>
      </c>
      <c r="J144">
        <v>5.18</v>
      </c>
      <c r="K144">
        <v>0.89</v>
      </c>
      <c r="L144">
        <v>0.51400000000000001</v>
      </c>
      <c r="M144">
        <v>0.1</v>
      </c>
      <c r="N144" s="21">
        <v>3.3239950062421975</v>
      </c>
      <c r="O144" s="21">
        <v>3.4009987515605498</v>
      </c>
      <c r="P144" s="21" t="s">
        <v>547</v>
      </c>
      <c r="Q144" s="21">
        <v>3.3239950062421975</v>
      </c>
      <c r="S144" t="s">
        <v>547</v>
      </c>
    </row>
    <row r="145" spans="1:19" x14ac:dyDescent="0.2">
      <c r="A145">
        <v>144</v>
      </c>
      <c r="B145" t="s">
        <v>101</v>
      </c>
      <c r="C145" t="s">
        <v>101</v>
      </c>
      <c r="D145" t="s">
        <v>0</v>
      </c>
      <c r="E145" t="s">
        <v>9</v>
      </c>
      <c r="F145" t="s">
        <v>14</v>
      </c>
      <c r="G145">
        <v>33</v>
      </c>
      <c r="H145">
        <v>33</v>
      </c>
      <c r="I145">
        <v>10.99</v>
      </c>
      <c r="J145">
        <v>7.17</v>
      </c>
      <c r="K145">
        <v>0.89</v>
      </c>
      <c r="N145" s="21">
        <v>4.6009737827715362</v>
      </c>
      <c r="O145" s="21">
        <v>4.7015064502704957</v>
      </c>
      <c r="P145" s="21" t="s">
        <v>547</v>
      </c>
      <c r="Q145" s="21">
        <v>4.6009737827715362</v>
      </c>
      <c r="S145" t="s">
        <v>547</v>
      </c>
    </row>
    <row r="146" spans="1:19" x14ac:dyDescent="0.2">
      <c r="A146">
        <v>145</v>
      </c>
      <c r="B146" t="s">
        <v>102</v>
      </c>
      <c r="C146" t="s">
        <v>332</v>
      </c>
      <c r="D146" t="s">
        <v>0</v>
      </c>
      <c r="E146" t="s">
        <v>9</v>
      </c>
      <c r="F146" t="s">
        <v>10</v>
      </c>
      <c r="G146">
        <v>35</v>
      </c>
      <c r="H146">
        <v>35</v>
      </c>
      <c r="I146">
        <v>6.93</v>
      </c>
      <c r="J146">
        <v>11.1</v>
      </c>
      <c r="K146">
        <v>1.03</v>
      </c>
      <c r="N146" s="21">
        <v>7.0366528354080229</v>
      </c>
      <c r="O146" s="21">
        <v>2.9287690179806365</v>
      </c>
      <c r="P146" s="21">
        <v>7.0366528354080229</v>
      </c>
      <c r="Q146" s="21" t="s">
        <v>547</v>
      </c>
      <c r="R146" t="s">
        <v>54</v>
      </c>
      <c r="S146" t="s">
        <v>547</v>
      </c>
    </row>
    <row r="147" spans="1:19" x14ac:dyDescent="0.2">
      <c r="A147">
        <v>146</v>
      </c>
      <c r="B147" t="s">
        <v>102</v>
      </c>
      <c r="C147" t="s">
        <v>332</v>
      </c>
      <c r="D147" t="s">
        <v>0</v>
      </c>
      <c r="E147" t="s">
        <v>9</v>
      </c>
      <c r="F147" t="s">
        <v>11</v>
      </c>
      <c r="G147">
        <v>27</v>
      </c>
      <c r="H147">
        <v>27</v>
      </c>
      <c r="I147">
        <v>5.8</v>
      </c>
      <c r="J147">
        <v>8.44</v>
      </c>
      <c r="K147">
        <v>1.03</v>
      </c>
      <c r="N147" s="21">
        <v>5.3503918856615957</v>
      </c>
      <c r="O147" s="21">
        <v>2.4512063931151071</v>
      </c>
      <c r="P147" s="21">
        <v>5.3503918856615957</v>
      </c>
      <c r="Q147" s="21" t="s">
        <v>547</v>
      </c>
      <c r="S147" t="s">
        <v>547</v>
      </c>
    </row>
    <row r="148" spans="1:19" x14ac:dyDescent="0.2">
      <c r="A148">
        <v>147</v>
      </c>
      <c r="B148" t="s">
        <v>102</v>
      </c>
      <c r="C148" t="s">
        <v>332</v>
      </c>
      <c r="D148" t="s">
        <v>0</v>
      </c>
      <c r="E148" t="s">
        <v>9</v>
      </c>
      <c r="F148" t="s">
        <v>12</v>
      </c>
      <c r="G148">
        <v>38</v>
      </c>
      <c r="H148">
        <v>24</v>
      </c>
      <c r="I148">
        <v>2.92</v>
      </c>
      <c r="J148">
        <v>7.43</v>
      </c>
      <c r="K148">
        <v>0.53</v>
      </c>
      <c r="N148" s="21">
        <v>4.7101198709082537</v>
      </c>
      <c r="O148" s="21">
        <v>1.2340556323958816</v>
      </c>
      <c r="P148" s="21" t="s">
        <v>547</v>
      </c>
      <c r="Q148" s="21">
        <v>4.7101198709082537</v>
      </c>
      <c r="S148" t="s">
        <v>547</v>
      </c>
    </row>
    <row r="149" spans="1:19" x14ac:dyDescent="0.2">
      <c r="A149">
        <v>148</v>
      </c>
      <c r="B149" t="s">
        <v>102</v>
      </c>
      <c r="C149" t="s">
        <v>332</v>
      </c>
      <c r="D149" t="s">
        <v>0</v>
      </c>
      <c r="E149" t="s">
        <v>9</v>
      </c>
      <c r="F149" t="s">
        <v>14</v>
      </c>
      <c r="G149">
        <v>29</v>
      </c>
      <c r="H149">
        <v>30</v>
      </c>
      <c r="I149">
        <v>4.04</v>
      </c>
      <c r="J149">
        <v>6.75</v>
      </c>
      <c r="K149">
        <v>0.53</v>
      </c>
      <c r="N149" s="21">
        <v>4.2790456431535278</v>
      </c>
      <c r="O149" s="21">
        <v>1.707392039342247</v>
      </c>
      <c r="P149" s="21" t="s">
        <v>547</v>
      </c>
      <c r="Q149" s="21">
        <v>4.2790456431535278</v>
      </c>
      <c r="S149" t="s">
        <v>547</v>
      </c>
    </row>
    <row r="150" spans="1:19" x14ac:dyDescent="0.2">
      <c r="A150">
        <v>149</v>
      </c>
      <c r="B150" t="s">
        <v>103</v>
      </c>
      <c r="C150" t="s">
        <v>417</v>
      </c>
      <c r="D150" t="s">
        <v>0</v>
      </c>
      <c r="E150" t="s">
        <v>9</v>
      </c>
      <c r="F150" t="s">
        <v>10</v>
      </c>
      <c r="G150">
        <v>37</v>
      </c>
      <c r="H150">
        <v>36</v>
      </c>
      <c r="I150">
        <v>8.0399999999999991</v>
      </c>
      <c r="J150">
        <v>4.2</v>
      </c>
      <c r="K150">
        <v>0.83</v>
      </c>
      <c r="N150" s="21">
        <v>2.662517289073306</v>
      </c>
      <c r="O150" s="21">
        <v>3.3978792070078376</v>
      </c>
      <c r="P150" s="21">
        <v>2.662517289073306</v>
      </c>
      <c r="Q150" s="21" t="s">
        <v>547</v>
      </c>
      <c r="S150" t="s">
        <v>547</v>
      </c>
    </row>
    <row r="151" spans="1:19" x14ac:dyDescent="0.2">
      <c r="A151">
        <v>150</v>
      </c>
      <c r="B151" t="s">
        <v>103</v>
      </c>
      <c r="C151" t="s">
        <v>417</v>
      </c>
      <c r="D151" t="s">
        <v>0</v>
      </c>
      <c r="E151" t="s">
        <v>9</v>
      </c>
      <c r="F151" t="s">
        <v>11</v>
      </c>
      <c r="G151">
        <v>38</v>
      </c>
      <c r="H151">
        <v>34</v>
      </c>
      <c r="I151">
        <v>3.54</v>
      </c>
      <c r="J151">
        <v>3.99</v>
      </c>
      <c r="K151">
        <v>0.83</v>
      </c>
      <c r="N151" s="21">
        <v>2.5293914246196407</v>
      </c>
      <c r="O151" s="21">
        <v>1.4960811433840482</v>
      </c>
      <c r="P151" s="21">
        <v>2.5293914246196407</v>
      </c>
      <c r="Q151" s="21" t="s">
        <v>547</v>
      </c>
      <c r="S151" t="s">
        <v>547</v>
      </c>
    </row>
    <row r="152" spans="1:19" x14ac:dyDescent="0.2">
      <c r="A152">
        <v>151</v>
      </c>
      <c r="B152" t="s">
        <v>103</v>
      </c>
      <c r="C152" t="s">
        <v>417</v>
      </c>
      <c r="D152" t="s">
        <v>0</v>
      </c>
      <c r="E152" t="s">
        <v>9</v>
      </c>
      <c r="F152" t="s">
        <v>12</v>
      </c>
      <c r="G152">
        <v>20</v>
      </c>
      <c r="H152">
        <v>23</v>
      </c>
      <c r="I152">
        <v>4.9000000000000004</v>
      </c>
      <c r="J152">
        <v>5.42</v>
      </c>
      <c r="K152">
        <v>1.43</v>
      </c>
      <c r="N152" s="21">
        <v>3.4359151682803142</v>
      </c>
      <c r="O152" s="21">
        <v>2.0708467803903492</v>
      </c>
      <c r="P152" s="21" t="s">
        <v>547</v>
      </c>
      <c r="Q152" s="21">
        <v>3.4359151682803142</v>
      </c>
      <c r="S152" t="s">
        <v>547</v>
      </c>
    </row>
    <row r="153" spans="1:19" x14ac:dyDescent="0.2">
      <c r="A153">
        <v>152</v>
      </c>
      <c r="B153" t="s">
        <v>103</v>
      </c>
      <c r="C153" t="s">
        <v>417</v>
      </c>
      <c r="D153" t="s">
        <v>0</v>
      </c>
      <c r="E153" t="s">
        <v>9</v>
      </c>
      <c r="F153" t="s">
        <v>14</v>
      </c>
      <c r="G153">
        <v>24</v>
      </c>
      <c r="H153">
        <v>21</v>
      </c>
      <c r="I153">
        <v>4.4800000000000004</v>
      </c>
      <c r="J153">
        <v>4.83</v>
      </c>
      <c r="K153">
        <v>1.43</v>
      </c>
      <c r="N153" s="21">
        <v>3.0618948824343022</v>
      </c>
      <c r="O153" s="21">
        <v>1.8933456277854623</v>
      </c>
      <c r="P153" s="21" t="s">
        <v>547</v>
      </c>
      <c r="Q153" s="21">
        <v>3.0618948824343022</v>
      </c>
      <c r="S153" t="s">
        <v>547</v>
      </c>
    </row>
    <row r="154" spans="1:19" x14ac:dyDescent="0.2">
      <c r="A154">
        <v>153</v>
      </c>
      <c r="B154" t="s">
        <v>104</v>
      </c>
      <c r="C154" t="s">
        <v>333</v>
      </c>
      <c r="D154" t="s">
        <v>0</v>
      </c>
      <c r="E154" t="s">
        <v>9</v>
      </c>
      <c r="F154" t="s">
        <v>10</v>
      </c>
      <c r="G154">
        <v>45</v>
      </c>
      <c r="H154">
        <v>42</v>
      </c>
      <c r="I154">
        <v>11.11</v>
      </c>
      <c r="J154">
        <v>6.93</v>
      </c>
      <c r="K154">
        <v>1.17</v>
      </c>
      <c r="L154">
        <v>0.72199999999999998</v>
      </c>
      <c r="M154">
        <v>0.16300000000000001</v>
      </c>
      <c r="N154" s="21">
        <v>4.7516239316239322</v>
      </c>
      <c r="O154" s="21">
        <v>5.0784552073440965</v>
      </c>
      <c r="P154" s="21">
        <v>4.7516239316239322</v>
      </c>
      <c r="Q154" s="21" t="s">
        <v>547</v>
      </c>
      <c r="S154" t="s">
        <v>547</v>
      </c>
    </row>
    <row r="155" spans="1:19" x14ac:dyDescent="0.2">
      <c r="A155">
        <v>154</v>
      </c>
      <c r="B155" t="s">
        <v>104</v>
      </c>
      <c r="C155" t="s">
        <v>333</v>
      </c>
      <c r="D155" t="s">
        <v>0</v>
      </c>
      <c r="E155" t="s">
        <v>9</v>
      </c>
      <c r="F155" t="s">
        <v>11</v>
      </c>
      <c r="G155">
        <v>39</v>
      </c>
      <c r="H155">
        <v>39</v>
      </c>
      <c r="I155">
        <v>9.41</v>
      </c>
      <c r="J155">
        <v>6.26</v>
      </c>
      <c r="K155">
        <v>1.17</v>
      </c>
      <c r="L155">
        <v>0.72199999999999998</v>
      </c>
      <c r="M155">
        <v>0.16300000000000001</v>
      </c>
      <c r="N155" s="21">
        <v>4.2922317188983863</v>
      </c>
      <c r="O155" s="21">
        <v>4.3013738524849643</v>
      </c>
      <c r="P155" s="21">
        <v>4.2922317188983863</v>
      </c>
      <c r="Q155" s="21" t="s">
        <v>547</v>
      </c>
      <c r="S155" t="s">
        <v>547</v>
      </c>
    </row>
    <row r="156" spans="1:19" x14ac:dyDescent="0.2">
      <c r="A156">
        <v>155</v>
      </c>
      <c r="B156" t="s">
        <v>104</v>
      </c>
      <c r="C156" t="s">
        <v>333</v>
      </c>
      <c r="D156" t="s">
        <v>0</v>
      </c>
      <c r="E156" t="s">
        <v>9</v>
      </c>
      <c r="F156" t="s">
        <v>12</v>
      </c>
      <c r="G156">
        <v>35</v>
      </c>
      <c r="H156">
        <v>33</v>
      </c>
      <c r="I156">
        <v>5.08</v>
      </c>
      <c r="J156">
        <v>2.74</v>
      </c>
      <c r="K156">
        <v>0.54</v>
      </c>
      <c r="L156">
        <v>0.30199999999999999</v>
      </c>
      <c r="M156">
        <v>0.14599999999999999</v>
      </c>
      <c r="N156" s="21">
        <v>1.7026337448559672</v>
      </c>
      <c r="O156" s="21">
        <v>2.1044718792866939</v>
      </c>
      <c r="P156" s="21" t="s">
        <v>547</v>
      </c>
      <c r="Q156" s="21">
        <v>1.7026337448559672</v>
      </c>
      <c r="S156" t="s">
        <v>547</v>
      </c>
    </row>
    <row r="157" spans="1:19" x14ac:dyDescent="0.2">
      <c r="A157">
        <v>156</v>
      </c>
      <c r="B157" t="s">
        <v>104</v>
      </c>
      <c r="C157" t="s">
        <v>333</v>
      </c>
      <c r="D157" t="s">
        <v>0</v>
      </c>
      <c r="E157" t="s">
        <v>9</v>
      </c>
      <c r="F157" t="s">
        <v>14</v>
      </c>
      <c r="G157">
        <v>41</v>
      </c>
      <c r="H157">
        <v>32</v>
      </c>
      <c r="I157">
        <v>4.8899999999999997</v>
      </c>
      <c r="J157">
        <v>3.22</v>
      </c>
      <c r="K157">
        <v>0.54</v>
      </c>
      <c r="L157">
        <v>0.30199999999999999</v>
      </c>
      <c r="M157">
        <v>0.14599999999999999</v>
      </c>
      <c r="N157" s="21">
        <v>2.0009053497942388</v>
      </c>
      <c r="O157" s="21">
        <v>2.0257613168724276</v>
      </c>
      <c r="P157" s="21" t="s">
        <v>547</v>
      </c>
      <c r="Q157" s="21">
        <v>2.0009053497942388</v>
      </c>
      <c r="S157" t="s">
        <v>547</v>
      </c>
    </row>
    <row r="158" spans="1:19" x14ac:dyDescent="0.2">
      <c r="A158">
        <v>157</v>
      </c>
      <c r="B158" t="s">
        <v>105</v>
      </c>
      <c r="C158" t="s">
        <v>334</v>
      </c>
      <c r="D158" t="s">
        <v>0</v>
      </c>
      <c r="E158" t="s">
        <v>9</v>
      </c>
      <c r="F158" t="s">
        <v>10</v>
      </c>
      <c r="G158">
        <v>29</v>
      </c>
      <c r="H158">
        <v>32</v>
      </c>
      <c r="I158">
        <v>8.3000000000000007</v>
      </c>
      <c r="J158">
        <v>7.22</v>
      </c>
      <c r="K158">
        <v>1.38</v>
      </c>
      <c r="L158">
        <v>0.54400000000000004</v>
      </c>
      <c r="M158">
        <v>9.1999999999999998E-2</v>
      </c>
      <c r="N158" s="21">
        <v>3.1623832528180364</v>
      </c>
      <c r="O158" s="21">
        <v>2.4236178207192705</v>
      </c>
      <c r="P158" s="21">
        <v>3.1623832528180364</v>
      </c>
      <c r="Q158" s="21" t="s">
        <v>547</v>
      </c>
      <c r="S158" t="s">
        <v>547</v>
      </c>
    </row>
    <row r="159" spans="1:19" x14ac:dyDescent="0.2">
      <c r="A159">
        <v>158</v>
      </c>
      <c r="B159" t="s">
        <v>105</v>
      </c>
      <c r="C159" t="s">
        <v>334</v>
      </c>
      <c r="D159" t="s">
        <v>0</v>
      </c>
      <c r="E159" t="s">
        <v>9</v>
      </c>
      <c r="F159" t="s">
        <v>11</v>
      </c>
      <c r="G159">
        <v>35</v>
      </c>
      <c r="H159">
        <v>38</v>
      </c>
      <c r="I159">
        <v>2.41</v>
      </c>
      <c r="J159">
        <v>9.1</v>
      </c>
      <c r="K159">
        <v>1.38</v>
      </c>
      <c r="L159">
        <v>0.54400000000000004</v>
      </c>
      <c r="M159">
        <v>9.1999999999999998E-2</v>
      </c>
      <c r="N159" s="21">
        <v>3.985829307568439</v>
      </c>
      <c r="O159" s="21">
        <v>0.70372517444981231</v>
      </c>
      <c r="P159" s="21">
        <v>3.985829307568439</v>
      </c>
      <c r="Q159" s="21" t="s">
        <v>547</v>
      </c>
      <c r="S159" t="s">
        <v>547</v>
      </c>
    </row>
    <row r="160" spans="1:19" x14ac:dyDescent="0.2">
      <c r="A160">
        <v>159</v>
      </c>
      <c r="B160" t="s">
        <v>105</v>
      </c>
      <c r="C160" t="s">
        <v>334</v>
      </c>
      <c r="D160" t="s">
        <v>0</v>
      </c>
      <c r="E160" t="s">
        <v>9</v>
      </c>
      <c r="F160" t="s">
        <v>12</v>
      </c>
      <c r="G160">
        <v>29</v>
      </c>
      <c r="H160">
        <v>37</v>
      </c>
      <c r="I160">
        <v>14.51</v>
      </c>
      <c r="J160">
        <v>16.21</v>
      </c>
      <c r="K160">
        <v>2.04</v>
      </c>
      <c r="L160">
        <v>0.64400000000000002</v>
      </c>
      <c r="M160">
        <v>0.123</v>
      </c>
      <c r="N160" s="21">
        <v>5.6858605664488024</v>
      </c>
      <c r="O160" s="21">
        <v>3.3930428467683371</v>
      </c>
      <c r="P160" s="21" t="s">
        <v>547</v>
      </c>
      <c r="Q160" s="21">
        <v>5.6858605664488024</v>
      </c>
      <c r="S160" t="s">
        <v>547</v>
      </c>
    </row>
    <row r="161" spans="1:19" x14ac:dyDescent="0.2">
      <c r="A161">
        <v>160</v>
      </c>
      <c r="B161" t="s">
        <v>105</v>
      </c>
      <c r="C161" t="s">
        <v>334</v>
      </c>
      <c r="D161" t="s">
        <v>0</v>
      </c>
      <c r="E161" t="s">
        <v>9</v>
      </c>
      <c r="F161" t="s">
        <v>14</v>
      </c>
      <c r="G161">
        <v>22</v>
      </c>
      <c r="H161">
        <v>34</v>
      </c>
      <c r="I161">
        <v>13.49</v>
      </c>
      <c r="J161">
        <v>17.190000000000001</v>
      </c>
      <c r="K161">
        <v>2.04</v>
      </c>
      <c r="L161">
        <v>0.64400000000000002</v>
      </c>
      <c r="M161">
        <v>0.123</v>
      </c>
      <c r="N161" s="21">
        <v>6.0296078431372555</v>
      </c>
      <c r="O161" s="21">
        <v>3.1545243282498188</v>
      </c>
      <c r="P161" s="21" t="s">
        <v>547</v>
      </c>
      <c r="Q161" s="21">
        <v>6.0296078431372555</v>
      </c>
      <c r="S161" t="s">
        <v>547</v>
      </c>
    </row>
    <row r="162" spans="1:19" x14ac:dyDescent="0.2">
      <c r="A162">
        <v>161</v>
      </c>
      <c r="B162" t="s">
        <v>106</v>
      </c>
      <c r="C162" t="s">
        <v>335</v>
      </c>
      <c r="D162" t="s">
        <v>0</v>
      </c>
      <c r="E162" t="s">
        <v>9</v>
      </c>
      <c r="F162" t="s">
        <v>10</v>
      </c>
      <c r="G162">
        <v>42</v>
      </c>
      <c r="H162">
        <v>42</v>
      </c>
      <c r="I162">
        <v>6.1</v>
      </c>
      <c r="J162">
        <v>5.39</v>
      </c>
      <c r="K162">
        <v>0.82</v>
      </c>
      <c r="L162">
        <v>0.621</v>
      </c>
      <c r="M162">
        <v>9.8000000000000004E-2</v>
      </c>
      <c r="N162" s="21">
        <v>4.5354878048780485</v>
      </c>
      <c r="O162" s="21">
        <v>3.4219512195121951</v>
      </c>
      <c r="P162" s="21">
        <v>4.5354878048780485</v>
      </c>
      <c r="Q162" s="21" t="s">
        <v>547</v>
      </c>
      <c r="S162" t="s">
        <v>547</v>
      </c>
    </row>
    <row r="163" spans="1:19" x14ac:dyDescent="0.2">
      <c r="A163">
        <v>162</v>
      </c>
      <c r="B163" t="s">
        <v>106</v>
      </c>
      <c r="C163" t="s">
        <v>335</v>
      </c>
      <c r="D163" t="s">
        <v>0</v>
      </c>
      <c r="E163" t="s">
        <v>9</v>
      </c>
      <c r="F163" t="s">
        <v>11</v>
      </c>
      <c r="G163">
        <v>27</v>
      </c>
      <c r="H163">
        <v>27</v>
      </c>
      <c r="I163">
        <v>3.54</v>
      </c>
      <c r="J163">
        <v>4.1399999999999997</v>
      </c>
      <c r="K163">
        <v>0.82</v>
      </c>
      <c r="L163">
        <v>0.621</v>
      </c>
      <c r="M163">
        <v>9.8000000000000004E-2</v>
      </c>
      <c r="N163" s="21">
        <v>3.4836585365853656</v>
      </c>
      <c r="O163" s="21">
        <v>1.9858536585365856</v>
      </c>
      <c r="P163" s="21">
        <v>3.4836585365853656</v>
      </c>
      <c r="Q163" s="21" t="s">
        <v>547</v>
      </c>
      <c r="S163" t="s">
        <v>547</v>
      </c>
    </row>
    <row r="164" spans="1:19" x14ac:dyDescent="0.2">
      <c r="A164">
        <v>163</v>
      </c>
      <c r="B164" t="s">
        <v>106</v>
      </c>
      <c r="C164" t="s">
        <v>335</v>
      </c>
      <c r="D164" t="s">
        <v>0</v>
      </c>
      <c r="E164" t="s">
        <v>9</v>
      </c>
      <c r="F164" t="s">
        <v>12</v>
      </c>
      <c r="G164">
        <v>28</v>
      </c>
      <c r="H164">
        <v>28</v>
      </c>
      <c r="I164">
        <v>4.84</v>
      </c>
      <c r="J164">
        <v>3.81</v>
      </c>
      <c r="K164">
        <v>0.65</v>
      </c>
      <c r="L164">
        <v>0.499</v>
      </c>
      <c r="M164">
        <v>9.8000000000000004E-2</v>
      </c>
      <c r="N164" s="21">
        <v>3.2498974358974357</v>
      </c>
      <c r="O164" s="21">
        <v>2.752319088319088</v>
      </c>
      <c r="P164" s="21" t="s">
        <v>547</v>
      </c>
      <c r="Q164" s="21">
        <v>3.2498974358974357</v>
      </c>
      <c r="S164" t="s">
        <v>547</v>
      </c>
    </row>
    <row r="165" spans="1:19" x14ac:dyDescent="0.2">
      <c r="A165">
        <v>164</v>
      </c>
      <c r="B165" t="s">
        <v>106</v>
      </c>
      <c r="C165" t="s">
        <v>335</v>
      </c>
      <c r="D165" t="s">
        <v>0</v>
      </c>
      <c r="E165" t="s">
        <v>9</v>
      </c>
      <c r="F165" t="s">
        <v>14</v>
      </c>
      <c r="G165">
        <v>16</v>
      </c>
      <c r="H165">
        <v>16</v>
      </c>
      <c r="I165">
        <v>2.0499999999999998</v>
      </c>
      <c r="J165">
        <v>1.91</v>
      </c>
      <c r="K165">
        <v>0.65</v>
      </c>
      <c r="L165">
        <v>0.499</v>
      </c>
      <c r="M165">
        <v>9.8000000000000004E-2</v>
      </c>
      <c r="N165" s="21">
        <v>1.6292136752136752</v>
      </c>
      <c r="O165" s="21">
        <v>1.1657549857549854</v>
      </c>
      <c r="P165" s="21" t="s">
        <v>547</v>
      </c>
      <c r="Q165" s="21">
        <v>1.6292136752136752</v>
      </c>
      <c r="S165" t="s">
        <v>547</v>
      </c>
    </row>
    <row r="166" spans="1:19" x14ac:dyDescent="0.2">
      <c r="A166">
        <v>165</v>
      </c>
      <c r="B166" t="s">
        <v>107</v>
      </c>
      <c r="C166" t="s">
        <v>336</v>
      </c>
      <c r="D166" t="s">
        <v>0</v>
      </c>
      <c r="E166" t="s">
        <v>9</v>
      </c>
      <c r="F166" t="s">
        <v>10</v>
      </c>
      <c r="G166">
        <v>27</v>
      </c>
      <c r="H166">
        <v>32</v>
      </c>
      <c r="I166">
        <v>7.1</v>
      </c>
      <c r="J166">
        <v>6.4</v>
      </c>
      <c r="K166">
        <v>1.08</v>
      </c>
      <c r="N166" s="21">
        <v>4.4800000000000004</v>
      </c>
      <c r="O166" s="21">
        <v>3.3133333333333344</v>
      </c>
      <c r="P166" s="21">
        <v>4.4800000000000004</v>
      </c>
      <c r="Q166" s="21" t="s">
        <v>547</v>
      </c>
      <c r="S166" t="s">
        <v>547</v>
      </c>
    </row>
    <row r="167" spans="1:19" x14ac:dyDescent="0.2">
      <c r="A167">
        <v>166</v>
      </c>
      <c r="B167" t="s">
        <v>107</v>
      </c>
      <c r="C167" t="s">
        <v>336</v>
      </c>
      <c r="D167" t="s">
        <v>0</v>
      </c>
      <c r="E167" t="s">
        <v>9</v>
      </c>
      <c r="F167" t="s">
        <v>11</v>
      </c>
      <c r="G167">
        <v>29</v>
      </c>
      <c r="H167">
        <v>32</v>
      </c>
      <c r="I167">
        <v>5.8</v>
      </c>
      <c r="J167">
        <v>5.3</v>
      </c>
      <c r="K167">
        <v>1.08</v>
      </c>
      <c r="N167" s="21">
        <v>3.71</v>
      </c>
      <c r="O167" s="21">
        <v>2.706666666666667</v>
      </c>
      <c r="P167" s="21">
        <v>3.71</v>
      </c>
      <c r="Q167" s="21" t="s">
        <v>547</v>
      </c>
      <c r="S167" t="s">
        <v>547</v>
      </c>
    </row>
    <row r="168" spans="1:19" x14ac:dyDescent="0.2">
      <c r="A168">
        <v>167</v>
      </c>
      <c r="B168" t="s">
        <v>107</v>
      </c>
      <c r="C168" t="s">
        <v>336</v>
      </c>
      <c r="D168" t="s">
        <v>0</v>
      </c>
      <c r="E168" t="s">
        <v>9</v>
      </c>
      <c r="F168" t="s">
        <v>12</v>
      </c>
      <c r="G168">
        <v>23</v>
      </c>
      <c r="H168">
        <v>21</v>
      </c>
      <c r="I168">
        <v>6.55</v>
      </c>
      <c r="J168">
        <v>4.58</v>
      </c>
      <c r="K168">
        <v>0.7</v>
      </c>
      <c r="L168">
        <v>0.441</v>
      </c>
      <c r="M168">
        <v>8.8999999999999996E-2</v>
      </c>
      <c r="N168" s="21">
        <v>3.2060000000000004</v>
      </c>
      <c r="O168" s="21">
        <v>3.0566666666666671</v>
      </c>
      <c r="P168" s="21" t="s">
        <v>547</v>
      </c>
      <c r="Q168" s="21">
        <v>3.2060000000000004</v>
      </c>
      <c r="S168" t="s">
        <v>547</v>
      </c>
    </row>
    <row r="169" spans="1:19" x14ac:dyDescent="0.2">
      <c r="A169">
        <v>168</v>
      </c>
      <c r="B169" t="s">
        <v>107</v>
      </c>
      <c r="C169" t="s">
        <v>336</v>
      </c>
      <c r="D169" t="s">
        <v>0</v>
      </c>
      <c r="E169" t="s">
        <v>9</v>
      </c>
      <c r="F169" t="s">
        <v>14</v>
      </c>
      <c r="G169">
        <v>26</v>
      </c>
      <c r="H169">
        <v>27</v>
      </c>
      <c r="I169">
        <v>3.6</v>
      </c>
      <c r="J169">
        <v>4</v>
      </c>
      <c r="K169">
        <v>0.7</v>
      </c>
      <c r="L169">
        <v>0.441</v>
      </c>
      <c r="M169">
        <v>8.8999999999999996E-2</v>
      </c>
      <c r="N169" s="21">
        <v>2.8000000000000003</v>
      </c>
      <c r="O169" s="21">
        <v>1.6800000000000006</v>
      </c>
      <c r="P169" s="21" t="s">
        <v>547</v>
      </c>
      <c r="Q169" s="21">
        <v>2.8000000000000003</v>
      </c>
      <c r="S169" t="s">
        <v>547</v>
      </c>
    </row>
    <row r="170" spans="1:19" x14ac:dyDescent="0.2">
      <c r="A170">
        <v>169</v>
      </c>
      <c r="B170" t="s">
        <v>108</v>
      </c>
      <c r="C170" t="s">
        <v>108</v>
      </c>
      <c r="D170" t="s">
        <v>0</v>
      </c>
      <c r="E170" t="s">
        <v>9</v>
      </c>
      <c r="F170" t="s">
        <v>10</v>
      </c>
      <c r="G170">
        <v>44</v>
      </c>
      <c r="H170">
        <v>47</v>
      </c>
      <c r="I170">
        <v>16.5</v>
      </c>
      <c r="J170">
        <v>8.42</v>
      </c>
      <c r="K170">
        <v>1.4</v>
      </c>
      <c r="L170">
        <v>0.71099999999999997</v>
      </c>
      <c r="M170">
        <v>0.17100000000000001</v>
      </c>
      <c r="N170" s="21">
        <v>4.7512857142857152</v>
      </c>
      <c r="O170" s="21">
        <v>6.2071428571428591</v>
      </c>
      <c r="P170" s="21">
        <v>4.7512857142857152</v>
      </c>
      <c r="Q170" s="21" t="s">
        <v>547</v>
      </c>
      <c r="S170" t="s">
        <v>547</v>
      </c>
    </row>
    <row r="171" spans="1:19" x14ac:dyDescent="0.2">
      <c r="A171">
        <v>170</v>
      </c>
      <c r="B171" t="s">
        <v>108</v>
      </c>
      <c r="C171" t="s">
        <v>108</v>
      </c>
      <c r="D171" t="s">
        <v>0</v>
      </c>
      <c r="E171" t="s">
        <v>9</v>
      </c>
      <c r="F171" t="s">
        <v>11</v>
      </c>
      <c r="G171">
        <v>33</v>
      </c>
      <c r="H171">
        <v>33</v>
      </c>
      <c r="I171">
        <v>13.88</v>
      </c>
      <c r="J171">
        <v>6.18</v>
      </c>
      <c r="K171">
        <v>1.4</v>
      </c>
      <c r="L171">
        <v>0.71099999999999997</v>
      </c>
      <c r="M171">
        <v>0.17100000000000001</v>
      </c>
      <c r="N171" s="21">
        <v>3.4872857142857145</v>
      </c>
      <c r="O171" s="21">
        <v>5.221523809523811</v>
      </c>
      <c r="P171" s="21">
        <v>3.4872857142857145</v>
      </c>
      <c r="Q171" s="21" t="s">
        <v>547</v>
      </c>
      <c r="S171" t="s">
        <v>547</v>
      </c>
    </row>
    <row r="172" spans="1:19" x14ac:dyDescent="0.2">
      <c r="A172">
        <v>171</v>
      </c>
      <c r="B172" t="s">
        <v>108</v>
      </c>
      <c r="C172" t="s">
        <v>108</v>
      </c>
      <c r="D172" t="s">
        <v>0</v>
      </c>
      <c r="E172" t="s">
        <v>9</v>
      </c>
      <c r="F172" t="s">
        <v>12</v>
      </c>
      <c r="G172">
        <v>40</v>
      </c>
      <c r="H172">
        <v>35</v>
      </c>
      <c r="I172">
        <v>8.67</v>
      </c>
      <c r="J172">
        <v>5.22</v>
      </c>
      <c r="K172">
        <v>0.6</v>
      </c>
      <c r="L172">
        <v>0.55000000000000004</v>
      </c>
      <c r="M172">
        <v>0.06</v>
      </c>
      <c r="N172" s="21">
        <v>5.3166666666666673</v>
      </c>
      <c r="O172" s="21">
        <v>5.8870370370370386</v>
      </c>
      <c r="P172" s="21" t="s">
        <v>547</v>
      </c>
      <c r="Q172" s="21">
        <v>5.3166666666666673</v>
      </c>
      <c r="S172" t="s">
        <v>547</v>
      </c>
    </row>
    <row r="173" spans="1:19" x14ac:dyDescent="0.2">
      <c r="A173">
        <v>172</v>
      </c>
      <c r="B173" t="s">
        <v>108</v>
      </c>
      <c r="C173" t="s">
        <v>108</v>
      </c>
      <c r="D173" t="s">
        <v>0</v>
      </c>
      <c r="E173" t="s">
        <v>9</v>
      </c>
      <c r="F173" t="s">
        <v>14</v>
      </c>
      <c r="G173">
        <v>32</v>
      </c>
      <c r="H173">
        <v>29</v>
      </c>
      <c r="I173">
        <v>12.74</v>
      </c>
      <c r="J173">
        <v>4.38</v>
      </c>
      <c r="K173">
        <v>0.6</v>
      </c>
      <c r="L173">
        <v>0.55000000000000004</v>
      </c>
      <c r="M173">
        <v>0.06</v>
      </c>
      <c r="N173" s="21">
        <v>4.4611111111111121</v>
      </c>
      <c r="O173" s="21">
        <v>8.6506172839506199</v>
      </c>
      <c r="P173" s="21" t="s">
        <v>547</v>
      </c>
      <c r="Q173" s="21">
        <v>4.4611111111111121</v>
      </c>
      <c r="S173" t="s">
        <v>547</v>
      </c>
    </row>
    <row r="174" spans="1:19" x14ac:dyDescent="0.2">
      <c r="A174">
        <v>173</v>
      </c>
      <c r="B174" t="s">
        <v>109</v>
      </c>
      <c r="C174" t="s">
        <v>337</v>
      </c>
      <c r="D174" t="s">
        <v>0</v>
      </c>
      <c r="E174" t="s">
        <v>9</v>
      </c>
      <c r="F174" t="s">
        <v>10</v>
      </c>
      <c r="G174">
        <v>27</v>
      </c>
      <c r="H174">
        <v>26</v>
      </c>
      <c r="I174">
        <v>5.0199999999999996</v>
      </c>
      <c r="J174">
        <v>3.4</v>
      </c>
      <c r="K174">
        <v>0.88</v>
      </c>
      <c r="L174">
        <v>0.55300000000000005</v>
      </c>
      <c r="M174">
        <v>0.14000000000000001</v>
      </c>
      <c r="N174" s="21">
        <v>2.3739898989898993</v>
      </c>
      <c r="O174" s="21">
        <v>2.3367508417508414</v>
      </c>
      <c r="P174" s="21">
        <v>2.3739898989898993</v>
      </c>
      <c r="Q174" s="21" t="s">
        <v>547</v>
      </c>
      <c r="S174" t="s">
        <v>547</v>
      </c>
    </row>
    <row r="175" spans="1:19" x14ac:dyDescent="0.2">
      <c r="A175">
        <v>174</v>
      </c>
      <c r="B175" t="s">
        <v>109</v>
      </c>
      <c r="C175" t="s">
        <v>337</v>
      </c>
      <c r="D175" t="s">
        <v>0</v>
      </c>
      <c r="E175" t="s">
        <v>9</v>
      </c>
      <c r="F175" t="s">
        <v>11</v>
      </c>
      <c r="G175">
        <v>28</v>
      </c>
      <c r="H175">
        <v>29</v>
      </c>
      <c r="I175">
        <v>5.26</v>
      </c>
      <c r="J175">
        <v>4.29</v>
      </c>
      <c r="K175">
        <v>0.88</v>
      </c>
      <c r="L175">
        <v>0.55300000000000005</v>
      </c>
      <c r="M175">
        <v>0.14000000000000001</v>
      </c>
      <c r="N175" s="21">
        <v>2.9954166666666668</v>
      </c>
      <c r="O175" s="21">
        <v>2.4484680134680135</v>
      </c>
      <c r="P175" s="21">
        <v>2.9954166666666668</v>
      </c>
      <c r="Q175" s="21" t="s">
        <v>547</v>
      </c>
      <c r="S175" t="s">
        <v>547</v>
      </c>
    </row>
    <row r="176" spans="1:19" x14ac:dyDescent="0.2">
      <c r="A176">
        <v>175</v>
      </c>
      <c r="B176" t="s">
        <v>109</v>
      </c>
      <c r="C176" t="s">
        <v>337</v>
      </c>
      <c r="D176" t="s">
        <v>0</v>
      </c>
      <c r="E176" t="s">
        <v>9</v>
      </c>
      <c r="F176" t="s">
        <v>12</v>
      </c>
      <c r="G176">
        <v>17</v>
      </c>
      <c r="H176">
        <v>16</v>
      </c>
      <c r="I176">
        <v>1.71</v>
      </c>
      <c r="J176">
        <v>2.06</v>
      </c>
      <c r="K176">
        <v>0.76</v>
      </c>
      <c r="L176">
        <v>0.5</v>
      </c>
      <c r="M176">
        <v>0.16200000000000001</v>
      </c>
      <c r="N176" s="21">
        <v>1.5058479532163744</v>
      </c>
      <c r="O176" s="21">
        <v>0.83333333333333326</v>
      </c>
      <c r="P176" s="21" t="s">
        <v>547</v>
      </c>
      <c r="Q176" s="21">
        <v>1.5058479532163744</v>
      </c>
      <c r="S176" t="s">
        <v>547</v>
      </c>
    </row>
    <row r="177" spans="1:19" x14ac:dyDescent="0.2">
      <c r="A177">
        <v>176</v>
      </c>
      <c r="B177" t="s">
        <v>109</v>
      </c>
      <c r="C177" t="s">
        <v>337</v>
      </c>
      <c r="D177" t="s">
        <v>0</v>
      </c>
      <c r="E177" t="s">
        <v>9</v>
      </c>
      <c r="F177" t="s">
        <v>14</v>
      </c>
      <c r="G177">
        <v>27</v>
      </c>
      <c r="H177">
        <v>27</v>
      </c>
      <c r="I177">
        <v>2.11</v>
      </c>
      <c r="J177">
        <v>3.77</v>
      </c>
      <c r="K177">
        <v>0.76</v>
      </c>
      <c r="L177">
        <v>0.5</v>
      </c>
      <c r="M177">
        <v>0.16200000000000001</v>
      </c>
      <c r="N177" s="21">
        <v>2.7558479532163749</v>
      </c>
      <c r="O177" s="21">
        <v>1.0282651072124755</v>
      </c>
      <c r="P177" s="21" t="s">
        <v>547</v>
      </c>
      <c r="Q177" s="21">
        <v>2.7558479532163749</v>
      </c>
      <c r="S177" t="s">
        <v>547</v>
      </c>
    </row>
    <row r="178" spans="1:19" x14ac:dyDescent="0.2">
      <c r="A178">
        <v>177</v>
      </c>
      <c r="B178" t="s">
        <v>110</v>
      </c>
      <c r="C178" t="s">
        <v>110</v>
      </c>
      <c r="D178" t="s">
        <v>0</v>
      </c>
      <c r="E178" t="s">
        <v>9</v>
      </c>
      <c r="F178" t="s">
        <v>10</v>
      </c>
      <c r="G178">
        <v>32</v>
      </c>
      <c r="H178">
        <v>39</v>
      </c>
      <c r="I178">
        <v>24.11</v>
      </c>
      <c r="J178">
        <v>20.64</v>
      </c>
      <c r="K178">
        <v>1.21</v>
      </c>
      <c r="L178">
        <v>0.80400000000000005</v>
      </c>
      <c r="M178">
        <v>0.16900000000000001</v>
      </c>
      <c r="N178" s="21">
        <v>15.238347107438019</v>
      </c>
      <c r="O178" s="21">
        <v>11.866813590449956</v>
      </c>
      <c r="P178" s="21">
        <v>15.238347107438019</v>
      </c>
      <c r="Q178" s="21" t="s">
        <v>547</v>
      </c>
      <c r="S178" t="s">
        <v>1533</v>
      </c>
    </row>
    <row r="179" spans="1:19" x14ac:dyDescent="0.2">
      <c r="A179">
        <v>178</v>
      </c>
      <c r="B179" t="s">
        <v>110</v>
      </c>
      <c r="C179" t="s">
        <v>110</v>
      </c>
      <c r="D179" t="s">
        <v>0</v>
      </c>
      <c r="E179" t="s">
        <v>9</v>
      </c>
      <c r="F179" t="s">
        <v>11</v>
      </c>
      <c r="G179">
        <v>41</v>
      </c>
      <c r="H179">
        <v>52</v>
      </c>
      <c r="I179">
        <v>18.73</v>
      </c>
      <c r="J179">
        <v>11.75</v>
      </c>
      <c r="K179">
        <v>1.21</v>
      </c>
      <c r="L179">
        <v>0.80400000000000005</v>
      </c>
      <c r="M179">
        <v>0.16900000000000001</v>
      </c>
      <c r="N179" s="21">
        <v>8.674931129476585</v>
      </c>
      <c r="O179" s="21">
        <v>9.2188062442607901</v>
      </c>
      <c r="P179" s="21">
        <v>8.674931129476585</v>
      </c>
      <c r="Q179" s="21" t="s">
        <v>547</v>
      </c>
      <c r="S179" t="s">
        <v>547</v>
      </c>
    </row>
    <row r="180" spans="1:19" x14ac:dyDescent="0.2">
      <c r="A180">
        <v>179</v>
      </c>
      <c r="B180" t="s">
        <v>110</v>
      </c>
      <c r="C180" t="s">
        <v>110</v>
      </c>
      <c r="D180" t="s">
        <v>0</v>
      </c>
      <c r="E180" t="s">
        <v>9</v>
      </c>
      <c r="F180" t="s">
        <v>12</v>
      </c>
      <c r="G180">
        <v>42</v>
      </c>
      <c r="H180">
        <v>48</v>
      </c>
      <c r="I180">
        <v>21.23</v>
      </c>
      <c r="J180">
        <v>9.93</v>
      </c>
      <c r="K180">
        <v>0.64</v>
      </c>
      <c r="L180">
        <v>0.41399999999999998</v>
      </c>
      <c r="M180">
        <v>0.106</v>
      </c>
      <c r="N180" s="21">
        <v>7.1371874999999996</v>
      </c>
      <c r="O180" s="21">
        <v>10.172708333333333</v>
      </c>
      <c r="P180" s="21" t="s">
        <v>547</v>
      </c>
      <c r="Q180" s="21">
        <v>7.1371874999999996</v>
      </c>
      <c r="S180" t="s">
        <v>547</v>
      </c>
    </row>
    <row r="181" spans="1:19" x14ac:dyDescent="0.2">
      <c r="A181">
        <v>180</v>
      </c>
      <c r="B181" t="s">
        <v>110</v>
      </c>
      <c r="C181" t="s">
        <v>110</v>
      </c>
      <c r="D181" t="s">
        <v>0</v>
      </c>
      <c r="E181" t="s">
        <v>9</v>
      </c>
      <c r="F181" t="s">
        <v>14</v>
      </c>
      <c r="G181">
        <v>40</v>
      </c>
      <c r="H181">
        <v>43</v>
      </c>
      <c r="I181">
        <v>22.02</v>
      </c>
      <c r="J181">
        <v>9.5399999999999991</v>
      </c>
      <c r="K181">
        <v>0.64</v>
      </c>
      <c r="L181">
        <v>0.41399999999999998</v>
      </c>
      <c r="M181">
        <v>0.106</v>
      </c>
      <c r="N181" s="21">
        <v>6.8568749999999996</v>
      </c>
      <c r="O181" s="21">
        <v>10.55125</v>
      </c>
      <c r="P181" s="21" t="s">
        <v>547</v>
      </c>
      <c r="Q181" s="21">
        <v>6.8568749999999996</v>
      </c>
      <c r="S181" t="s">
        <v>547</v>
      </c>
    </row>
    <row r="182" spans="1:19" x14ac:dyDescent="0.2">
      <c r="A182">
        <v>181</v>
      </c>
      <c r="B182" t="s">
        <v>111</v>
      </c>
      <c r="C182" t="s">
        <v>338</v>
      </c>
      <c r="D182" t="s">
        <v>0</v>
      </c>
      <c r="E182" t="s">
        <v>9</v>
      </c>
      <c r="F182" t="s">
        <v>10</v>
      </c>
      <c r="G182">
        <v>33</v>
      </c>
      <c r="H182">
        <v>33</v>
      </c>
      <c r="I182">
        <v>5.07</v>
      </c>
      <c r="J182">
        <v>4.51</v>
      </c>
      <c r="K182">
        <v>1.1499999999999999</v>
      </c>
      <c r="L182">
        <v>0.7</v>
      </c>
      <c r="M182">
        <v>0.17899999999999999</v>
      </c>
      <c r="N182" s="21">
        <v>3.0502415458937198</v>
      </c>
      <c r="O182" s="21">
        <v>2.2859903381642517</v>
      </c>
      <c r="P182" s="21">
        <v>3.0502415458937198</v>
      </c>
      <c r="Q182" s="21" t="s">
        <v>547</v>
      </c>
      <c r="S182" t="s">
        <v>547</v>
      </c>
    </row>
    <row r="183" spans="1:19" x14ac:dyDescent="0.2">
      <c r="A183">
        <v>182</v>
      </c>
      <c r="B183" t="s">
        <v>111</v>
      </c>
      <c r="C183" t="s">
        <v>338</v>
      </c>
      <c r="D183" t="s">
        <v>0</v>
      </c>
      <c r="E183" t="s">
        <v>9</v>
      </c>
      <c r="F183" t="s">
        <v>11</v>
      </c>
      <c r="G183">
        <v>31</v>
      </c>
      <c r="H183">
        <v>32</v>
      </c>
      <c r="I183">
        <v>4.13</v>
      </c>
      <c r="J183">
        <v>4.2300000000000004</v>
      </c>
      <c r="K183">
        <v>1.1499999999999999</v>
      </c>
      <c r="L183">
        <v>0.7</v>
      </c>
      <c r="M183">
        <v>0.17899999999999999</v>
      </c>
      <c r="N183" s="21">
        <v>2.8608695652173917</v>
      </c>
      <c r="O183" s="21">
        <v>1.8621578099838971</v>
      </c>
      <c r="P183" s="21">
        <v>2.8608695652173917</v>
      </c>
      <c r="Q183" s="21" t="s">
        <v>547</v>
      </c>
      <c r="S183" t="s">
        <v>547</v>
      </c>
    </row>
    <row r="184" spans="1:19" x14ac:dyDescent="0.2">
      <c r="A184">
        <v>183</v>
      </c>
      <c r="B184" t="s">
        <v>111</v>
      </c>
      <c r="C184" t="s">
        <v>338</v>
      </c>
      <c r="D184" t="s">
        <v>0</v>
      </c>
      <c r="E184" t="s">
        <v>9</v>
      </c>
      <c r="F184" t="s">
        <v>12</v>
      </c>
      <c r="G184">
        <v>30</v>
      </c>
      <c r="H184">
        <v>29</v>
      </c>
      <c r="I184">
        <v>3.19</v>
      </c>
      <c r="J184">
        <v>3.8</v>
      </c>
      <c r="K184">
        <v>0.95</v>
      </c>
      <c r="L184">
        <v>0.54</v>
      </c>
      <c r="M184">
        <v>9.0999999999999998E-2</v>
      </c>
      <c r="N184" s="21">
        <v>2.4000000000000004</v>
      </c>
      <c r="O184" s="21">
        <v>1.3431578947368426</v>
      </c>
      <c r="P184" s="21" t="s">
        <v>547</v>
      </c>
      <c r="Q184" s="21">
        <v>2.4000000000000004</v>
      </c>
      <c r="S184" t="s">
        <v>547</v>
      </c>
    </row>
    <row r="185" spans="1:19" x14ac:dyDescent="0.2">
      <c r="A185">
        <v>184</v>
      </c>
      <c r="B185" t="s">
        <v>111</v>
      </c>
      <c r="C185" t="s">
        <v>338</v>
      </c>
      <c r="D185" t="s">
        <v>0</v>
      </c>
      <c r="E185" t="s">
        <v>9</v>
      </c>
      <c r="F185" t="s">
        <v>14</v>
      </c>
      <c r="G185">
        <v>31</v>
      </c>
      <c r="H185">
        <v>30</v>
      </c>
      <c r="I185">
        <v>2.79</v>
      </c>
      <c r="J185">
        <v>3.5</v>
      </c>
      <c r="K185">
        <v>0.95</v>
      </c>
      <c r="L185">
        <v>0.54</v>
      </c>
      <c r="M185">
        <v>9.0999999999999998E-2</v>
      </c>
      <c r="N185" s="21">
        <v>2.2105263157894743</v>
      </c>
      <c r="O185" s="21">
        <v>1.1747368421052635</v>
      </c>
      <c r="P185" s="21" t="s">
        <v>547</v>
      </c>
      <c r="Q185" s="21">
        <v>2.2105263157894743</v>
      </c>
      <c r="S185" t="s">
        <v>547</v>
      </c>
    </row>
    <row r="186" spans="1:19" x14ac:dyDescent="0.2">
      <c r="A186">
        <v>185</v>
      </c>
      <c r="B186" t="s">
        <v>112</v>
      </c>
      <c r="C186" t="s">
        <v>112</v>
      </c>
      <c r="D186" t="s">
        <v>0</v>
      </c>
      <c r="E186" t="s">
        <v>9</v>
      </c>
      <c r="F186" t="s">
        <v>10</v>
      </c>
      <c r="G186">
        <v>30</v>
      </c>
      <c r="H186">
        <v>46</v>
      </c>
      <c r="I186">
        <v>15.87</v>
      </c>
      <c r="J186">
        <v>12.47</v>
      </c>
      <c r="K186">
        <v>1</v>
      </c>
      <c r="L186">
        <v>0.81</v>
      </c>
      <c r="N186" s="21">
        <v>11.223000000000003</v>
      </c>
      <c r="O186" s="21">
        <v>9.522000000000002</v>
      </c>
      <c r="P186" s="21">
        <v>11.223000000000003</v>
      </c>
      <c r="Q186" s="21" t="s">
        <v>547</v>
      </c>
      <c r="S186" t="s">
        <v>547</v>
      </c>
    </row>
    <row r="187" spans="1:19" x14ac:dyDescent="0.2">
      <c r="A187">
        <v>186</v>
      </c>
      <c r="B187" t="s">
        <v>112</v>
      </c>
      <c r="C187" t="s">
        <v>112</v>
      </c>
      <c r="D187" t="s">
        <v>0</v>
      </c>
      <c r="E187" t="s">
        <v>9</v>
      </c>
      <c r="F187" t="s">
        <v>11</v>
      </c>
      <c r="G187">
        <v>24</v>
      </c>
      <c r="H187">
        <v>40</v>
      </c>
      <c r="I187">
        <v>10.97</v>
      </c>
      <c r="J187">
        <v>9.8699999999999992</v>
      </c>
      <c r="K187">
        <v>1</v>
      </c>
      <c r="L187">
        <v>0.81</v>
      </c>
      <c r="N187" s="21">
        <v>8.8830000000000009</v>
      </c>
      <c r="O187" s="21">
        <v>6.5820000000000016</v>
      </c>
      <c r="P187" s="21">
        <v>8.8830000000000009</v>
      </c>
      <c r="Q187" s="21" t="s">
        <v>547</v>
      </c>
      <c r="S187" t="s">
        <v>547</v>
      </c>
    </row>
    <row r="188" spans="1:19" x14ac:dyDescent="0.2">
      <c r="A188">
        <v>187</v>
      </c>
      <c r="B188" t="s">
        <v>112</v>
      </c>
      <c r="C188" t="s">
        <v>112</v>
      </c>
      <c r="D188" t="s">
        <v>0</v>
      </c>
      <c r="E188" t="s">
        <v>9</v>
      </c>
      <c r="F188" t="s">
        <v>12</v>
      </c>
      <c r="G188">
        <v>33</v>
      </c>
      <c r="H188">
        <v>35</v>
      </c>
      <c r="I188">
        <v>9.82</v>
      </c>
      <c r="J188">
        <v>8.3000000000000007</v>
      </c>
      <c r="K188">
        <v>0.93</v>
      </c>
      <c r="L188">
        <v>0.753</v>
      </c>
      <c r="M188">
        <v>0.16</v>
      </c>
      <c r="N188" s="21">
        <v>7.4670250896057357</v>
      </c>
      <c r="O188" s="21">
        <v>5.8896535244922346</v>
      </c>
      <c r="P188" s="21" t="s">
        <v>547</v>
      </c>
      <c r="Q188" s="21">
        <v>7.4670250896057357</v>
      </c>
      <c r="S188" t="s">
        <v>547</v>
      </c>
    </row>
    <row r="189" spans="1:19" x14ac:dyDescent="0.2">
      <c r="A189">
        <v>188</v>
      </c>
      <c r="B189" t="s">
        <v>112</v>
      </c>
      <c r="C189" t="s">
        <v>112</v>
      </c>
      <c r="D189" t="s">
        <v>0</v>
      </c>
      <c r="E189" t="s">
        <v>9</v>
      </c>
      <c r="F189" t="s">
        <v>14</v>
      </c>
      <c r="G189">
        <v>39</v>
      </c>
      <c r="H189">
        <v>39</v>
      </c>
      <c r="I189">
        <v>8.3000000000000007</v>
      </c>
      <c r="J189">
        <v>6.7</v>
      </c>
      <c r="K189">
        <v>0.93</v>
      </c>
      <c r="L189">
        <v>0.753</v>
      </c>
      <c r="M189">
        <v>0.16</v>
      </c>
      <c r="N189" s="21">
        <v>6.0275985663082441</v>
      </c>
      <c r="O189" s="21">
        <v>4.9780167264038235</v>
      </c>
      <c r="P189" s="21" t="s">
        <v>547</v>
      </c>
      <c r="Q189" s="21">
        <v>6.0275985663082441</v>
      </c>
      <c r="S189" t="s">
        <v>547</v>
      </c>
    </row>
    <row r="190" spans="1:19" x14ac:dyDescent="0.2">
      <c r="A190">
        <v>189</v>
      </c>
      <c r="B190" t="s">
        <v>113</v>
      </c>
      <c r="C190" t="s">
        <v>339</v>
      </c>
      <c r="D190" t="s">
        <v>0</v>
      </c>
      <c r="E190" t="s">
        <v>9</v>
      </c>
      <c r="F190" t="s">
        <v>10</v>
      </c>
      <c r="G190">
        <v>43</v>
      </c>
      <c r="H190">
        <v>43</v>
      </c>
      <c r="I190">
        <v>11.4</v>
      </c>
      <c r="J190">
        <v>7.82</v>
      </c>
      <c r="K190">
        <v>1.04</v>
      </c>
      <c r="L190">
        <v>0.65900000000000003</v>
      </c>
      <c r="M190">
        <v>8.8999999999999996E-2</v>
      </c>
      <c r="N190" s="21">
        <v>5.5057478632478638</v>
      </c>
      <c r="O190" s="21">
        <v>5.3508547008547014</v>
      </c>
      <c r="P190" s="21">
        <v>5.5057478632478638</v>
      </c>
      <c r="Q190" s="21" t="s">
        <v>547</v>
      </c>
      <c r="S190" t="s">
        <v>547</v>
      </c>
    </row>
    <row r="191" spans="1:19" x14ac:dyDescent="0.2">
      <c r="A191">
        <v>190</v>
      </c>
      <c r="B191" t="s">
        <v>113</v>
      </c>
      <c r="C191" t="s">
        <v>339</v>
      </c>
      <c r="D191" t="s">
        <v>0</v>
      </c>
      <c r="E191" t="s">
        <v>9</v>
      </c>
      <c r="F191" t="s">
        <v>11</v>
      </c>
      <c r="G191">
        <v>43</v>
      </c>
      <c r="H191">
        <v>48</v>
      </c>
      <c r="I191">
        <v>14.97</v>
      </c>
      <c r="J191">
        <v>8.08</v>
      </c>
      <c r="K191">
        <v>1.04</v>
      </c>
      <c r="L191">
        <v>0.65900000000000003</v>
      </c>
      <c r="M191">
        <v>8.8999999999999996E-2</v>
      </c>
      <c r="N191" s="21">
        <v>5.6888034188034187</v>
      </c>
      <c r="O191" s="21">
        <v>7.0265170940170938</v>
      </c>
      <c r="P191" s="21">
        <v>5.6888034188034187</v>
      </c>
      <c r="Q191" s="21" t="s">
        <v>547</v>
      </c>
      <c r="S191" t="s">
        <v>547</v>
      </c>
    </row>
    <row r="192" spans="1:19" x14ac:dyDescent="0.2">
      <c r="A192">
        <v>191</v>
      </c>
      <c r="B192" t="s">
        <v>113</v>
      </c>
      <c r="C192" t="s">
        <v>339</v>
      </c>
      <c r="D192" t="s">
        <v>0</v>
      </c>
      <c r="E192" t="s">
        <v>9</v>
      </c>
      <c r="F192" t="s">
        <v>12</v>
      </c>
      <c r="G192">
        <v>51</v>
      </c>
      <c r="H192">
        <v>41</v>
      </c>
      <c r="I192">
        <v>14.53</v>
      </c>
      <c r="J192">
        <v>6.82</v>
      </c>
      <c r="K192">
        <v>0.55000000000000004</v>
      </c>
      <c r="L192">
        <v>0.44900000000000001</v>
      </c>
      <c r="M192">
        <v>0.10199999999999999</v>
      </c>
      <c r="N192" s="21">
        <v>6.1862222222222218</v>
      </c>
      <c r="O192" s="21">
        <v>8.7864915824915819</v>
      </c>
      <c r="P192" s="21" t="s">
        <v>547</v>
      </c>
      <c r="Q192" s="21">
        <v>6.1862222222222218</v>
      </c>
      <c r="S192" t="s">
        <v>547</v>
      </c>
    </row>
    <row r="193" spans="1:19" x14ac:dyDescent="0.2">
      <c r="A193">
        <v>192</v>
      </c>
      <c r="B193" t="s">
        <v>113</v>
      </c>
      <c r="C193" t="s">
        <v>339</v>
      </c>
      <c r="D193" t="s">
        <v>0</v>
      </c>
      <c r="E193" t="s">
        <v>9</v>
      </c>
      <c r="F193" t="s">
        <v>14</v>
      </c>
      <c r="G193">
        <v>53</v>
      </c>
      <c r="H193">
        <v>51</v>
      </c>
      <c r="I193">
        <v>11.53</v>
      </c>
      <c r="J193">
        <v>5.32</v>
      </c>
      <c r="K193">
        <v>0.55000000000000004</v>
      </c>
      <c r="L193">
        <v>0.44900000000000001</v>
      </c>
      <c r="M193">
        <v>0.10199999999999999</v>
      </c>
      <c r="N193" s="21">
        <v>4.8256161616161615</v>
      </c>
      <c r="O193" s="21">
        <v>6.9723501683501672</v>
      </c>
      <c r="P193" s="21" t="s">
        <v>547</v>
      </c>
      <c r="Q193" s="21">
        <v>4.8256161616161615</v>
      </c>
      <c r="S193" t="s">
        <v>547</v>
      </c>
    </row>
    <row r="194" spans="1:19" x14ac:dyDescent="0.2">
      <c r="A194">
        <v>193</v>
      </c>
      <c r="B194" t="s">
        <v>114</v>
      </c>
      <c r="C194" t="s">
        <v>114</v>
      </c>
      <c r="D194" t="s">
        <v>0</v>
      </c>
      <c r="E194" t="s">
        <v>9</v>
      </c>
      <c r="F194" t="s">
        <v>10</v>
      </c>
      <c r="G194">
        <v>27</v>
      </c>
      <c r="H194">
        <v>35</v>
      </c>
      <c r="I194">
        <v>13.51</v>
      </c>
      <c r="J194">
        <v>8.85</v>
      </c>
      <c r="K194">
        <v>1.25</v>
      </c>
      <c r="L194">
        <v>0.75600000000000001</v>
      </c>
      <c r="M194">
        <v>0.115</v>
      </c>
      <c r="N194" s="21">
        <v>5.9472000000000005</v>
      </c>
      <c r="O194" s="21">
        <v>6.0524800000000001</v>
      </c>
      <c r="P194" s="21">
        <v>5.9472000000000005</v>
      </c>
      <c r="Q194" s="21" t="s">
        <v>547</v>
      </c>
      <c r="S194" t="s">
        <v>547</v>
      </c>
    </row>
    <row r="195" spans="1:19" x14ac:dyDescent="0.2">
      <c r="A195">
        <v>194</v>
      </c>
      <c r="B195" t="s">
        <v>114</v>
      </c>
      <c r="C195" t="s">
        <v>114</v>
      </c>
      <c r="D195" t="s">
        <v>0</v>
      </c>
      <c r="E195" t="s">
        <v>9</v>
      </c>
      <c r="F195" t="s">
        <v>11</v>
      </c>
      <c r="G195">
        <v>33</v>
      </c>
      <c r="H195">
        <v>40</v>
      </c>
      <c r="I195">
        <v>11.95</v>
      </c>
      <c r="J195">
        <v>7.95</v>
      </c>
      <c r="K195">
        <v>1.25</v>
      </c>
      <c r="L195">
        <v>0.75600000000000001</v>
      </c>
      <c r="M195">
        <v>0.115</v>
      </c>
      <c r="N195" s="21">
        <v>5.3424000000000005</v>
      </c>
      <c r="O195" s="21">
        <v>5.3535999999999992</v>
      </c>
      <c r="P195" s="21">
        <v>5.3424000000000005</v>
      </c>
      <c r="Q195" s="21" t="s">
        <v>547</v>
      </c>
      <c r="S195" t="s">
        <v>547</v>
      </c>
    </row>
    <row r="196" spans="1:19" x14ac:dyDescent="0.2">
      <c r="A196">
        <v>195</v>
      </c>
      <c r="B196" t="s">
        <v>114</v>
      </c>
      <c r="C196" t="s">
        <v>114</v>
      </c>
      <c r="D196" t="s">
        <v>0</v>
      </c>
      <c r="E196" t="s">
        <v>9</v>
      </c>
      <c r="F196" t="s">
        <v>12</v>
      </c>
      <c r="G196">
        <v>30</v>
      </c>
      <c r="H196">
        <v>28</v>
      </c>
      <c r="I196">
        <v>6.02</v>
      </c>
      <c r="J196">
        <v>5.59</v>
      </c>
      <c r="K196">
        <v>1.03</v>
      </c>
      <c r="L196">
        <v>0.62</v>
      </c>
      <c r="N196" s="21">
        <v>3.7387270765911542</v>
      </c>
      <c r="O196" s="21">
        <v>2.6842143113987778</v>
      </c>
      <c r="P196" s="21" t="s">
        <v>547</v>
      </c>
      <c r="Q196" s="21">
        <v>3.7387270765911542</v>
      </c>
      <c r="S196" t="s">
        <v>547</v>
      </c>
    </row>
    <row r="197" spans="1:19" x14ac:dyDescent="0.2">
      <c r="A197">
        <v>196</v>
      </c>
      <c r="B197" t="s">
        <v>114</v>
      </c>
      <c r="C197" t="s">
        <v>114</v>
      </c>
      <c r="D197" t="s">
        <v>0</v>
      </c>
      <c r="E197" t="s">
        <v>9</v>
      </c>
      <c r="F197" t="s">
        <v>14</v>
      </c>
      <c r="G197">
        <v>24</v>
      </c>
      <c r="H197">
        <v>24</v>
      </c>
      <c r="I197">
        <v>3.17</v>
      </c>
      <c r="J197">
        <v>3.96</v>
      </c>
      <c r="K197">
        <v>1.03</v>
      </c>
      <c r="L197">
        <v>0.62</v>
      </c>
      <c r="N197" s="21">
        <v>2.648543689320388</v>
      </c>
      <c r="O197" s="21">
        <v>1.4134483998561669</v>
      </c>
      <c r="P197" s="21" t="s">
        <v>547</v>
      </c>
      <c r="Q197" s="21">
        <v>2.648543689320388</v>
      </c>
      <c r="S197" t="s">
        <v>547</v>
      </c>
    </row>
    <row r="198" spans="1:19" x14ac:dyDescent="0.2">
      <c r="A198">
        <v>197</v>
      </c>
      <c r="B198" t="s">
        <v>115</v>
      </c>
      <c r="C198" t="s">
        <v>340</v>
      </c>
      <c r="D198" t="s">
        <v>0</v>
      </c>
      <c r="E198" t="s">
        <v>9</v>
      </c>
      <c r="F198" t="s">
        <v>10</v>
      </c>
      <c r="G198">
        <v>42</v>
      </c>
      <c r="H198">
        <v>40</v>
      </c>
      <c r="I198">
        <v>6.76</v>
      </c>
      <c r="J198">
        <v>6.04</v>
      </c>
      <c r="K198">
        <v>0.95</v>
      </c>
      <c r="L198">
        <v>0.56999999999999995</v>
      </c>
      <c r="M198">
        <v>0.13</v>
      </c>
      <c r="N198" s="21">
        <v>4.0266666666666664</v>
      </c>
      <c r="O198" s="21">
        <v>3.0044444444444447</v>
      </c>
      <c r="P198" s="21">
        <v>4.0266666666666664</v>
      </c>
      <c r="Q198" s="21" t="s">
        <v>547</v>
      </c>
      <c r="S198" t="s">
        <v>547</v>
      </c>
    </row>
    <row r="199" spans="1:19" x14ac:dyDescent="0.2">
      <c r="A199">
        <v>198</v>
      </c>
      <c r="B199" t="s">
        <v>115</v>
      </c>
      <c r="C199" t="s">
        <v>340</v>
      </c>
      <c r="D199" t="s">
        <v>0</v>
      </c>
      <c r="E199" t="s">
        <v>9</v>
      </c>
      <c r="F199" t="s">
        <v>11</v>
      </c>
      <c r="G199">
        <v>43</v>
      </c>
      <c r="H199">
        <v>35</v>
      </c>
      <c r="I199">
        <v>4.34</v>
      </c>
      <c r="J199">
        <v>4.34</v>
      </c>
      <c r="K199">
        <v>0.95</v>
      </c>
      <c r="L199">
        <v>0.56999999999999995</v>
      </c>
      <c r="M199">
        <v>0.13</v>
      </c>
      <c r="N199" s="21">
        <v>2.8933333333333331</v>
      </c>
      <c r="O199" s="21">
        <v>1.9288888888888889</v>
      </c>
      <c r="P199" s="21">
        <v>2.8933333333333331</v>
      </c>
      <c r="Q199" s="21" t="s">
        <v>547</v>
      </c>
      <c r="S199" t="s">
        <v>547</v>
      </c>
    </row>
    <row r="200" spans="1:19" x14ac:dyDescent="0.2">
      <c r="A200">
        <v>199</v>
      </c>
      <c r="B200" t="s">
        <v>115</v>
      </c>
      <c r="C200" t="s">
        <v>340</v>
      </c>
      <c r="D200" t="s">
        <v>0</v>
      </c>
      <c r="E200" t="s">
        <v>9</v>
      </c>
      <c r="F200" t="s">
        <v>12</v>
      </c>
      <c r="G200">
        <v>33</v>
      </c>
      <c r="H200">
        <v>33</v>
      </c>
      <c r="I200">
        <v>2.7</v>
      </c>
      <c r="J200">
        <v>3.31</v>
      </c>
      <c r="K200">
        <v>0.72</v>
      </c>
      <c r="L200">
        <v>0.42699999999999999</v>
      </c>
      <c r="M200">
        <v>7.0999999999999994E-2</v>
      </c>
      <c r="N200" s="21">
        <v>2.1811265432098765</v>
      </c>
      <c r="O200" s="21">
        <v>1.1861111111111111</v>
      </c>
      <c r="P200" s="21" t="s">
        <v>547</v>
      </c>
      <c r="Q200" s="21">
        <v>2.1811265432098765</v>
      </c>
      <c r="S200" t="s">
        <v>547</v>
      </c>
    </row>
    <row r="201" spans="1:19" x14ac:dyDescent="0.2">
      <c r="A201">
        <v>200</v>
      </c>
      <c r="B201" t="s">
        <v>115</v>
      </c>
      <c r="C201" t="s">
        <v>340</v>
      </c>
      <c r="D201" t="s">
        <v>0</v>
      </c>
      <c r="E201" t="s">
        <v>9</v>
      </c>
      <c r="F201" t="s">
        <v>14</v>
      </c>
      <c r="G201">
        <v>31</v>
      </c>
      <c r="H201">
        <v>31</v>
      </c>
      <c r="I201">
        <v>3.29</v>
      </c>
      <c r="J201">
        <v>3.42</v>
      </c>
      <c r="K201">
        <v>0.72</v>
      </c>
      <c r="L201">
        <v>0.42699999999999999</v>
      </c>
      <c r="M201">
        <v>7.0999999999999994E-2</v>
      </c>
      <c r="N201" s="21">
        <v>2.2536111111111112</v>
      </c>
      <c r="O201" s="21">
        <v>1.4452983539094648</v>
      </c>
      <c r="P201" s="21" t="s">
        <v>547</v>
      </c>
      <c r="Q201" s="21">
        <v>2.2536111111111112</v>
      </c>
      <c r="S201" t="s">
        <v>547</v>
      </c>
    </row>
    <row r="202" spans="1:19" x14ac:dyDescent="0.2">
      <c r="A202">
        <v>201</v>
      </c>
      <c r="B202" t="s">
        <v>116</v>
      </c>
      <c r="C202" t="s">
        <v>116</v>
      </c>
      <c r="D202" t="s">
        <v>0</v>
      </c>
      <c r="E202" t="s">
        <v>9</v>
      </c>
      <c r="F202" t="s">
        <v>10</v>
      </c>
      <c r="G202">
        <v>44</v>
      </c>
      <c r="H202">
        <v>46</v>
      </c>
      <c r="I202">
        <v>13.5</v>
      </c>
      <c r="J202">
        <v>11.1</v>
      </c>
      <c r="K202">
        <v>1.26</v>
      </c>
      <c r="N202" s="21">
        <v>7.0366528354080229</v>
      </c>
      <c r="O202" s="21">
        <v>5.7053941908713703</v>
      </c>
      <c r="P202" s="21">
        <v>7.0366528354080229</v>
      </c>
      <c r="Q202" s="21" t="s">
        <v>547</v>
      </c>
      <c r="S202" t="s">
        <v>547</v>
      </c>
    </row>
    <row r="203" spans="1:19" x14ac:dyDescent="0.2">
      <c r="A203">
        <v>202</v>
      </c>
      <c r="B203" t="s">
        <v>116</v>
      </c>
      <c r="C203" t="s">
        <v>116</v>
      </c>
      <c r="D203" t="s">
        <v>0</v>
      </c>
      <c r="E203" t="s">
        <v>9</v>
      </c>
      <c r="F203" t="s">
        <v>11</v>
      </c>
      <c r="G203">
        <v>45</v>
      </c>
      <c r="H203">
        <v>50</v>
      </c>
      <c r="I203">
        <v>16.010000000000002</v>
      </c>
      <c r="J203">
        <v>10.7</v>
      </c>
      <c r="K203">
        <v>1.26</v>
      </c>
      <c r="N203" s="21">
        <v>6.7830797602581843</v>
      </c>
      <c r="O203" s="21">
        <v>6.7661748885815296</v>
      </c>
      <c r="P203" s="21">
        <v>6.7830797602581843</v>
      </c>
      <c r="Q203" s="21" t="s">
        <v>547</v>
      </c>
      <c r="S203" t="s">
        <v>547</v>
      </c>
    </row>
    <row r="204" spans="1:19" x14ac:dyDescent="0.2">
      <c r="A204">
        <v>203</v>
      </c>
      <c r="B204" t="s">
        <v>116</v>
      </c>
      <c r="C204" t="s">
        <v>116</v>
      </c>
      <c r="D204" t="s">
        <v>0</v>
      </c>
      <c r="E204" t="s">
        <v>9</v>
      </c>
      <c r="F204" t="s">
        <v>12</v>
      </c>
      <c r="G204">
        <v>31</v>
      </c>
      <c r="H204">
        <v>33</v>
      </c>
      <c r="I204">
        <v>7.95</v>
      </c>
      <c r="J204">
        <v>4.7</v>
      </c>
      <c r="K204">
        <v>0.65</v>
      </c>
      <c r="N204" s="21">
        <v>2.9794836330106049</v>
      </c>
      <c r="O204" s="21">
        <v>3.3598432457353624</v>
      </c>
      <c r="P204" s="21" t="s">
        <v>547</v>
      </c>
      <c r="Q204" s="21">
        <v>2.9794836330106049</v>
      </c>
      <c r="S204" t="s">
        <v>547</v>
      </c>
    </row>
    <row r="205" spans="1:19" x14ac:dyDescent="0.2">
      <c r="A205">
        <v>204</v>
      </c>
      <c r="B205" t="s">
        <v>116</v>
      </c>
      <c r="C205" t="s">
        <v>116</v>
      </c>
      <c r="D205" t="s">
        <v>0</v>
      </c>
      <c r="E205" t="s">
        <v>9</v>
      </c>
      <c r="F205" t="s">
        <v>14</v>
      </c>
      <c r="G205">
        <v>30</v>
      </c>
      <c r="H205">
        <v>31</v>
      </c>
      <c r="I205">
        <v>9.5</v>
      </c>
      <c r="J205">
        <v>7.9</v>
      </c>
      <c r="K205">
        <v>0.65</v>
      </c>
      <c r="N205" s="21">
        <v>5.0080682342093139</v>
      </c>
      <c r="O205" s="21">
        <v>4.0149070232057795</v>
      </c>
      <c r="P205" s="21" t="s">
        <v>547</v>
      </c>
      <c r="Q205" s="21">
        <v>5.0080682342093139</v>
      </c>
      <c r="S205" t="s">
        <v>547</v>
      </c>
    </row>
    <row r="206" spans="1:19" x14ac:dyDescent="0.2">
      <c r="A206">
        <v>205</v>
      </c>
      <c r="B206" t="s">
        <v>117</v>
      </c>
      <c r="C206" t="s">
        <v>117</v>
      </c>
      <c r="D206" t="s">
        <v>4</v>
      </c>
      <c r="E206" t="s">
        <v>9</v>
      </c>
      <c r="F206" t="s">
        <v>10</v>
      </c>
      <c r="G206">
        <v>14</v>
      </c>
      <c r="H206">
        <v>12</v>
      </c>
      <c r="I206">
        <v>1.61</v>
      </c>
      <c r="J206">
        <v>1.52</v>
      </c>
      <c r="K206">
        <v>0.85</v>
      </c>
      <c r="L206">
        <v>0.49099999999999999</v>
      </c>
      <c r="M206">
        <v>9.9000000000000005E-2</v>
      </c>
      <c r="N206" s="21">
        <v>0.97558169934640526</v>
      </c>
      <c r="O206" s="21">
        <v>0.68889760348583895</v>
      </c>
      <c r="P206" s="21">
        <v>0.97558169934640526</v>
      </c>
      <c r="Q206" s="21" t="s">
        <v>547</v>
      </c>
      <c r="R206">
        <v>7</v>
      </c>
      <c r="S206" t="s">
        <v>547</v>
      </c>
    </row>
    <row r="207" spans="1:19" x14ac:dyDescent="0.2">
      <c r="A207">
        <v>206</v>
      </c>
      <c r="B207" t="s">
        <v>117</v>
      </c>
      <c r="C207" t="s">
        <v>117</v>
      </c>
      <c r="D207" t="s">
        <v>4</v>
      </c>
      <c r="E207" t="s">
        <v>9</v>
      </c>
      <c r="F207" t="s">
        <v>11</v>
      </c>
      <c r="G207">
        <v>13</v>
      </c>
      <c r="H207">
        <v>12</v>
      </c>
      <c r="I207">
        <v>1.59</v>
      </c>
      <c r="J207">
        <v>1.49</v>
      </c>
      <c r="K207">
        <v>0.85</v>
      </c>
      <c r="L207">
        <v>0.49099999999999999</v>
      </c>
      <c r="M207">
        <v>9.9000000000000005E-2</v>
      </c>
      <c r="N207" s="21">
        <v>0.95632679738562099</v>
      </c>
      <c r="O207" s="21">
        <v>0.68033986928104584</v>
      </c>
      <c r="P207" s="21">
        <v>0.95632679738562099</v>
      </c>
      <c r="Q207" s="21" t="s">
        <v>547</v>
      </c>
      <c r="S207" t="s">
        <v>547</v>
      </c>
    </row>
    <row r="208" spans="1:19" x14ac:dyDescent="0.2">
      <c r="A208">
        <v>207</v>
      </c>
      <c r="B208" t="s">
        <v>117</v>
      </c>
      <c r="C208" t="s">
        <v>117</v>
      </c>
      <c r="D208" t="s">
        <v>4</v>
      </c>
      <c r="E208" t="s">
        <v>9</v>
      </c>
      <c r="F208" t="s">
        <v>12</v>
      </c>
      <c r="G208">
        <v>13</v>
      </c>
      <c r="H208">
        <v>14</v>
      </c>
      <c r="I208">
        <v>1.03</v>
      </c>
      <c r="J208">
        <v>1.46</v>
      </c>
      <c r="K208">
        <v>0.6</v>
      </c>
      <c r="L208">
        <v>0.55700000000000005</v>
      </c>
      <c r="M208">
        <v>7.5999999999999998E-2</v>
      </c>
      <c r="N208" s="21">
        <v>1.5059629629629632</v>
      </c>
      <c r="O208" s="21">
        <v>0.70828395061728422</v>
      </c>
      <c r="P208" s="21" t="s">
        <v>547</v>
      </c>
      <c r="Q208" s="21">
        <v>1.5059629629629632</v>
      </c>
      <c r="S208" t="s">
        <v>547</v>
      </c>
    </row>
    <row r="209" spans="1:19" x14ac:dyDescent="0.2">
      <c r="A209">
        <v>208</v>
      </c>
      <c r="B209" t="s">
        <v>117</v>
      </c>
      <c r="C209" t="s">
        <v>117</v>
      </c>
      <c r="D209" t="s">
        <v>4</v>
      </c>
      <c r="E209" t="s">
        <v>9</v>
      </c>
      <c r="F209" t="s">
        <v>14</v>
      </c>
      <c r="G209">
        <v>14</v>
      </c>
      <c r="H209">
        <v>14</v>
      </c>
      <c r="I209">
        <v>1.5</v>
      </c>
      <c r="J209">
        <v>1.5</v>
      </c>
      <c r="K209">
        <v>0.6</v>
      </c>
      <c r="L209">
        <v>0.55700000000000005</v>
      </c>
      <c r="M209">
        <v>7.5999999999999998E-2</v>
      </c>
      <c r="N209" s="21">
        <v>1.5472222222222223</v>
      </c>
      <c r="O209" s="21">
        <v>1.0314814814814819</v>
      </c>
      <c r="P209" s="21" t="s">
        <v>547</v>
      </c>
      <c r="Q209" s="21">
        <v>1.5472222222222223</v>
      </c>
      <c r="S209" t="s">
        <v>547</v>
      </c>
    </row>
    <row r="210" spans="1:19" x14ac:dyDescent="0.2">
      <c r="A210">
        <v>209</v>
      </c>
      <c r="B210" t="s">
        <v>118</v>
      </c>
      <c r="C210" t="s">
        <v>418</v>
      </c>
      <c r="D210" t="s">
        <v>4</v>
      </c>
      <c r="E210" t="s">
        <v>9</v>
      </c>
      <c r="F210" t="s">
        <v>10</v>
      </c>
      <c r="G210">
        <v>14</v>
      </c>
      <c r="H210">
        <v>14</v>
      </c>
      <c r="I210">
        <v>3.68</v>
      </c>
      <c r="J210">
        <v>2.69</v>
      </c>
      <c r="K210">
        <v>0.92</v>
      </c>
      <c r="L210">
        <v>0.41699999999999998</v>
      </c>
      <c r="M210">
        <v>9.9000000000000005E-2</v>
      </c>
      <c r="N210" s="21">
        <v>1.3547463768115942</v>
      </c>
      <c r="O210" s="21">
        <v>1.2355555555555555</v>
      </c>
      <c r="P210" s="21">
        <v>1.3547463768115942</v>
      </c>
      <c r="Q210" s="21" t="s">
        <v>547</v>
      </c>
      <c r="S210" t="s">
        <v>547</v>
      </c>
    </row>
    <row r="211" spans="1:19" x14ac:dyDescent="0.2">
      <c r="A211">
        <v>210</v>
      </c>
      <c r="B211" t="s">
        <v>118</v>
      </c>
      <c r="C211" t="s">
        <v>418</v>
      </c>
      <c r="D211" t="s">
        <v>4</v>
      </c>
      <c r="E211" t="s">
        <v>9</v>
      </c>
      <c r="F211" t="s">
        <v>11</v>
      </c>
      <c r="G211">
        <v>14</v>
      </c>
      <c r="H211">
        <v>14</v>
      </c>
      <c r="I211">
        <v>2.35</v>
      </c>
      <c r="J211">
        <v>2.6</v>
      </c>
      <c r="K211">
        <v>0.92</v>
      </c>
      <c r="L211">
        <v>0.41699999999999998</v>
      </c>
      <c r="M211">
        <v>9.9000000000000005E-2</v>
      </c>
      <c r="N211" s="21">
        <v>1.3094202898550724</v>
      </c>
      <c r="O211" s="21">
        <v>0.78900966183574883</v>
      </c>
      <c r="P211" s="21">
        <v>1.3094202898550724</v>
      </c>
      <c r="Q211" s="21" t="s">
        <v>547</v>
      </c>
      <c r="S211" t="s">
        <v>547</v>
      </c>
    </row>
    <row r="212" spans="1:19" x14ac:dyDescent="0.2">
      <c r="A212">
        <v>211</v>
      </c>
      <c r="B212" t="s">
        <v>118</v>
      </c>
      <c r="C212" t="s">
        <v>418</v>
      </c>
      <c r="D212" t="s">
        <v>4</v>
      </c>
      <c r="E212" t="s">
        <v>9</v>
      </c>
      <c r="F212" t="s">
        <v>12</v>
      </c>
      <c r="G212">
        <v>11</v>
      </c>
      <c r="H212">
        <v>10</v>
      </c>
      <c r="I212">
        <v>2.66</v>
      </c>
      <c r="J212">
        <v>1.78</v>
      </c>
      <c r="K212">
        <v>0.91</v>
      </c>
      <c r="L212">
        <v>0.253</v>
      </c>
      <c r="M212">
        <v>8.4000000000000005E-2</v>
      </c>
      <c r="N212" s="21">
        <v>0.54986568986568995</v>
      </c>
      <c r="O212" s="21">
        <v>0.54780626780626784</v>
      </c>
      <c r="P212" s="21" t="s">
        <v>547</v>
      </c>
      <c r="Q212" s="21">
        <v>0.54986568986568995</v>
      </c>
      <c r="S212" t="s">
        <v>547</v>
      </c>
    </row>
    <row r="213" spans="1:19" x14ac:dyDescent="0.2">
      <c r="A213">
        <v>212</v>
      </c>
      <c r="B213" t="s">
        <v>118</v>
      </c>
      <c r="C213" t="s">
        <v>418</v>
      </c>
      <c r="D213" t="s">
        <v>4</v>
      </c>
      <c r="E213" t="s">
        <v>9</v>
      </c>
      <c r="F213" t="s">
        <v>14</v>
      </c>
      <c r="G213">
        <v>17</v>
      </c>
      <c r="H213">
        <v>17</v>
      </c>
      <c r="I213">
        <v>2.95</v>
      </c>
      <c r="J213">
        <v>2.44</v>
      </c>
      <c r="K213">
        <v>0.91</v>
      </c>
      <c r="L213">
        <v>0.253</v>
      </c>
      <c r="M213">
        <v>8.4000000000000005E-2</v>
      </c>
      <c r="N213" s="21">
        <v>0.75374847374847387</v>
      </c>
      <c r="O213" s="21">
        <v>0.60752950752950752</v>
      </c>
      <c r="P213" s="21" t="s">
        <v>547</v>
      </c>
      <c r="Q213" s="21">
        <v>0.75374847374847387</v>
      </c>
      <c r="S213" t="s">
        <v>547</v>
      </c>
    </row>
    <row r="214" spans="1:19" x14ac:dyDescent="0.2">
      <c r="A214">
        <v>213</v>
      </c>
      <c r="B214" t="s">
        <v>119</v>
      </c>
      <c r="C214" t="s">
        <v>119</v>
      </c>
      <c r="D214" t="s">
        <v>4</v>
      </c>
      <c r="E214" t="s">
        <v>9</v>
      </c>
      <c r="F214" t="s">
        <v>10</v>
      </c>
      <c r="G214">
        <v>28</v>
      </c>
      <c r="H214">
        <v>29</v>
      </c>
      <c r="I214">
        <v>3.96</v>
      </c>
      <c r="J214">
        <v>4.5599999999999996</v>
      </c>
      <c r="K214">
        <v>0.76</v>
      </c>
      <c r="L214">
        <v>0.46</v>
      </c>
      <c r="M214">
        <v>9.7000000000000003E-2</v>
      </c>
      <c r="N214" s="21">
        <v>3.0666666666666664</v>
      </c>
      <c r="O214" s="21">
        <v>1.775438596491228</v>
      </c>
      <c r="P214" s="21">
        <v>3.0666666666666664</v>
      </c>
      <c r="Q214" s="21" t="s">
        <v>547</v>
      </c>
      <c r="S214" t="s">
        <v>547</v>
      </c>
    </row>
    <row r="215" spans="1:19" x14ac:dyDescent="0.2">
      <c r="A215">
        <v>214</v>
      </c>
      <c r="B215" t="s">
        <v>119</v>
      </c>
      <c r="C215" t="s">
        <v>119</v>
      </c>
      <c r="D215" t="s">
        <v>4</v>
      </c>
      <c r="E215" t="s">
        <v>9</v>
      </c>
      <c r="F215" t="s">
        <v>11</v>
      </c>
      <c r="G215">
        <v>33</v>
      </c>
      <c r="H215">
        <v>28</v>
      </c>
      <c r="I215">
        <v>7.65</v>
      </c>
      <c r="J215">
        <v>6.95</v>
      </c>
      <c r="K215">
        <v>0.76</v>
      </c>
      <c r="L215">
        <v>0.46</v>
      </c>
      <c r="M215">
        <v>9.7000000000000003E-2</v>
      </c>
      <c r="N215" s="21">
        <v>4.673976608187135</v>
      </c>
      <c r="O215" s="21">
        <v>3.429824561403509</v>
      </c>
      <c r="P215" s="21">
        <v>4.673976608187135</v>
      </c>
      <c r="Q215" s="21" t="s">
        <v>547</v>
      </c>
      <c r="S215" t="s">
        <v>547</v>
      </c>
    </row>
    <row r="216" spans="1:19" x14ac:dyDescent="0.2">
      <c r="A216">
        <v>215</v>
      </c>
      <c r="B216" t="s">
        <v>119</v>
      </c>
      <c r="C216" t="s">
        <v>119</v>
      </c>
      <c r="D216" t="s">
        <v>4</v>
      </c>
      <c r="E216" t="s">
        <v>9</v>
      </c>
      <c r="F216" t="s">
        <v>12</v>
      </c>
      <c r="G216">
        <v>18</v>
      </c>
      <c r="H216">
        <v>25</v>
      </c>
      <c r="I216">
        <v>1.76</v>
      </c>
      <c r="J216">
        <v>2.9</v>
      </c>
      <c r="K216">
        <v>0.65</v>
      </c>
      <c r="L216">
        <v>0.41399999999999998</v>
      </c>
      <c r="M216">
        <v>8.4000000000000005E-2</v>
      </c>
      <c r="N216" s="21">
        <v>2.0523076923076919</v>
      </c>
      <c r="O216" s="21">
        <v>0.83035897435897432</v>
      </c>
      <c r="P216" s="21" t="s">
        <v>547</v>
      </c>
      <c r="Q216" s="21">
        <v>2.0523076923076919</v>
      </c>
      <c r="S216" t="s">
        <v>547</v>
      </c>
    </row>
    <row r="217" spans="1:19" x14ac:dyDescent="0.2">
      <c r="A217">
        <v>216</v>
      </c>
      <c r="B217" t="s">
        <v>119</v>
      </c>
      <c r="C217" t="s">
        <v>119</v>
      </c>
      <c r="D217" t="s">
        <v>4</v>
      </c>
      <c r="E217" t="s">
        <v>9</v>
      </c>
      <c r="F217" t="s">
        <v>14</v>
      </c>
      <c r="G217">
        <v>14</v>
      </c>
      <c r="H217">
        <v>16</v>
      </c>
      <c r="I217">
        <v>1.73</v>
      </c>
      <c r="J217">
        <v>2.12</v>
      </c>
      <c r="K217">
        <v>0.65</v>
      </c>
      <c r="L217">
        <v>0.41399999999999998</v>
      </c>
      <c r="M217">
        <v>8.4000000000000005E-2</v>
      </c>
      <c r="N217" s="21">
        <v>1.5003076923076921</v>
      </c>
      <c r="O217" s="21">
        <v>0.81620512820512814</v>
      </c>
      <c r="P217" s="21" t="s">
        <v>547</v>
      </c>
      <c r="Q217" s="21">
        <v>1.5003076923076921</v>
      </c>
      <c r="S217" t="s">
        <v>547</v>
      </c>
    </row>
    <row r="218" spans="1:19" x14ac:dyDescent="0.2">
      <c r="A218">
        <v>217</v>
      </c>
      <c r="B218" t="s">
        <v>120</v>
      </c>
      <c r="C218" t="s">
        <v>341</v>
      </c>
      <c r="D218" t="s">
        <v>4</v>
      </c>
      <c r="E218" t="s">
        <v>9</v>
      </c>
      <c r="F218" t="s">
        <v>10</v>
      </c>
      <c r="G218">
        <v>16</v>
      </c>
      <c r="H218">
        <v>12</v>
      </c>
      <c r="I218">
        <v>3.22</v>
      </c>
      <c r="J218">
        <v>3.14</v>
      </c>
      <c r="K218">
        <v>1.54</v>
      </c>
      <c r="L218">
        <v>0.65300000000000002</v>
      </c>
      <c r="M218">
        <v>0.122</v>
      </c>
      <c r="N218" s="21">
        <v>1.4793795093795095</v>
      </c>
      <c r="O218" s="21">
        <v>1.0113804713804717</v>
      </c>
      <c r="P218" s="21">
        <v>1.4793795093795095</v>
      </c>
      <c r="Q218" s="21" t="s">
        <v>547</v>
      </c>
      <c r="S218" t="s">
        <v>547</v>
      </c>
    </row>
    <row r="219" spans="1:19" x14ac:dyDescent="0.2">
      <c r="A219">
        <v>218</v>
      </c>
      <c r="B219" t="s">
        <v>120</v>
      </c>
      <c r="C219" t="s">
        <v>341</v>
      </c>
      <c r="D219" t="s">
        <v>4</v>
      </c>
      <c r="E219" t="s">
        <v>9</v>
      </c>
      <c r="F219" t="s">
        <v>11</v>
      </c>
      <c r="G219">
        <v>13</v>
      </c>
      <c r="H219">
        <v>17</v>
      </c>
      <c r="I219">
        <v>5.66</v>
      </c>
      <c r="J219">
        <v>3.94</v>
      </c>
      <c r="K219">
        <v>1.54</v>
      </c>
      <c r="L219">
        <v>0.65300000000000002</v>
      </c>
      <c r="M219">
        <v>0.122</v>
      </c>
      <c r="N219" s="21">
        <v>1.8562914862914865</v>
      </c>
      <c r="O219" s="21">
        <v>1.7777681577681579</v>
      </c>
      <c r="P219" s="21">
        <v>1.8562914862914865</v>
      </c>
      <c r="Q219" s="21" t="s">
        <v>547</v>
      </c>
      <c r="S219" t="s">
        <v>547</v>
      </c>
    </row>
    <row r="220" spans="1:19" x14ac:dyDescent="0.2">
      <c r="A220">
        <v>219</v>
      </c>
      <c r="B220" t="s">
        <v>120</v>
      </c>
      <c r="C220" t="s">
        <v>341</v>
      </c>
      <c r="D220" t="s">
        <v>4</v>
      </c>
      <c r="E220" t="s">
        <v>9</v>
      </c>
      <c r="F220" t="s">
        <v>12</v>
      </c>
      <c r="G220">
        <v>20</v>
      </c>
      <c r="H220">
        <v>16</v>
      </c>
      <c r="I220">
        <v>0.8</v>
      </c>
      <c r="J220">
        <v>0.84</v>
      </c>
      <c r="K220">
        <v>0.25</v>
      </c>
      <c r="L220">
        <v>0.157</v>
      </c>
      <c r="M220">
        <v>4.2000000000000003E-2</v>
      </c>
      <c r="N220" s="21">
        <v>0.5861333333333334</v>
      </c>
      <c r="O220" s="21">
        <v>0.37214814814814817</v>
      </c>
      <c r="P220" s="21" t="s">
        <v>547</v>
      </c>
      <c r="Q220" s="21">
        <v>0.5861333333333334</v>
      </c>
      <c r="S220" t="s">
        <v>547</v>
      </c>
    </row>
    <row r="221" spans="1:19" x14ac:dyDescent="0.2">
      <c r="A221">
        <v>220</v>
      </c>
      <c r="B221" t="s">
        <v>120</v>
      </c>
      <c r="C221" t="s">
        <v>341</v>
      </c>
      <c r="D221" t="s">
        <v>4</v>
      </c>
      <c r="E221" t="s">
        <v>9</v>
      </c>
      <c r="F221" t="s">
        <v>14</v>
      </c>
      <c r="G221">
        <v>26</v>
      </c>
      <c r="H221">
        <v>23</v>
      </c>
      <c r="I221">
        <v>1.34</v>
      </c>
      <c r="J221">
        <v>0.94</v>
      </c>
      <c r="K221">
        <v>0.25</v>
      </c>
      <c r="L221">
        <v>0.157</v>
      </c>
      <c r="M221">
        <v>4.2000000000000003E-2</v>
      </c>
      <c r="N221" s="21">
        <v>0.65591111111111111</v>
      </c>
      <c r="O221" s="21">
        <v>0.62334814814814821</v>
      </c>
      <c r="P221" s="21" t="s">
        <v>547</v>
      </c>
      <c r="Q221" s="21">
        <v>0.65591111111111111</v>
      </c>
      <c r="S221" t="s">
        <v>547</v>
      </c>
    </row>
    <row r="222" spans="1:19" x14ac:dyDescent="0.2">
      <c r="A222">
        <v>221</v>
      </c>
      <c r="B222" t="s">
        <v>121</v>
      </c>
      <c r="C222" t="s">
        <v>121</v>
      </c>
      <c r="D222" t="s">
        <v>4</v>
      </c>
      <c r="E222" t="s">
        <v>9</v>
      </c>
      <c r="F222" t="s">
        <v>10</v>
      </c>
      <c r="G222">
        <v>25</v>
      </c>
      <c r="H222">
        <v>22</v>
      </c>
      <c r="I222">
        <v>3.18</v>
      </c>
      <c r="J222">
        <v>3.01</v>
      </c>
      <c r="K222">
        <v>0.99</v>
      </c>
      <c r="L222">
        <v>0.57899999999999996</v>
      </c>
      <c r="M222">
        <v>0.11899999999999999</v>
      </c>
      <c r="N222" s="21">
        <v>1.955993265993266</v>
      </c>
      <c r="O222" s="21">
        <v>1.3776430976430978</v>
      </c>
      <c r="P222" s="21">
        <v>1.955993265993266</v>
      </c>
      <c r="Q222" s="21" t="s">
        <v>547</v>
      </c>
      <c r="S222" t="s">
        <v>547</v>
      </c>
    </row>
    <row r="223" spans="1:19" x14ac:dyDescent="0.2">
      <c r="A223">
        <v>222</v>
      </c>
      <c r="B223" t="s">
        <v>121</v>
      </c>
      <c r="C223" t="s">
        <v>121</v>
      </c>
      <c r="D223" t="s">
        <v>4</v>
      </c>
      <c r="E223" t="s">
        <v>9</v>
      </c>
      <c r="F223" t="s">
        <v>11</v>
      </c>
      <c r="G223">
        <v>30</v>
      </c>
      <c r="H223">
        <v>28</v>
      </c>
      <c r="I223">
        <v>4.1100000000000003</v>
      </c>
      <c r="J223">
        <v>4.2300000000000004</v>
      </c>
      <c r="K223">
        <v>0.99</v>
      </c>
      <c r="L223">
        <v>0.57899999999999996</v>
      </c>
      <c r="M223">
        <v>0.11899999999999999</v>
      </c>
      <c r="N223" s="21">
        <v>2.7487878787878794</v>
      </c>
      <c r="O223" s="21">
        <v>1.7805387205387209</v>
      </c>
      <c r="P223" s="21">
        <v>2.7487878787878794</v>
      </c>
      <c r="Q223" s="21" t="s">
        <v>547</v>
      </c>
      <c r="S223" t="s">
        <v>547</v>
      </c>
    </row>
    <row r="224" spans="1:19" x14ac:dyDescent="0.2">
      <c r="A224">
        <v>223</v>
      </c>
      <c r="B224" t="s">
        <v>121</v>
      </c>
      <c r="C224" t="s">
        <v>121</v>
      </c>
      <c r="D224" t="s">
        <v>4</v>
      </c>
      <c r="E224" t="s">
        <v>9</v>
      </c>
      <c r="F224" t="s">
        <v>12</v>
      </c>
      <c r="G224">
        <v>29</v>
      </c>
      <c r="H224">
        <v>30</v>
      </c>
      <c r="I224">
        <v>1.59</v>
      </c>
      <c r="J224">
        <v>2.5</v>
      </c>
      <c r="K224">
        <v>0.26</v>
      </c>
      <c r="L224">
        <v>0.32100000000000001</v>
      </c>
      <c r="M224">
        <v>7.0999999999999994E-2</v>
      </c>
      <c r="N224" s="21">
        <v>3.4294871794871797</v>
      </c>
      <c r="O224" s="21">
        <v>1.454102564102564</v>
      </c>
      <c r="P224" s="21" t="s">
        <v>547</v>
      </c>
      <c r="Q224" s="21">
        <v>3.4294871794871797</v>
      </c>
      <c r="S224" t="s">
        <v>547</v>
      </c>
    </row>
    <row r="225" spans="1:19" x14ac:dyDescent="0.2">
      <c r="A225">
        <v>224</v>
      </c>
      <c r="B225" t="s">
        <v>121</v>
      </c>
      <c r="C225" t="s">
        <v>121</v>
      </c>
      <c r="D225" t="s">
        <v>4</v>
      </c>
      <c r="E225" t="s">
        <v>9</v>
      </c>
      <c r="F225" t="s">
        <v>14</v>
      </c>
      <c r="G225">
        <v>22</v>
      </c>
      <c r="H225">
        <v>12</v>
      </c>
      <c r="I225">
        <v>0.81</v>
      </c>
      <c r="J225">
        <v>0.61</v>
      </c>
      <c r="K225">
        <v>0.26</v>
      </c>
      <c r="L225">
        <v>0.32100000000000001</v>
      </c>
      <c r="M225">
        <v>7.0999999999999994E-2</v>
      </c>
      <c r="N225" s="21">
        <v>0.83679487179487189</v>
      </c>
      <c r="O225" s="21">
        <v>0.74076923076923085</v>
      </c>
      <c r="P225" s="21" t="s">
        <v>547</v>
      </c>
      <c r="Q225" s="21">
        <v>0.83679487179487189</v>
      </c>
      <c r="S225" t="s">
        <v>547</v>
      </c>
    </row>
    <row r="226" spans="1:19" x14ac:dyDescent="0.2">
      <c r="A226">
        <v>225</v>
      </c>
      <c r="B226" t="s">
        <v>122</v>
      </c>
      <c r="C226" t="s">
        <v>342</v>
      </c>
      <c r="D226" t="s">
        <v>4</v>
      </c>
      <c r="E226" t="s">
        <v>9</v>
      </c>
      <c r="F226" t="s">
        <v>10</v>
      </c>
      <c r="G226">
        <v>24</v>
      </c>
      <c r="H226">
        <v>35</v>
      </c>
      <c r="I226">
        <v>11.61</v>
      </c>
      <c r="J226">
        <v>7.11</v>
      </c>
      <c r="K226">
        <v>0.98</v>
      </c>
      <c r="L226">
        <v>0.13300000000000001</v>
      </c>
      <c r="M226">
        <v>5.8000000000000003E-2</v>
      </c>
      <c r="N226" s="21">
        <v>1.0721428571428573</v>
      </c>
      <c r="O226" s="21">
        <v>1.1671428571428573</v>
      </c>
      <c r="P226" s="21">
        <v>1.0721428571428573</v>
      </c>
      <c r="Q226" s="21" t="s">
        <v>547</v>
      </c>
      <c r="S226" t="s">
        <v>547</v>
      </c>
    </row>
    <row r="227" spans="1:19" x14ac:dyDescent="0.2">
      <c r="A227">
        <v>226</v>
      </c>
      <c r="B227" t="s">
        <v>122</v>
      </c>
      <c r="C227" t="s">
        <v>342</v>
      </c>
      <c r="D227" t="s">
        <v>4</v>
      </c>
      <c r="E227" t="s">
        <v>9</v>
      </c>
      <c r="F227" t="s">
        <v>11</v>
      </c>
      <c r="G227">
        <v>25</v>
      </c>
      <c r="H227">
        <v>28</v>
      </c>
      <c r="I227">
        <v>10.17</v>
      </c>
      <c r="J227">
        <v>7.1</v>
      </c>
      <c r="K227">
        <v>0.98</v>
      </c>
      <c r="L227">
        <v>0.13300000000000001</v>
      </c>
      <c r="M227">
        <v>5.8000000000000003E-2</v>
      </c>
      <c r="N227" s="21">
        <v>1.0706349206349208</v>
      </c>
      <c r="O227" s="21">
        <v>1.0223809523809526</v>
      </c>
      <c r="P227" s="21">
        <v>1.0706349206349208</v>
      </c>
      <c r="Q227" s="21" t="s">
        <v>547</v>
      </c>
      <c r="S227" t="s">
        <v>547</v>
      </c>
    </row>
    <row r="228" spans="1:19" x14ac:dyDescent="0.2">
      <c r="A228">
        <v>227</v>
      </c>
      <c r="B228" t="s">
        <v>122</v>
      </c>
      <c r="C228" t="s">
        <v>342</v>
      </c>
      <c r="D228" t="s">
        <v>4</v>
      </c>
      <c r="E228" t="s">
        <v>9</v>
      </c>
      <c r="F228" t="s">
        <v>12</v>
      </c>
      <c r="G228">
        <v>32</v>
      </c>
      <c r="H228">
        <v>30</v>
      </c>
      <c r="I228">
        <v>3.55</v>
      </c>
      <c r="J228">
        <v>3.55</v>
      </c>
      <c r="K228">
        <v>0.86</v>
      </c>
      <c r="L228">
        <v>0.55200000000000005</v>
      </c>
      <c r="M228">
        <v>0.111</v>
      </c>
      <c r="N228" s="21">
        <v>2.5317829457364343</v>
      </c>
      <c r="O228" s="21">
        <v>1.6878552971576228</v>
      </c>
      <c r="P228" s="21" t="s">
        <v>547</v>
      </c>
      <c r="Q228" s="21">
        <v>2.5317829457364343</v>
      </c>
      <c r="S228" t="s">
        <v>547</v>
      </c>
    </row>
    <row r="229" spans="1:19" x14ac:dyDescent="0.2">
      <c r="A229">
        <v>228</v>
      </c>
      <c r="B229" t="s">
        <v>122</v>
      </c>
      <c r="C229" t="s">
        <v>342</v>
      </c>
      <c r="D229" t="s">
        <v>4</v>
      </c>
      <c r="E229" t="s">
        <v>9</v>
      </c>
      <c r="F229" t="s">
        <v>14</v>
      </c>
      <c r="G229">
        <v>54</v>
      </c>
      <c r="H229">
        <v>46</v>
      </c>
      <c r="I229">
        <v>3.88</v>
      </c>
      <c r="J229">
        <v>5.29</v>
      </c>
      <c r="K229">
        <v>0.86</v>
      </c>
      <c r="L229">
        <v>0.55200000000000005</v>
      </c>
      <c r="M229">
        <v>0.111</v>
      </c>
      <c r="N229" s="21">
        <v>3.7727131782945746</v>
      </c>
      <c r="O229" s="21">
        <v>1.8447545219638246</v>
      </c>
      <c r="P229" s="21" t="s">
        <v>547</v>
      </c>
      <c r="Q229" s="21">
        <v>3.7727131782945746</v>
      </c>
      <c r="S229" t="s">
        <v>547</v>
      </c>
    </row>
    <row r="230" spans="1:19" x14ac:dyDescent="0.2">
      <c r="A230">
        <v>229</v>
      </c>
      <c r="B230" t="s">
        <v>123</v>
      </c>
      <c r="C230" t="s">
        <v>123</v>
      </c>
      <c r="D230" t="s">
        <v>4</v>
      </c>
      <c r="E230" t="s">
        <v>9</v>
      </c>
      <c r="F230" t="s">
        <v>10</v>
      </c>
      <c r="G230">
        <v>13</v>
      </c>
      <c r="H230">
        <v>12</v>
      </c>
      <c r="I230">
        <v>3.2</v>
      </c>
      <c r="J230">
        <v>1.94</v>
      </c>
      <c r="K230">
        <v>1.1000000000000001</v>
      </c>
      <c r="L230">
        <v>0.38900000000000001</v>
      </c>
      <c r="M230">
        <v>6.7000000000000004E-2</v>
      </c>
      <c r="N230" s="21">
        <v>0.76228282828282834</v>
      </c>
      <c r="O230" s="21">
        <v>0.83824915824915835</v>
      </c>
      <c r="P230" s="21">
        <v>0.76228282828282834</v>
      </c>
      <c r="Q230" s="21" t="s">
        <v>547</v>
      </c>
      <c r="S230" t="s">
        <v>547</v>
      </c>
    </row>
    <row r="231" spans="1:19" x14ac:dyDescent="0.2">
      <c r="A231">
        <v>230</v>
      </c>
      <c r="B231" t="s">
        <v>123</v>
      </c>
      <c r="C231" t="s">
        <v>123</v>
      </c>
      <c r="D231" t="s">
        <v>4</v>
      </c>
      <c r="E231" t="s">
        <v>9</v>
      </c>
      <c r="F231" t="s">
        <v>11</v>
      </c>
      <c r="G231">
        <v>26</v>
      </c>
      <c r="H231">
        <v>24</v>
      </c>
      <c r="I231">
        <v>4.5</v>
      </c>
      <c r="J231">
        <v>3.54</v>
      </c>
      <c r="K231">
        <v>1.1000000000000001</v>
      </c>
      <c r="L231">
        <v>0.38900000000000001</v>
      </c>
      <c r="M231">
        <v>6.7000000000000004E-2</v>
      </c>
      <c r="N231" s="21">
        <v>1.390969696969697</v>
      </c>
      <c r="O231" s="21">
        <v>1.1787878787878787</v>
      </c>
      <c r="P231" s="21">
        <v>1.390969696969697</v>
      </c>
      <c r="Q231" s="21" t="s">
        <v>547</v>
      </c>
      <c r="S231" t="s">
        <v>547</v>
      </c>
    </row>
    <row r="232" spans="1:19" x14ac:dyDescent="0.2">
      <c r="A232">
        <v>231</v>
      </c>
      <c r="B232" t="s">
        <v>123</v>
      </c>
      <c r="C232" t="s">
        <v>123</v>
      </c>
      <c r="D232" t="s">
        <v>4</v>
      </c>
      <c r="E232" t="s">
        <v>9</v>
      </c>
      <c r="F232" t="s">
        <v>12</v>
      </c>
      <c r="G232">
        <v>20</v>
      </c>
      <c r="H232">
        <v>14</v>
      </c>
      <c r="I232">
        <v>2.81</v>
      </c>
      <c r="J232">
        <v>1.58</v>
      </c>
      <c r="K232">
        <v>0.38</v>
      </c>
      <c r="L232">
        <v>0.13300000000000001</v>
      </c>
      <c r="M232">
        <v>5.8000000000000003E-2</v>
      </c>
      <c r="N232" s="21">
        <v>0.61444444444444457</v>
      </c>
      <c r="O232" s="21">
        <v>0.72851851851851845</v>
      </c>
      <c r="P232" s="21" t="s">
        <v>547</v>
      </c>
      <c r="Q232" s="21">
        <v>0.61444444444444457</v>
      </c>
      <c r="S232" t="s">
        <v>547</v>
      </c>
    </row>
    <row r="233" spans="1:19" x14ac:dyDescent="0.2">
      <c r="A233">
        <v>232</v>
      </c>
      <c r="B233" t="s">
        <v>123</v>
      </c>
      <c r="C233" t="s">
        <v>123</v>
      </c>
      <c r="D233" t="s">
        <v>4</v>
      </c>
      <c r="E233" t="s">
        <v>9</v>
      </c>
      <c r="F233" t="s">
        <v>14</v>
      </c>
      <c r="G233">
        <v>22</v>
      </c>
      <c r="H233">
        <v>20</v>
      </c>
      <c r="I233">
        <v>3</v>
      </c>
      <c r="J233">
        <v>2.2000000000000002</v>
      </c>
      <c r="K233">
        <v>0.38</v>
      </c>
      <c r="L233">
        <v>0.13300000000000001</v>
      </c>
      <c r="M233">
        <v>5.8000000000000003E-2</v>
      </c>
      <c r="N233" s="21">
        <v>0.85555555555555574</v>
      </c>
      <c r="O233" s="21">
        <v>0.77777777777777779</v>
      </c>
      <c r="P233" s="21" t="s">
        <v>547</v>
      </c>
      <c r="Q233" s="21">
        <v>0.85555555555555574</v>
      </c>
      <c r="S233" t="s">
        <v>547</v>
      </c>
    </row>
    <row r="234" spans="1:19" x14ac:dyDescent="0.2">
      <c r="A234">
        <v>233</v>
      </c>
      <c r="B234" t="s">
        <v>124</v>
      </c>
      <c r="C234" t="s">
        <v>422</v>
      </c>
      <c r="D234" t="s">
        <v>4</v>
      </c>
      <c r="E234" t="s">
        <v>9</v>
      </c>
      <c r="F234" t="s">
        <v>10</v>
      </c>
      <c r="G234">
        <v>38</v>
      </c>
      <c r="H234">
        <v>38</v>
      </c>
      <c r="I234">
        <v>13.82</v>
      </c>
      <c r="J234">
        <v>7.82</v>
      </c>
      <c r="K234">
        <v>1.24</v>
      </c>
      <c r="L234">
        <v>0.75600000000000001</v>
      </c>
      <c r="M234">
        <v>0.16800000000000001</v>
      </c>
      <c r="N234" s="21">
        <v>5.297419354838711</v>
      </c>
      <c r="O234" s="21">
        <v>6.241290322580646</v>
      </c>
      <c r="P234" s="21">
        <v>5.297419354838711</v>
      </c>
      <c r="Q234" s="21" t="s">
        <v>547</v>
      </c>
      <c r="S234" t="s">
        <v>547</v>
      </c>
    </row>
    <row r="235" spans="1:19" x14ac:dyDescent="0.2">
      <c r="A235">
        <v>234</v>
      </c>
      <c r="B235" t="s">
        <v>124</v>
      </c>
      <c r="C235" t="s">
        <v>422</v>
      </c>
      <c r="D235" t="s">
        <v>4</v>
      </c>
      <c r="E235" t="s">
        <v>9</v>
      </c>
      <c r="F235" t="s">
        <v>11</v>
      </c>
      <c r="G235">
        <v>33</v>
      </c>
      <c r="H235">
        <v>40</v>
      </c>
      <c r="I235">
        <v>13.77</v>
      </c>
      <c r="J235">
        <v>9.98</v>
      </c>
      <c r="K235">
        <v>1.24</v>
      </c>
      <c r="L235">
        <v>0.75600000000000001</v>
      </c>
      <c r="M235">
        <v>0.16800000000000001</v>
      </c>
      <c r="N235" s="21">
        <v>6.7606451612903244</v>
      </c>
      <c r="O235" s="21">
        <v>6.2187096774193558</v>
      </c>
      <c r="P235" s="21">
        <v>6.7606451612903244</v>
      </c>
      <c r="Q235" s="21" t="s">
        <v>547</v>
      </c>
      <c r="S235" t="s">
        <v>547</v>
      </c>
    </row>
    <row r="236" spans="1:19" x14ac:dyDescent="0.2">
      <c r="A236">
        <v>235</v>
      </c>
      <c r="B236" t="s">
        <v>124</v>
      </c>
      <c r="C236" t="s">
        <v>422</v>
      </c>
      <c r="D236" t="s">
        <v>4</v>
      </c>
      <c r="E236" t="s">
        <v>9</v>
      </c>
      <c r="F236" t="s">
        <v>12</v>
      </c>
      <c r="G236">
        <v>24</v>
      </c>
      <c r="H236">
        <v>19</v>
      </c>
      <c r="I236">
        <v>4.47</v>
      </c>
      <c r="J236">
        <v>3.8</v>
      </c>
      <c r="K236">
        <v>0.89</v>
      </c>
      <c r="L236">
        <v>0.52</v>
      </c>
      <c r="M236">
        <v>0.1</v>
      </c>
      <c r="N236" s="21">
        <v>2.4669163545568038</v>
      </c>
      <c r="O236" s="21">
        <v>1.93458177278402</v>
      </c>
      <c r="P236" s="21" t="s">
        <v>547</v>
      </c>
      <c r="Q236" s="21">
        <v>2.4669163545568038</v>
      </c>
      <c r="S236" t="s">
        <v>547</v>
      </c>
    </row>
    <row r="237" spans="1:19" x14ac:dyDescent="0.2">
      <c r="A237">
        <v>236</v>
      </c>
      <c r="B237" t="s">
        <v>124</v>
      </c>
      <c r="C237" t="s">
        <v>422</v>
      </c>
      <c r="D237" t="s">
        <v>4</v>
      </c>
      <c r="E237" t="s">
        <v>9</v>
      </c>
      <c r="F237" t="s">
        <v>14</v>
      </c>
      <c r="G237">
        <v>17</v>
      </c>
      <c r="H237">
        <v>19</v>
      </c>
      <c r="I237">
        <v>5.7</v>
      </c>
      <c r="J237">
        <v>4.34</v>
      </c>
      <c r="K237">
        <v>0.89</v>
      </c>
      <c r="L237">
        <v>0.52</v>
      </c>
      <c r="M237">
        <v>0.1</v>
      </c>
      <c r="N237" s="21">
        <v>2.8174781523096133</v>
      </c>
      <c r="O237" s="21">
        <v>2.4669163545568038</v>
      </c>
      <c r="P237" s="21" t="s">
        <v>547</v>
      </c>
      <c r="Q237" s="21">
        <v>2.8174781523096133</v>
      </c>
      <c r="S237" t="s">
        <v>547</v>
      </c>
    </row>
    <row r="238" spans="1:19" x14ac:dyDescent="0.2">
      <c r="A238">
        <v>237</v>
      </c>
      <c r="B238" t="s">
        <v>125</v>
      </c>
      <c r="C238" t="s">
        <v>125</v>
      </c>
      <c r="D238" t="s">
        <v>4</v>
      </c>
      <c r="E238" t="s">
        <v>9</v>
      </c>
      <c r="F238" t="s">
        <v>12</v>
      </c>
      <c r="G238">
        <v>13</v>
      </c>
      <c r="H238">
        <v>9</v>
      </c>
      <c r="I238">
        <v>1.2</v>
      </c>
      <c r="J238">
        <v>1.45</v>
      </c>
      <c r="K238">
        <v>0.6</v>
      </c>
      <c r="L238">
        <v>0.36299999999999999</v>
      </c>
      <c r="M238">
        <v>7.5999999999999998E-2</v>
      </c>
      <c r="N238" s="21">
        <v>0.97472222222222227</v>
      </c>
      <c r="O238" s="21">
        <v>0.5377777777777778</v>
      </c>
      <c r="P238" s="21" t="s">
        <v>547</v>
      </c>
      <c r="Q238" s="21">
        <v>0.97472222222222227</v>
      </c>
      <c r="S238" t="s">
        <v>547</v>
      </c>
    </row>
    <row r="239" spans="1:19" x14ac:dyDescent="0.2">
      <c r="A239">
        <v>238</v>
      </c>
      <c r="B239" t="s">
        <v>125</v>
      </c>
      <c r="C239" t="s">
        <v>125</v>
      </c>
      <c r="D239" t="s">
        <v>4</v>
      </c>
      <c r="E239" t="s">
        <v>9</v>
      </c>
      <c r="F239" t="s">
        <v>14</v>
      </c>
      <c r="G239">
        <v>16</v>
      </c>
      <c r="H239">
        <v>16</v>
      </c>
      <c r="I239">
        <v>0.95</v>
      </c>
      <c r="J239">
        <v>0.95</v>
      </c>
      <c r="K239">
        <v>0.6</v>
      </c>
      <c r="L239">
        <v>0.36299999999999999</v>
      </c>
      <c r="M239">
        <v>7.5999999999999998E-2</v>
      </c>
      <c r="N239" s="21">
        <v>0.63861111111111113</v>
      </c>
      <c r="O239" s="21">
        <v>0.42574074074074081</v>
      </c>
      <c r="P239" s="21" t="s">
        <v>547</v>
      </c>
      <c r="Q239" s="21">
        <v>0.63861111111111113</v>
      </c>
      <c r="S239" t="s">
        <v>547</v>
      </c>
    </row>
    <row r="240" spans="1:19" x14ac:dyDescent="0.2">
      <c r="A240">
        <v>239</v>
      </c>
      <c r="B240" t="s">
        <v>125</v>
      </c>
      <c r="C240" t="s">
        <v>125</v>
      </c>
      <c r="D240" t="s">
        <v>4</v>
      </c>
      <c r="E240" t="s">
        <v>9</v>
      </c>
      <c r="F240" t="s">
        <v>10</v>
      </c>
      <c r="G240">
        <v>14</v>
      </c>
      <c r="H240">
        <v>18</v>
      </c>
      <c r="I240">
        <v>4.6399999999999997</v>
      </c>
      <c r="J240">
        <v>4.5</v>
      </c>
      <c r="K240">
        <v>0.99</v>
      </c>
      <c r="L240">
        <v>0.52300000000000002</v>
      </c>
      <c r="M240">
        <v>0.105</v>
      </c>
      <c r="N240" s="21">
        <v>2.6414141414141419</v>
      </c>
      <c r="O240" s="21">
        <v>1.815727646838758</v>
      </c>
      <c r="P240" s="21">
        <v>2.6414141414141419</v>
      </c>
      <c r="Q240" s="21" t="s">
        <v>547</v>
      </c>
      <c r="S240" t="s">
        <v>547</v>
      </c>
    </row>
    <row r="241" spans="1:19" x14ac:dyDescent="0.2">
      <c r="A241">
        <v>240</v>
      </c>
      <c r="B241" t="s">
        <v>125</v>
      </c>
      <c r="C241" t="s">
        <v>125</v>
      </c>
      <c r="D241" t="s">
        <v>4</v>
      </c>
      <c r="E241" t="s">
        <v>9</v>
      </c>
      <c r="F241" t="s">
        <v>11</v>
      </c>
      <c r="G241">
        <v>20</v>
      </c>
      <c r="H241">
        <v>22</v>
      </c>
      <c r="I241">
        <v>3.19</v>
      </c>
      <c r="J241">
        <v>4.41</v>
      </c>
      <c r="K241">
        <v>0.99</v>
      </c>
      <c r="L241">
        <v>0.52300000000000002</v>
      </c>
      <c r="M241">
        <v>0.105</v>
      </c>
      <c r="N241" s="21">
        <v>2.5885858585858594</v>
      </c>
      <c r="O241" s="21">
        <v>1.2483127572016461</v>
      </c>
      <c r="P241" s="21">
        <v>2.5885858585858594</v>
      </c>
      <c r="Q241" s="21" t="s">
        <v>547</v>
      </c>
      <c r="S241" t="s">
        <v>547</v>
      </c>
    </row>
    <row r="242" spans="1:19" x14ac:dyDescent="0.2">
      <c r="A242">
        <v>241</v>
      </c>
      <c r="B242" t="s">
        <v>126</v>
      </c>
      <c r="C242" t="s">
        <v>126</v>
      </c>
      <c r="D242" t="s">
        <v>4</v>
      </c>
      <c r="E242" t="s">
        <v>9</v>
      </c>
      <c r="F242" t="s">
        <v>10</v>
      </c>
      <c r="G242">
        <v>12</v>
      </c>
      <c r="H242">
        <v>15</v>
      </c>
      <c r="I242">
        <v>5.42</v>
      </c>
      <c r="J242">
        <v>4.58</v>
      </c>
      <c r="K242">
        <v>1.1200000000000001</v>
      </c>
      <c r="L242">
        <v>0.68500000000000005</v>
      </c>
      <c r="M242">
        <v>6.9000000000000006E-2</v>
      </c>
      <c r="N242" s="21">
        <v>3.1124007936507936</v>
      </c>
      <c r="O242" s="21">
        <v>2.4554894179894178</v>
      </c>
      <c r="P242" s="21">
        <v>3.1124007936507936</v>
      </c>
      <c r="Q242" s="21" t="s">
        <v>547</v>
      </c>
      <c r="S242" t="s">
        <v>547</v>
      </c>
    </row>
    <row r="243" spans="1:19" x14ac:dyDescent="0.2">
      <c r="A243">
        <v>242</v>
      </c>
      <c r="B243" t="s">
        <v>126</v>
      </c>
      <c r="C243" t="s">
        <v>126</v>
      </c>
      <c r="D243" t="s">
        <v>4</v>
      </c>
      <c r="E243" t="s">
        <v>9</v>
      </c>
      <c r="F243" t="s">
        <v>11</v>
      </c>
      <c r="G243">
        <v>24</v>
      </c>
      <c r="H243">
        <v>26</v>
      </c>
      <c r="I243">
        <v>5.48</v>
      </c>
      <c r="J243">
        <v>5.16</v>
      </c>
      <c r="K243">
        <v>1.1200000000000001</v>
      </c>
      <c r="L243">
        <v>0.68500000000000005</v>
      </c>
      <c r="M243">
        <v>6.9000000000000006E-2</v>
      </c>
      <c r="N243" s="21">
        <v>3.5065476190476188</v>
      </c>
      <c r="O243" s="21">
        <v>2.482671957671958</v>
      </c>
      <c r="P243" s="21">
        <v>3.5065476190476188</v>
      </c>
      <c r="Q243" s="21" t="s">
        <v>547</v>
      </c>
      <c r="S243" t="s">
        <v>547</v>
      </c>
    </row>
    <row r="244" spans="1:19" x14ac:dyDescent="0.2">
      <c r="A244">
        <v>243</v>
      </c>
      <c r="B244" t="s">
        <v>126</v>
      </c>
      <c r="C244" t="s">
        <v>126</v>
      </c>
      <c r="D244" t="s">
        <v>4</v>
      </c>
      <c r="E244" t="s">
        <v>9</v>
      </c>
      <c r="F244" t="s">
        <v>12</v>
      </c>
      <c r="G244">
        <v>17</v>
      </c>
      <c r="H244">
        <v>18</v>
      </c>
      <c r="I244">
        <v>3.39</v>
      </c>
      <c r="J244">
        <v>4.2300000000000004</v>
      </c>
      <c r="K244">
        <v>0.81</v>
      </c>
      <c r="L244">
        <v>0.29899999999999999</v>
      </c>
      <c r="M244">
        <v>9.9000000000000005E-2</v>
      </c>
      <c r="N244" s="21">
        <v>1.7349382716049384</v>
      </c>
      <c r="O244" s="21">
        <v>0.92694101508916316</v>
      </c>
      <c r="P244" s="21" t="s">
        <v>547</v>
      </c>
      <c r="Q244" s="21">
        <v>1.7349382716049384</v>
      </c>
      <c r="S244" t="s">
        <v>547</v>
      </c>
    </row>
    <row r="245" spans="1:19" x14ac:dyDescent="0.2">
      <c r="A245">
        <v>244</v>
      </c>
      <c r="B245" t="s">
        <v>126</v>
      </c>
      <c r="C245" t="s">
        <v>126</v>
      </c>
      <c r="D245" t="s">
        <v>4</v>
      </c>
      <c r="E245" t="s">
        <v>9</v>
      </c>
      <c r="F245" t="s">
        <v>14</v>
      </c>
      <c r="G245">
        <v>13</v>
      </c>
      <c r="H245">
        <v>15</v>
      </c>
      <c r="I245">
        <v>0.83</v>
      </c>
      <c r="J245">
        <v>1.95</v>
      </c>
      <c r="K245">
        <v>0.81</v>
      </c>
      <c r="L245">
        <v>0.29899999999999999</v>
      </c>
      <c r="M245">
        <v>9.9000000000000005E-2</v>
      </c>
      <c r="N245" s="21">
        <v>0.79979423868312749</v>
      </c>
      <c r="O245" s="21">
        <v>0.22695016003657975</v>
      </c>
      <c r="P245" s="21" t="s">
        <v>547</v>
      </c>
      <c r="Q245" s="21">
        <v>0.79979423868312749</v>
      </c>
      <c r="S245" t="s">
        <v>547</v>
      </c>
    </row>
    <row r="246" spans="1:19" x14ac:dyDescent="0.2">
      <c r="A246">
        <v>245</v>
      </c>
      <c r="B246" t="s">
        <v>127</v>
      </c>
      <c r="C246" t="s">
        <v>127</v>
      </c>
      <c r="D246" t="s">
        <v>4</v>
      </c>
      <c r="E246" t="s">
        <v>9</v>
      </c>
      <c r="F246" t="s">
        <v>10</v>
      </c>
      <c r="G246">
        <v>14</v>
      </c>
      <c r="H246">
        <v>12</v>
      </c>
      <c r="I246">
        <v>1.61</v>
      </c>
      <c r="J246">
        <v>1.52</v>
      </c>
      <c r="K246">
        <v>0.76</v>
      </c>
      <c r="L246">
        <v>0.51500000000000001</v>
      </c>
      <c r="M246">
        <v>0.11899999999999999</v>
      </c>
      <c r="N246" s="21">
        <v>1.1444444444444446</v>
      </c>
      <c r="O246" s="21">
        <v>0.80813840155945427</v>
      </c>
      <c r="P246" s="21">
        <v>1.1444444444444446</v>
      </c>
      <c r="Q246" s="21" t="s">
        <v>547</v>
      </c>
      <c r="S246" t="s">
        <v>547</v>
      </c>
    </row>
    <row r="247" spans="1:19" x14ac:dyDescent="0.2">
      <c r="A247">
        <v>246</v>
      </c>
      <c r="B247" t="s">
        <v>127</v>
      </c>
      <c r="C247" t="s">
        <v>127</v>
      </c>
      <c r="D247" t="s">
        <v>4</v>
      </c>
      <c r="E247" t="s">
        <v>9</v>
      </c>
      <c r="F247" t="s">
        <v>11</v>
      </c>
      <c r="G247">
        <v>15</v>
      </c>
      <c r="H247">
        <v>12</v>
      </c>
      <c r="I247">
        <v>2.2999999999999998</v>
      </c>
      <c r="J247">
        <v>1.98</v>
      </c>
      <c r="K247">
        <v>0.76</v>
      </c>
      <c r="L247">
        <v>0.51500000000000001</v>
      </c>
      <c r="M247">
        <v>0.11899999999999999</v>
      </c>
      <c r="N247" s="21">
        <v>1.4907894736842107</v>
      </c>
      <c r="O247" s="21">
        <v>1.15448343079922</v>
      </c>
      <c r="P247" s="21">
        <v>1.4907894736842107</v>
      </c>
      <c r="Q247" s="21" t="s">
        <v>547</v>
      </c>
      <c r="S247" t="s">
        <v>547</v>
      </c>
    </row>
    <row r="248" spans="1:19" x14ac:dyDescent="0.2">
      <c r="A248">
        <v>247</v>
      </c>
      <c r="B248" t="s">
        <v>127</v>
      </c>
      <c r="C248" t="s">
        <v>127</v>
      </c>
      <c r="D248" t="s">
        <v>4</v>
      </c>
      <c r="E248" t="s">
        <v>9</v>
      </c>
      <c r="F248" t="s">
        <v>12</v>
      </c>
      <c r="G248">
        <v>13</v>
      </c>
      <c r="H248">
        <v>14</v>
      </c>
      <c r="I248">
        <v>1.03</v>
      </c>
      <c r="J248">
        <v>1.46</v>
      </c>
      <c r="K248">
        <v>0.6</v>
      </c>
      <c r="L248">
        <v>0.36499999999999999</v>
      </c>
      <c r="M248">
        <v>0.115</v>
      </c>
      <c r="N248" s="21">
        <v>0.98685185185185198</v>
      </c>
      <c r="O248" s="21">
        <v>0.46413580246913583</v>
      </c>
      <c r="P248" s="21" t="s">
        <v>547</v>
      </c>
      <c r="Q248" s="21">
        <v>0.98685185185185198</v>
      </c>
      <c r="S248" t="s">
        <v>547</v>
      </c>
    </row>
    <row r="249" spans="1:19" x14ac:dyDescent="0.2">
      <c r="A249">
        <v>248</v>
      </c>
      <c r="B249" t="s">
        <v>127</v>
      </c>
      <c r="C249" t="s">
        <v>127</v>
      </c>
      <c r="D249" t="s">
        <v>4</v>
      </c>
      <c r="E249" t="s">
        <v>9</v>
      </c>
      <c r="F249" t="s">
        <v>14</v>
      </c>
      <c r="K249">
        <v>0.6</v>
      </c>
      <c r="L249">
        <v>0.36499999999999999</v>
      </c>
      <c r="M249">
        <v>0.115</v>
      </c>
      <c r="N249" s="21">
        <v>0</v>
      </c>
      <c r="O249" s="21">
        <v>0</v>
      </c>
      <c r="P249" s="21" t="s">
        <v>547</v>
      </c>
      <c r="Q249" s="21">
        <v>0</v>
      </c>
      <c r="S249" t="s">
        <v>547</v>
      </c>
    </row>
    <row r="250" spans="1:19" x14ac:dyDescent="0.2">
      <c r="A250">
        <v>249</v>
      </c>
      <c r="B250" t="s">
        <v>128</v>
      </c>
      <c r="C250" t="s">
        <v>343</v>
      </c>
      <c r="D250" t="s">
        <v>4</v>
      </c>
      <c r="E250" t="s">
        <v>9</v>
      </c>
      <c r="F250" t="s">
        <v>10</v>
      </c>
      <c r="G250">
        <v>19</v>
      </c>
      <c r="H250">
        <v>17</v>
      </c>
      <c r="I250">
        <v>1.79</v>
      </c>
      <c r="J250">
        <v>1.95</v>
      </c>
      <c r="K250">
        <v>0.7</v>
      </c>
      <c r="L250">
        <v>0.29599999999999999</v>
      </c>
      <c r="M250">
        <v>0.10199999999999999</v>
      </c>
      <c r="N250" s="21">
        <v>0.91619047619047633</v>
      </c>
      <c r="O250" s="21">
        <v>0.56067724867724877</v>
      </c>
      <c r="P250" s="21">
        <v>0.91619047619047633</v>
      </c>
      <c r="Q250" s="21" t="s">
        <v>547</v>
      </c>
      <c r="S250" t="s">
        <v>547</v>
      </c>
    </row>
    <row r="251" spans="1:19" x14ac:dyDescent="0.2">
      <c r="A251">
        <v>250</v>
      </c>
      <c r="B251" t="s">
        <v>128</v>
      </c>
      <c r="C251" t="s">
        <v>343</v>
      </c>
      <c r="D251" t="s">
        <v>4</v>
      </c>
      <c r="E251" t="s">
        <v>9</v>
      </c>
      <c r="F251" t="s">
        <v>11</v>
      </c>
      <c r="G251">
        <v>11</v>
      </c>
      <c r="H251">
        <v>12</v>
      </c>
      <c r="I251">
        <v>2.1800000000000002</v>
      </c>
      <c r="J251">
        <v>0.09</v>
      </c>
      <c r="K251">
        <v>0.7</v>
      </c>
      <c r="L251">
        <v>0.29599999999999999</v>
      </c>
      <c r="M251">
        <v>0.10199999999999999</v>
      </c>
      <c r="N251" s="21">
        <v>4.2285714285714288E-2</v>
      </c>
      <c r="O251" s="21">
        <v>0.68283597883597902</v>
      </c>
      <c r="P251" s="21">
        <v>4.2285714285714288E-2</v>
      </c>
      <c r="Q251" s="21" t="s">
        <v>547</v>
      </c>
      <c r="S251" t="s">
        <v>547</v>
      </c>
    </row>
    <row r="252" spans="1:19" x14ac:dyDescent="0.2">
      <c r="A252">
        <v>251</v>
      </c>
      <c r="B252" t="s">
        <v>128</v>
      </c>
      <c r="C252" t="s">
        <v>343</v>
      </c>
      <c r="D252" t="s">
        <v>4</v>
      </c>
      <c r="E252" t="s">
        <v>9</v>
      </c>
      <c r="F252" t="s">
        <v>12</v>
      </c>
      <c r="G252">
        <v>28</v>
      </c>
      <c r="H252">
        <v>20</v>
      </c>
      <c r="I252">
        <v>1.47</v>
      </c>
      <c r="J252">
        <v>4.12</v>
      </c>
      <c r="K252">
        <v>0.56000000000000005</v>
      </c>
      <c r="L252">
        <v>0.29599999999999999</v>
      </c>
      <c r="M252">
        <v>0.10199999999999999</v>
      </c>
      <c r="N252" s="21">
        <v>2.4196825396825394</v>
      </c>
      <c r="O252" s="21">
        <v>0.57555555555555549</v>
      </c>
      <c r="P252" s="21" t="s">
        <v>547</v>
      </c>
      <c r="Q252" s="21">
        <v>2.4196825396825394</v>
      </c>
      <c r="S252" t="s">
        <v>547</v>
      </c>
    </row>
    <row r="253" spans="1:19" x14ac:dyDescent="0.2">
      <c r="A253">
        <v>252</v>
      </c>
      <c r="B253" t="s">
        <v>128</v>
      </c>
      <c r="C253" t="s">
        <v>343</v>
      </c>
      <c r="D253" t="s">
        <v>4</v>
      </c>
      <c r="E253" t="s">
        <v>9</v>
      </c>
      <c r="F253" t="s">
        <v>14</v>
      </c>
      <c r="K253">
        <v>0.56000000000000005</v>
      </c>
      <c r="L253">
        <v>0.29599999999999999</v>
      </c>
      <c r="M253">
        <v>0.10199999999999999</v>
      </c>
      <c r="N253" s="21">
        <v>0</v>
      </c>
      <c r="O253" s="21">
        <v>0</v>
      </c>
      <c r="P253" s="21" t="s">
        <v>547</v>
      </c>
      <c r="Q253" s="21">
        <v>0</v>
      </c>
      <c r="S253" t="s">
        <v>547</v>
      </c>
    </row>
    <row r="254" spans="1:19" x14ac:dyDescent="0.2">
      <c r="A254">
        <v>253</v>
      </c>
      <c r="B254" t="s">
        <v>129</v>
      </c>
      <c r="C254" t="s">
        <v>344</v>
      </c>
      <c r="D254" t="s">
        <v>4</v>
      </c>
      <c r="E254" t="s">
        <v>9</v>
      </c>
      <c r="F254" t="s">
        <v>10</v>
      </c>
      <c r="G254">
        <v>12</v>
      </c>
      <c r="H254">
        <v>20</v>
      </c>
      <c r="I254">
        <v>6.14</v>
      </c>
      <c r="J254">
        <v>5.37</v>
      </c>
      <c r="K254">
        <v>1.49</v>
      </c>
      <c r="L254">
        <v>0.94199999999999995</v>
      </c>
      <c r="M254">
        <v>0.16600000000000001</v>
      </c>
      <c r="N254" s="21">
        <v>3.7722147651006712</v>
      </c>
      <c r="O254" s="21">
        <v>2.8754064131245345</v>
      </c>
      <c r="P254" s="21">
        <v>3.7722147651006712</v>
      </c>
      <c r="Q254" s="21" t="s">
        <v>547</v>
      </c>
      <c r="S254" t="s">
        <v>547</v>
      </c>
    </row>
    <row r="255" spans="1:19" x14ac:dyDescent="0.2">
      <c r="A255">
        <v>254</v>
      </c>
      <c r="B255" t="s">
        <v>129</v>
      </c>
      <c r="C255" t="s">
        <v>344</v>
      </c>
      <c r="D255" t="s">
        <v>4</v>
      </c>
      <c r="E255" t="s">
        <v>9</v>
      </c>
      <c r="F255" t="s">
        <v>11</v>
      </c>
      <c r="G255">
        <v>8</v>
      </c>
      <c r="H255">
        <v>12</v>
      </c>
      <c r="I255">
        <v>5.75</v>
      </c>
      <c r="J255">
        <v>3.59</v>
      </c>
      <c r="K255">
        <v>1.49</v>
      </c>
      <c r="L255">
        <v>0.94199999999999995</v>
      </c>
      <c r="M255">
        <v>0.16600000000000001</v>
      </c>
      <c r="N255" s="21">
        <v>2.5218344519015661</v>
      </c>
      <c r="O255" s="21">
        <v>2.6927665920954515</v>
      </c>
      <c r="P255" s="21">
        <v>2.5218344519015661</v>
      </c>
      <c r="Q255" s="21" t="s">
        <v>547</v>
      </c>
      <c r="S255" t="s">
        <v>547</v>
      </c>
    </row>
    <row r="256" spans="1:19" x14ac:dyDescent="0.2">
      <c r="A256">
        <v>255</v>
      </c>
      <c r="B256" t="s">
        <v>129</v>
      </c>
      <c r="C256" t="s">
        <v>344</v>
      </c>
      <c r="D256" t="s">
        <v>4</v>
      </c>
      <c r="E256" t="s">
        <v>9</v>
      </c>
      <c r="F256" t="s">
        <v>12</v>
      </c>
      <c r="G256">
        <v>17</v>
      </c>
      <c r="H256">
        <v>19</v>
      </c>
      <c r="I256">
        <v>4.6900000000000004</v>
      </c>
      <c r="J256">
        <v>4.3600000000000003</v>
      </c>
      <c r="K256">
        <v>0.71</v>
      </c>
      <c r="L256">
        <v>0.50600000000000001</v>
      </c>
      <c r="M256">
        <v>8.2000000000000003E-2</v>
      </c>
      <c r="N256" s="21">
        <v>3.452519561815337</v>
      </c>
      <c r="O256" s="21">
        <v>2.4758894105372984</v>
      </c>
      <c r="P256" s="21" t="s">
        <v>547</v>
      </c>
      <c r="Q256" s="21">
        <v>3.452519561815337</v>
      </c>
      <c r="S256" t="s">
        <v>547</v>
      </c>
    </row>
    <row r="257" spans="1:19" x14ac:dyDescent="0.2">
      <c r="A257">
        <v>256</v>
      </c>
      <c r="B257" t="s">
        <v>129</v>
      </c>
      <c r="C257" t="s">
        <v>344</v>
      </c>
      <c r="D257" t="s">
        <v>4</v>
      </c>
      <c r="E257" t="s">
        <v>9</v>
      </c>
      <c r="F257" t="s">
        <v>14</v>
      </c>
      <c r="G257">
        <v>26</v>
      </c>
      <c r="H257">
        <v>22</v>
      </c>
      <c r="I257">
        <v>5.69</v>
      </c>
      <c r="J257">
        <v>4.1100000000000003</v>
      </c>
      <c r="K257">
        <v>0.71</v>
      </c>
      <c r="L257">
        <v>0.50600000000000001</v>
      </c>
      <c r="M257">
        <v>8.2000000000000003E-2</v>
      </c>
      <c r="N257" s="21">
        <v>3.2545539906103294</v>
      </c>
      <c r="O257" s="21">
        <v>3.0037976004173195</v>
      </c>
      <c r="P257" s="21" t="s">
        <v>547</v>
      </c>
      <c r="Q257" s="21">
        <v>3.2545539906103294</v>
      </c>
      <c r="S257" t="s">
        <v>547</v>
      </c>
    </row>
    <row r="258" spans="1:19" x14ac:dyDescent="0.2">
      <c r="A258">
        <v>257</v>
      </c>
      <c r="B258" t="s">
        <v>130</v>
      </c>
      <c r="D258" t="s">
        <v>4</v>
      </c>
      <c r="E258" t="s">
        <v>9</v>
      </c>
      <c r="F258" t="s">
        <v>10</v>
      </c>
      <c r="G258">
        <v>14</v>
      </c>
      <c r="H258">
        <v>14</v>
      </c>
      <c r="I258">
        <v>1.59</v>
      </c>
      <c r="J258">
        <v>2.68</v>
      </c>
      <c r="K258">
        <v>1.08</v>
      </c>
      <c r="L258">
        <v>0.46</v>
      </c>
      <c r="M258">
        <v>7.2999999999999995E-2</v>
      </c>
      <c r="N258" s="21">
        <v>1.2683127572016462</v>
      </c>
      <c r="O258" s="21">
        <v>0.50164609053497944</v>
      </c>
      <c r="P258" s="21">
        <v>1.2683127572016462</v>
      </c>
      <c r="Q258" s="21" t="s">
        <v>547</v>
      </c>
      <c r="S258" t="s">
        <v>547</v>
      </c>
    </row>
    <row r="259" spans="1:19" x14ac:dyDescent="0.2">
      <c r="A259">
        <v>258</v>
      </c>
      <c r="B259" t="s">
        <v>130</v>
      </c>
      <c r="D259" t="s">
        <v>4</v>
      </c>
      <c r="E259" t="s">
        <v>9</v>
      </c>
      <c r="F259" t="s">
        <v>11</v>
      </c>
      <c r="G259">
        <v>13</v>
      </c>
      <c r="H259">
        <v>14</v>
      </c>
      <c r="I259">
        <v>0.72</v>
      </c>
      <c r="J259">
        <v>1.81</v>
      </c>
      <c r="K259">
        <v>1.08</v>
      </c>
      <c r="L259">
        <v>0.46</v>
      </c>
      <c r="M259">
        <v>7.2999999999999995E-2</v>
      </c>
      <c r="N259" s="21">
        <v>0.85658436213991773</v>
      </c>
      <c r="O259" s="21">
        <v>0.2271604938271605</v>
      </c>
      <c r="P259" s="21">
        <v>0.85658436213991773</v>
      </c>
      <c r="Q259" s="21" t="s">
        <v>547</v>
      </c>
      <c r="S259" t="s">
        <v>547</v>
      </c>
    </row>
    <row r="260" spans="1:19" x14ac:dyDescent="0.2">
      <c r="A260">
        <v>259</v>
      </c>
      <c r="B260" t="s">
        <v>130</v>
      </c>
      <c r="D260" t="s">
        <v>4</v>
      </c>
      <c r="E260" t="s">
        <v>9</v>
      </c>
      <c r="F260" t="s">
        <v>12</v>
      </c>
      <c r="G260">
        <v>14</v>
      </c>
      <c r="H260">
        <v>19</v>
      </c>
      <c r="I260">
        <v>2.93</v>
      </c>
      <c r="J260">
        <v>3.7</v>
      </c>
      <c r="K260">
        <v>0.67</v>
      </c>
      <c r="L260">
        <v>0.437</v>
      </c>
      <c r="M260">
        <v>9.0999999999999998E-2</v>
      </c>
      <c r="N260" s="21">
        <v>2.6814262023217244</v>
      </c>
      <c r="O260" s="21">
        <v>1.415599778883361</v>
      </c>
      <c r="P260" s="21" t="s">
        <v>547</v>
      </c>
      <c r="Q260" s="21">
        <v>2.6814262023217244</v>
      </c>
      <c r="S260" t="s">
        <v>547</v>
      </c>
    </row>
    <row r="261" spans="1:19" x14ac:dyDescent="0.2">
      <c r="A261">
        <v>260</v>
      </c>
      <c r="B261" t="s">
        <v>130</v>
      </c>
      <c r="D261" t="s">
        <v>4</v>
      </c>
      <c r="E261" t="s">
        <v>9</v>
      </c>
      <c r="F261" t="s">
        <v>14</v>
      </c>
      <c r="G261">
        <v>14</v>
      </c>
      <c r="H261">
        <v>13</v>
      </c>
      <c r="I261">
        <v>1.25</v>
      </c>
      <c r="J261">
        <v>2.46</v>
      </c>
      <c r="K261">
        <v>0.67</v>
      </c>
      <c r="L261">
        <v>0.437</v>
      </c>
      <c r="M261">
        <v>9.0999999999999998E-2</v>
      </c>
      <c r="N261" s="21">
        <v>1.7827860696517412</v>
      </c>
      <c r="O261" s="21">
        <v>0.60392482034273076</v>
      </c>
      <c r="P261" s="21" t="s">
        <v>547</v>
      </c>
      <c r="Q261" s="21">
        <v>1.7827860696517412</v>
      </c>
      <c r="S261" t="s">
        <v>547</v>
      </c>
    </row>
    <row r="262" spans="1:19" x14ac:dyDescent="0.2">
      <c r="A262">
        <v>261</v>
      </c>
      <c r="B262" t="s">
        <v>131</v>
      </c>
      <c r="C262" t="s">
        <v>131</v>
      </c>
      <c r="D262" t="s">
        <v>4</v>
      </c>
      <c r="E262" t="s">
        <v>9</v>
      </c>
      <c r="F262" t="s">
        <v>10</v>
      </c>
      <c r="G262">
        <v>12</v>
      </c>
      <c r="H262">
        <v>12</v>
      </c>
      <c r="I262">
        <v>3.63</v>
      </c>
      <c r="J262">
        <v>2.4</v>
      </c>
      <c r="K262">
        <v>0.77</v>
      </c>
      <c r="L262">
        <v>0.41099999999999998</v>
      </c>
      <c r="M262">
        <v>7.6999999999999999E-2</v>
      </c>
      <c r="N262" s="21">
        <v>1.4233766233766234</v>
      </c>
      <c r="O262" s="21">
        <v>1.4352380952380952</v>
      </c>
      <c r="P262" s="21">
        <v>1.4233766233766234</v>
      </c>
      <c r="Q262" s="21" t="s">
        <v>547</v>
      </c>
      <c r="S262" t="s">
        <v>547</v>
      </c>
    </row>
    <row r="263" spans="1:19" x14ac:dyDescent="0.2">
      <c r="A263">
        <v>262</v>
      </c>
      <c r="B263" t="s">
        <v>131</v>
      </c>
      <c r="C263" t="s">
        <v>131</v>
      </c>
      <c r="D263" t="s">
        <v>4</v>
      </c>
      <c r="E263" t="s">
        <v>9</v>
      </c>
      <c r="F263" t="s">
        <v>11</v>
      </c>
      <c r="G263">
        <v>12</v>
      </c>
      <c r="H263">
        <v>12</v>
      </c>
      <c r="I263">
        <v>2.14</v>
      </c>
      <c r="J263">
        <v>2.08</v>
      </c>
      <c r="K263">
        <v>0.77</v>
      </c>
      <c r="L263">
        <v>0.41099999999999998</v>
      </c>
      <c r="M263">
        <v>7.6999999999999999E-2</v>
      </c>
      <c r="N263" s="21">
        <v>1.2335930735930736</v>
      </c>
      <c r="O263" s="21">
        <v>0.84611832611832616</v>
      </c>
      <c r="P263" s="21">
        <v>1.2335930735930736</v>
      </c>
      <c r="Q263" s="21" t="s">
        <v>547</v>
      </c>
      <c r="S263" t="s">
        <v>547</v>
      </c>
    </row>
    <row r="264" spans="1:19" x14ac:dyDescent="0.2">
      <c r="A264">
        <v>263</v>
      </c>
      <c r="B264" t="s">
        <v>131</v>
      </c>
      <c r="C264" t="s">
        <v>131</v>
      </c>
      <c r="D264" t="s">
        <v>4</v>
      </c>
      <c r="E264" t="s">
        <v>9</v>
      </c>
      <c r="F264" t="s">
        <v>12</v>
      </c>
      <c r="G264">
        <v>22</v>
      </c>
      <c r="H264">
        <v>22</v>
      </c>
      <c r="I264">
        <v>4.2699999999999996</v>
      </c>
      <c r="J264">
        <v>3.08</v>
      </c>
      <c r="K264">
        <v>0.82</v>
      </c>
      <c r="L264">
        <v>0.45700000000000002</v>
      </c>
      <c r="M264">
        <v>5.8999999999999997E-2</v>
      </c>
      <c r="N264" s="21">
        <v>1.9072628726287266</v>
      </c>
      <c r="O264" s="21">
        <v>1.7627732610659439</v>
      </c>
      <c r="P264" s="21" t="s">
        <v>547</v>
      </c>
      <c r="Q264" s="21">
        <v>1.9072628726287266</v>
      </c>
      <c r="S264" t="s">
        <v>547</v>
      </c>
    </row>
    <row r="265" spans="1:19" x14ac:dyDescent="0.2">
      <c r="A265">
        <v>264</v>
      </c>
      <c r="B265" t="s">
        <v>131</v>
      </c>
      <c r="C265" t="s">
        <v>131</v>
      </c>
      <c r="D265" t="s">
        <v>4</v>
      </c>
      <c r="E265" t="s">
        <v>9</v>
      </c>
      <c r="F265" t="s">
        <v>14</v>
      </c>
      <c r="G265">
        <v>20</v>
      </c>
      <c r="H265">
        <v>20</v>
      </c>
      <c r="I265">
        <v>3.72</v>
      </c>
      <c r="J265">
        <v>3.81</v>
      </c>
      <c r="K265">
        <v>0.82</v>
      </c>
      <c r="L265">
        <v>0.45700000000000002</v>
      </c>
      <c r="M265">
        <v>5.8999999999999997E-2</v>
      </c>
      <c r="N265" s="21">
        <v>2.359308943089431</v>
      </c>
      <c r="O265" s="21">
        <v>1.5357181571815721</v>
      </c>
      <c r="P265" s="21" t="s">
        <v>547</v>
      </c>
      <c r="Q265" s="21">
        <v>2.359308943089431</v>
      </c>
      <c r="S265" t="s">
        <v>547</v>
      </c>
    </row>
    <row r="266" spans="1:19" x14ac:dyDescent="0.2">
      <c r="A266">
        <v>265</v>
      </c>
      <c r="B266" t="s">
        <v>132</v>
      </c>
      <c r="C266" t="s">
        <v>345</v>
      </c>
      <c r="D266" t="s">
        <v>4</v>
      </c>
      <c r="E266" t="s">
        <v>9</v>
      </c>
      <c r="F266" t="s">
        <v>10</v>
      </c>
      <c r="G266">
        <v>13</v>
      </c>
      <c r="H266">
        <v>16</v>
      </c>
      <c r="I266">
        <v>3.48</v>
      </c>
      <c r="J266">
        <v>4.8</v>
      </c>
      <c r="K266">
        <v>1.1499999999999999</v>
      </c>
      <c r="L266">
        <v>0.79</v>
      </c>
      <c r="M266">
        <v>0.188</v>
      </c>
      <c r="N266" s="21">
        <v>3.6637681159420294</v>
      </c>
      <c r="O266" s="21">
        <v>1.7708212560386476</v>
      </c>
      <c r="P266" s="21">
        <v>3.6637681159420294</v>
      </c>
      <c r="Q266" s="21" t="s">
        <v>547</v>
      </c>
      <c r="S266" t="s">
        <v>547</v>
      </c>
    </row>
    <row r="267" spans="1:19" x14ac:dyDescent="0.2">
      <c r="A267">
        <v>266</v>
      </c>
      <c r="B267" t="s">
        <v>132</v>
      </c>
      <c r="C267" t="s">
        <v>345</v>
      </c>
      <c r="D267" t="s">
        <v>4</v>
      </c>
      <c r="E267" t="s">
        <v>9</v>
      </c>
      <c r="F267" t="s">
        <v>11</v>
      </c>
      <c r="G267">
        <v>17</v>
      </c>
      <c r="H267">
        <v>27</v>
      </c>
      <c r="I267">
        <v>7.54</v>
      </c>
      <c r="J267">
        <v>6.64</v>
      </c>
      <c r="K267">
        <v>1.1499999999999999</v>
      </c>
      <c r="L267">
        <v>0.79</v>
      </c>
      <c r="M267">
        <v>0.188</v>
      </c>
      <c r="N267" s="21">
        <v>5.0682125603864741</v>
      </c>
      <c r="O267" s="21">
        <v>3.8367793880837366</v>
      </c>
      <c r="P267" s="21">
        <v>5.0682125603864741</v>
      </c>
      <c r="Q267" s="21" t="s">
        <v>547</v>
      </c>
      <c r="S267" t="s">
        <v>547</v>
      </c>
    </row>
    <row r="268" spans="1:19" x14ac:dyDescent="0.2">
      <c r="A268">
        <v>267</v>
      </c>
      <c r="B268" t="s">
        <v>132</v>
      </c>
      <c r="C268" t="s">
        <v>345</v>
      </c>
      <c r="D268" t="s">
        <v>4</v>
      </c>
      <c r="E268" t="s">
        <v>9</v>
      </c>
      <c r="F268" t="s">
        <v>12</v>
      </c>
      <c r="G268">
        <v>13</v>
      </c>
      <c r="H268">
        <v>12</v>
      </c>
      <c r="I268">
        <v>3.05</v>
      </c>
      <c r="J268">
        <v>2.74</v>
      </c>
      <c r="K268">
        <v>0.92</v>
      </c>
      <c r="L268">
        <v>0.64300000000000002</v>
      </c>
      <c r="M268">
        <v>0.115</v>
      </c>
      <c r="N268" s="21">
        <v>2.12780193236715</v>
      </c>
      <c r="O268" s="21">
        <v>1.5790257648953301</v>
      </c>
      <c r="P268" s="21" t="s">
        <v>547</v>
      </c>
      <c r="Q268" s="21">
        <v>2.12780193236715</v>
      </c>
      <c r="S268" t="s">
        <v>547</v>
      </c>
    </row>
    <row r="269" spans="1:19" x14ac:dyDescent="0.2">
      <c r="A269">
        <v>268</v>
      </c>
      <c r="B269" t="s">
        <v>132</v>
      </c>
      <c r="C269" t="s">
        <v>345</v>
      </c>
      <c r="D269" t="s">
        <v>4</v>
      </c>
      <c r="E269" t="s">
        <v>9</v>
      </c>
      <c r="F269" t="s">
        <v>14</v>
      </c>
      <c r="G269">
        <v>14</v>
      </c>
      <c r="H269">
        <v>17</v>
      </c>
      <c r="I269">
        <v>3.11</v>
      </c>
      <c r="J269">
        <v>3.85</v>
      </c>
      <c r="K269">
        <v>0.92</v>
      </c>
      <c r="L269">
        <v>0.64300000000000002</v>
      </c>
      <c r="M269">
        <v>0.115</v>
      </c>
      <c r="N269" s="21">
        <v>2.9897946859903386</v>
      </c>
      <c r="O269" s="21">
        <v>1.6100885668276974</v>
      </c>
      <c r="P269" s="21" t="s">
        <v>547</v>
      </c>
      <c r="Q269" s="21">
        <v>2.9897946859903386</v>
      </c>
      <c r="S269" t="s">
        <v>547</v>
      </c>
    </row>
    <row r="270" spans="1:19" x14ac:dyDescent="0.2">
      <c r="A270">
        <v>269</v>
      </c>
      <c r="B270" t="s">
        <v>133</v>
      </c>
      <c r="C270" t="s">
        <v>133</v>
      </c>
      <c r="D270" t="s">
        <v>4</v>
      </c>
      <c r="E270" t="s">
        <v>9</v>
      </c>
      <c r="F270" t="s">
        <v>10</v>
      </c>
      <c r="G270">
        <v>14</v>
      </c>
      <c r="H270">
        <v>14</v>
      </c>
      <c r="I270">
        <v>4.22</v>
      </c>
      <c r="J270">
        <v>2.87</v>
      </c>
      <c r="K270">
        <v>0.88</v>
      </c>
      <c r="L270">
        <v>0.39200000000000002</v>
      </c>
      <c r="M270">
        <v>7.0999999999999994E-2</v>
      </c>
      <c r="N270" s="21">
        <v>1.4205050505050507</v>
      </c>
      <c r="O270" s="21">
        <v>1.3924579124579126</v>
      </c>
      <c r="P270" s="21">
        <v>1.4205050505050507</v>
      </c>
      <c r="Q270" s="21" t="s">
        <v>547</v>
      </c>
      <c r="S270" t="s">
        <v>547</v>
      </c>
    </row>
    <row r="271" spans="1:19" x14ac:dyDescent="0.2">
      <c r="A271">
        <v>270</v>
      </c>
      <c r="B271" t="s">
        <v>133</v>
      </c>
      <c r="C271" t="s">
        <v>133</v>
      </c>
      <c r="D271" t="s">
        <v>4</v>
      </c>
      <c r="E271" t="s">
        <v>9</v>
      </c>
      <c r="F271" t="s">
        <v>11</v>
      </c>
      <c r="G271">
        <v>13</v>
      </c>
      <c r="H271">
        <v>13</v>
      </c>
      <c r="I271">
        <v>3.45</v>
      </c>
      <c r="J271">
        <v>3.24</v>
      </c>
      <c r="K271">
        <v>0.88</v>
      </c>
      <c r="L271">
        <v>0.39200000000000002</v>
      </c>
      <c r="M271">
        <v>7.0999999999999994E-2</v>
      </c>
      <c r="N271" s="21">
        <v>1.603636363636364</v>
      </c>
      <c r="O271" s="21">
        <v>1.1383838383838385</v>
      </c>
      <c r="P271" s="21">
        <v>1.603636363636364</v>
      </c>
      <c r="Q271" s="21" t="s">
        <v>547</v>
      </c>
      <c r="S271" t="s">
        <v>547</v>
      </c>
    </row>
    <row r="272" spans="1:19" x14ac:dyDescent="0.2">
      <c r="A272">
        <v>271</v>
      </c>
      <c r="B272" t="s">
        <v>133</v>
      </c>
      <c r="C272" t="s">
        <v>133</v>
      </c>
      <c r="D272" t="s">
        <v>4</v>
      </c>
      <c r="E272" t="s">
        <v>9</v>
      </c>
      <c r="F272" t="s">
        <v>12</v>
      </c>
      <c r="G272">
        <v>18</v>
      </c>
      <c r="H272">
        <v>19</v>
      </c>
      <c r="I272">
        <v>4.22</v>
      </c>
      <c r="J272">
        <v>3.03</v>
      </c>
      <c r="K272">
        <v>0.64</v>
      </c>
      <c r="L272">
        <v>0.34699999999999998</v>
      </c>
      <c r="M272">
        <v>4.5999999999999999E-2</v>
      </c>
      <c r="N272" s="21">
        <v>1.825364583333333</v>
      </c>
      <c r="O272" s="21">
        <v>1.6948379629629629</v>
      </c>
      <c r="P272" s="21" t="s">
        <v>547</v>
      </c>
      <c r="Q272" s="21">
        <v>1.825364583333333</v>
      </c>
      <c r="S272" t="s">
        <v>547</v>
      </c>
    </row>
    <row r="273" spans="1:19" x14ac:dyDescent="0.2">
      <c r="A273">
        <v>272</v>
      </c>
      <c r="B273" t="s">
        <v>133</v>
      </c>
      <c r="C273" t="s">
        <v>133</v>
      </c>
      <c r="D273" t="s">
        <v>4</v>
      </c>
      <c r="E273" t="s">
        <v>9</v>
      </c>
      <c r="F273" t="s">
        <v>14</v>
      </c>
      <c r="G273">
        <v>18</v>
      </c>
      <c r="H273">
        <v>19</v>
      </c>
      <c r="I273">
        <v>3.02</v>
      </c>
      <c r="J273">
        <v>2.9</v>
      </c>
      <c r="K273">
        <v>0.64</v>
      </c>
      <c r="L273">
        <v>0.34699999999999998</v>
      </c>
      <c r="M273">
        <v>4.5999999999999999E-2</v>
      </c>
      <c r="N273" s="21">
        <v>1.7470486111111108</v>
      </c>
      <c r="O273" s="21">
        <v>1.2128935185185186</v>
      </c>
      <c r="P273" s="21" t="s">
        <v>547</v>
      </c>
      <c r="Q273" s="21">
        <v>1.7470486111111108</v>
      </c>
      <c r="S273" t="s">
        <v>547</v>
      </c>
    </row>
    <row r="274" spans="1:19" x14ac:dyDescent="0.2">
      <c r="A274">
        <v>273</v>
      </c>
      <c r="B274" t="s">
        <v>134</v>
      </c>
      <c r="C274" t="s">
        <v>134</v>
      </c>
      <c r="D274" t="s">
        <v>26</v>
      </c>
      <c r="E274" t="s">
        <v>9</v>
      </c>
      <c r="F274" t="s">
        <v>10</v>
      </c>
      <c r="G274">
        <v>59</v>
      </c>
      <c r="H274">
        <v>58</v>
      </c>
      <c r="I274">
        <v>12.2</v>
      </c>
      <c r="J274">
        <v>12.1</v>
      </c>
      <c r="K274">
        <v>0.9</v>
      </c>
      <c r="L274">
        <v>0.50800000000000001</v>
      </c>
      <c r="M274">
        <v>0.121</v>
      </c>
      <c r="N274" s="21">
        <v>7.5886419753086418</v>
      </c>
      <c r="O274" s="21">
        <v>5.1009053497942389</v>
      </c>
      <c r="P274" s="21">
        <v>7.5886419753086418</v>
      </c>
      <c r="Q274" s="21" t="s">
        <v>547</v>
      </c>
      <c r="S274" t="s">
        <v>547</v>
      </c>
    </row>
    <row r="275" spans="1:19" x14ac:dyDescent="0.2">
      <c r="A275">
        <v>274</v>
      </c>
      <c r="B275" t="s">
        <v>134</v>
      </c>
      <c r="C275" t="s">
        <v>134</v>
      </c>
      <c r="D275" t="s">
        <v>26</v>
      </c>
      <c r="E275" t="s">
        <v>9</v>
      </c>
      <c r="F275" t="s">
        <v>11</v>
      </c>
      <c r="G275">
        <v>32</v>
      </c>
      <c r="H275">
        <v>32</v>
      </c>
      <c r="I275">
        <v>8.6999999999999993</v>
      </c>
      <c r="J275">
        <v>8.8000000000000007</v>
      </c>
      <c r="K275">
        <v>0.9</v>
      </c>
      <c r="L275">
        <v>0.50800000000000001</v>
      </c>
      <c r="M275">
        <v>0.121</v>
      </c>
      <c r="N275" s="21">
        <v>5.5190123456790126</v>
      </c>
      <c r="O275" s="21">
        <v>3.6375308641975308</v>
      </c>
      <c r="P275" s="21">
        <v>5.5190123456790126</v>
      </c>
      <c r="Q275" s="21" t="s">
        <v>547</v>
      </c>
      <c r="S275" t="s">
        <v>547</v>
      </c>
    </row>
    <row r="276" spans="1:19" x14ac:dyDescent="0.2">
      <c r="A276">
        <v>275</v>
      </c>
      <c r="B276" t="s">
        <v>134</v>
      </c>
      <c r="C276" t="s">
        <v>134</v>
      </c>
      <c r="D276" t="s">
        <v>26</v>
      </c>
      <c r="E276" t="s">
        <v>9</v>
      </c>
      <c r="F276" t="s">
        <v>12</v>
      </c>
      <c r="G276">
        <v>31</v>
      </c>
      <c r="H276">
        <v>30</v>
      </c>
      <c r="I276">
        <v>5.4</v>
      </c>
      <c r="J276">
        <v>3.55</v>
      </c>
      <c r="K276">
        <v>0.8</v>
      </c>
      <c r="L276">
        <v>0.441</v>
      </c>
      <c r="M276">
        <v>0.113</v>
      </c>
      <c r="N276" s="21">
        <v>2.1743749999999999</v>
      </c>
      <c r="O276" s="21">
        <v>2.2049999999999996</v>
      </c>
      <c r="P276" s="21" t="s">
        <v>547</v>
      </c>
      <c r="Q276" s="21">
        <v>2.1743749999999999</v>
      </c>
      <c r="S276" t="s">
        <v>547</v>
      </c>
    </row>
    <row r="277" spans="1:19" x14ac:dyDescent="0.2">
      <c r="A277">
        <v>276</v>
      </c>
      <c r="B277" t="s">
        <v>134</v>
      </c>
      <c r="C277" t="s">
        <v>134</v>
      </c>
      <c r="D277" t="s">
        <v>26</v>
      </c>
      <c r="E277" t="s">
        <v>9</v>
      </c>
      <c r="F277" t="s">
        <v>14</v>
      </c>
      <c r="G277">
        <v>43</v>
      </c>
      <c r="H277">
        <v>34</v>
      </c>
      <c r="I277">
        <v>6.6</v>
      </c>
      <c r="J277">
        <v>4.3499999999999996</v>
      </c>
      <c r="K277">
        <v>0.8</v>
      </c>
      <c r="L277">
        <v>0.441</v>
      </c>
      <c r="M277">
        <v>0.113</v>
      </c>
      <c r="N277" s="21">
        <v>2.6643749999999997</v>
      </c>
      <c r="O277" s="21">
        <v>2.6949999999999994</v>
      </c>
      <c r="P277" s="21" t="s">
        <v>547</v>
      </c>
      <c r="Q277" s="21">
        <v>2.6643749999999997</v>
      </c>
      <c r="S277" t="s">
        <v>547</v>
      </c>
    </row>
    <row r="278" spans="1:19" x14ac:dyDescent="0.2">
      <c r="A278">
        <v>277</v>
      </c>
      <c r="B278" t="s">
        <v>135</v>
      </c>
      <c r="C278" t="s">
        <v>346</v>
      </c>
      <c r="D278" t="s">
        <v>26</v>
      </c>
      <c r="E278" t="s">
        <v>9</v>
      </c>
      <c r="F278" t="s">
        <v>10</v>
      </c>
      <c r="G278">
        <v>37</v>
      </c>
      <c r="H278">
        <v>38</v>
      </c>
      <c r="I278">
        <v>12.5</v>
      </c>
      <c r="J278">
        <v>10.15</v>
      </c>
      <c r="K278">
        <v>1.45</v>
      </c>
      <c r="L278">
        <v>0.83</v>
      </c>
      <c r="M278">
        <v>0.159</v>
      </c>
      <c r="N278" s="21">
        <v>6.4555555555555566</v>
      </c>
      <c r="O278" s="21">
        <v>5.3001277139208174</v>
      </c>
      <c r="P278" s="21">
        <v>6.4555555555555566</v>
      </c>
      <c r="Q278" s="21" t="s">
        <v>547</v>
      </c>
      <c r="S278" t="s">
        <v>547</v>
      </c>
    </row>
    <row r="279" spans="1:19" x14ac:dyDescent="0.2">
      <c r="A279">
        <v>278</v>
      </c>
      <c r="B279" t="s">
        <v>135</v>
      </c>
      <c r="C279" t="s">
        <v>346</v>
      </c>
      <c r="D279" t="s">
        <v>26</v>
      </c>
      <c r="E279" t="s">
        <v>9</v>
      </c>
      <c r="F279" t="s">
        <v>11</v>
      </c>
      <c r="G279">
        <v>45</v>
      </c>
      <c r="H279">
        <v>46</v>
      </c>
      <c r="I279">
        <v>13</v>
      </c>
      <c r="J279">
        <v>10.6</v>
      </c>
      <c r="K279">
        <v>1.45</v>
      </c>
      <c r="L279">
        <v>0.83</v>
      </c>
      <c r="M279">
        <v>0.159</v>
      </c>
      <c r="N279" s="21">
        <v>6.7417624521072801</v>
      </c>
      <c r="O279" s="21">
        <v>5.5121328224776507</v>
      </c>
      <c r="P279" s="21">
        <v>6.7417624521072801</v>
      </c>
      <c r="Q279" s="21" t="s">
        <v>547</v>
      </c>
      <c r="S279" t="s">
        <v>547</v>
      </c>
    </row>
    <row r="280" spans="1:19" x14ac:dyDescent="0.2">
      <c r="A280">
        <v>279</v>
      </c>
      <c r="B280" t="s">
        <v>135</v>
      </c>
      <c r="C280" t="s">
        <v>346</v>
      </c>
      <c r="D280" t="s">
        <v>26</v>
      </c>
      <c r="E280" t="s">
        <v>9</v>
      </c>
      <c r="F280" t="s">
        <v>12</v>
      </c>
      <c r="G280">
        <v>31</v>
      </c>
      <c r="H280">
        <v>31</v>
      </c>
      <c r="I280">
        <v>8.0500000000000007</v>
      </c>
      <c r="J280">
        <v>7.2</v>
      </c>
      <c r="K280">
        <v>1</v>
      </c>
      <c r="L280">
        <v>0.56999999999999995</v>
      </c>
      <c r="M280">
        <v>8.5999999999999993E-2</v>
      </c>
      <c r="N280" s="21">
        <v>4.5600000000000005</v>
      </c>
      <c r="O280" s="21">
        <v>3.3988888888888886</v>
      </c>
      <c r="P280" s="21" t="s">
        <v>547</v>
      </c>
      <c r="Q280" s="21">
        <v>4.5600000000000005</v>
      </c>
      <c r="S280" t="s">
        <v>547</v>
      </c>
    </row>
    <row r="281" spans="1:19" x14ac:dyDescent="0.2">
      <c r="A281">
        <v>280</v>
      </c>
      <c r="B281" t="s">
        <v>135</v>
      </c>
      <c r="C281" t="s">
        <v>346</v>
      </c>
      <c r="D281" t="s">
        <v>26</v>
      </c>
      <c r="E281" t="s">
        <v>9</v>
      </c>
      <c r="F281" t="s">
        <v>14</v>
      </c>
      <c r="G281">
        <v>38</v>
      </c>
      <c r="H281">
        <v>37</v>
      </c>
      <c r="I281">
        <v>10.15</v>
      </c>
      <c r="J281">
        <v>9.15</v>
      </c>
      <c r="K281">
        <v>1</v>
      </c>
      <c r="L281">
        <v>0.56999999999999995</v>
      </c>
      <c r="M281">
        <v>8.5999999999999993E-2</v>
      </c>
      <c r="N281" s="21">
        <v>5.7949999999999999</v>
      </c>
      <c r="O281" s="21">
        <v>4.2855555555555558</v>
      </c>
      <c r="P281" s="21" t="s">
        <v>547</v>
      </c>
      <c r="Q281" s="21">
        <v>5.7949999999999999</v>
      </c>
      <c r="S281" t="s">
        <v>547</v>
      </c>
    </row>
    <row r="282" spans="1:19" x14ac:dyDescent="0.2">
      <c r="A282">
        <v>281</v>
      </c>
      <c r="B282" t="s">
        <v>136</v>
      </c>
      <c r="C282" t="s">
        <v>136</v>
      </c>
      <c r="D282" t="s">
        <v>26</v>
      </c>
      <c r="E282" t="s">
        <v>9</v>
      </c>
      <c r="F282" t="s">
        <v>10</v>
      </c>
      <c r="G282">
        <v>36</v>
      </c>
      <c r="H282">
        <v>39</v>
      </c>
      <c r="I282">
        <v>9.3000000000000007</v>
      </c>
      <c r="J282">
        <v>9.4</v>
      </c>
      <c r="K282">
        <v>1.1499999999999999</v>
      </c>
      <c r="L282">
        <v>0.78100000000000003</v>
      </c>
      <c r="M282">
        <v>0.11600000000000001</v>
      </c>
      <c r="N282" s="21">
        <v>7.0931400966183586</v>
      </c>
      <c r="O282" s="21">
        <v>4.6784541062801939</v>
      </c>
      <c r="P282" s="21">
        <v>7.0931400966183586</v>
      </c>
      <c r="Q282" s="21" t="s">
        <v>547</v>
      </c>
      <c r="S282" t="s">
        <v>547</v>
      </c>
    </row>
    <row r="283" spans="1:19" x14ac:dyDescent="0.2">
      <c r="A283">
        <v>282</v>
      </c>
      <c r="B283" t="s">
        <v>136</v>
      </c>
      <c r="C283" t="s">
        <v>136</v>
      </c>
      <c r="D283" t="s">
        <v>26</v>
      </c>
      <c r="E283" t="s">
        <v>9</v>
      </c>
      <c r="F283" t="s">
        <v>11</v>
      </c>
      <c r="G283">
        <v>34</v>
      </c>
      <c r="H283">
        <v>36</v>
      </c>
      <c r="I283">
        <v>6.3</v>
      </c>
      <c r="J283">
        <v>7.6</v>
      </c>
      <c r="K283">
        <v>1.1499999999999999</v>
      </c>
      <c r="L283">
        <v>0.78100000000000003</v>
      </c>
      <c r="M283">
        <v>0.11600000000000001</v>
      </c>
      <c r="N283" s="21">
        <v>5.734879227053141</v>
      </c>
      <c r="O283" s="21">
        <v>3.169275362318841</v>
      </c>
      <c r="P283" s="21">
        <v>5.734879227053141</v>
      </c>
      <c r="Q283" s="21" t="s">
        <v>547</v>
      </c>
      <c r="S283" t="s">
        <v>547</v>
      </c>
    </row>
    <row r="284" spans="1:19" x14ac:dyDescent="0.2">
      <c r="A284">
        <v>283</v>
      </c>
      <c r="B284" t="s">
        <v>136</v>
      </c>
      <c r="C284" t="s">
        <v>136</v>
      </c>
      <c r="D284" t="s">
        <v>26</v>
      </c>
      <c r="E284" t="s">
        <v>9</v>
      </c>
      <c r="F284" t="s">
        <v>12</v>
      </c>
      <c r="G284">
        <v>34</v>
      </c>
      <c r="H284">
        <v>35</v>
      </c>
      <c r="I284">
        <v>4.5999999999999996</v>
      </c>
      <c r="J284">
        <v>5.75</v>
      </c>
      <c r="K284">
        <v>0.65</v>
      </c>
      <c r="L284">
        <v>0.51800000000000002</v>
      </c>
      <c r="M284">
        <v>7.4999999999999997E-2</v>
      </c>
      <c r="N284" s="21">
        <v>5.0914529914529911</v>
      </c>
      <c r="O284" s="21">
        <v>2.7154415954415954</v>
      </c>
      <c r="P284" s="21" t="s">
        <v>547</v>
      </c>
      <c r="Q284" s="21">
        <v>5.0914529914529911</v>
      </c>
      <c r="S284" t="s">
        <v>547</v>
      </c>
    </row>
    <row r="285" spans="1:19" x14ac:dyDescent="0.2">
      <c r="A285">
        <v>284</v>
      </c>
      <c r="B285" t="s">
        <v>136</v>
      </c>
      <c r="C285" t="s">
        <v>136</v>
      </c>
      <c r="D285" t="s">
        <v>26</v>
      </c>
      <c r="E285" t="s">
        <v>9</v>
      </c>
      <c r="F285" t="s">
        <v>14</v>
      </c>
      <c r="G285">
        <v>29</v>
      </c>
      <c r="H285">
        <v>31</v>
      </c>
      <c r="I285">
        <v>4</v>
      </c>
      <c r="J285">
        <v>5.9</v>
      </c>
      <c r="K285">
        <v>0.65</v>
      </c>
      <c r="L285">
        <v>0.51800000000000002</v>
      </c>
      <c r="M285">
        <v>7.4999999999999997E-2</v>
      </c>
      <c r="N285" s="21">
        <v>5.2242735042735049</v>
      </c>
      <c r="O285" s="21">
        <v>2.3612535612535615</v>
      </c>
      <c r="P285" s="21" t="s">
        <v>547</v>
      </c>
      <c r="Q285" s="21">
        <v>5.2242735042735049</v>
      </c>
      <c r="S285" t="s">
        <v>547</v>
      </c>
    </row>
    <row r="286" spans="1:19" x14ac:dyDescent="0.2">
      <c r="A286">
        <v>285</v>
      </c>
      <c r="B286" t="s">
        <v>137</v>
      </c>
      <c r="C286" t="s">
        <v>423</v>
      </c>
      <c r="D286" t="s">
        <v>26</v>
      </c>
      <c r="E286" t="s">
        <v>9</v>
      </c>
      <c r="F286" t="s">
        <v>10</v>
      </c>
      <c r="G286">
        <v>34</v>
      </c>
      <c r="H286">
        <v>35</v>
      </c>
      <c r="I286">
        <v>11.2</v>
      </c>
      <c r="J286">
        <v>9.8000000000000007</v>
      </c>
      <c r="K286">
        <v>1.1000000000000001</v>
      </c>
      <c r="L286">
        <v>0.75800000000000001</v>
      </c>
      <c r="N286" s="21">
        <v>7.5034343434343445</v>
      </c>
      <c r="O286" s="21">
        <v>5.7169023569023558</v>
      </c>
      <c r="P286" s="21">
        <v>7.5034343434343445</v>
      </c>
      <c r="Q286" s="21" t="s">
        <v>547</v>
      </c>
      <c r="S286" t="s">
        <v>547</v>
      </c>
    </row>
    <row r="287" spans="1:19" x14ac:dyDescent="0.2">
      <c r="A287">
        <v>286</v>
      </c>
      <c r="B287" t="s">
        <v>137</v>
      </c>
      <c r="C287" t="s">
        <v>423</v>
      </c>
      <c r="D287" t="s">
        <v>26</v>
      </c>
      <c r="E287" t="s">
        <v>9</v>
      </c>
      <c r="F287" t="s">
        <v>11</v>
      </c>
      <c r="G287">
        <v>33</v>
      </c>
      <c r="H287">
        <v>34</v>
      </c>
      <c r="I287">
        <v>10.9</v>
      </c>
      <c r="J287">
        <v>9.5</v>
      </c>
      <c r="K287">
        <v>1.1000000000000001</v>
      </c>
      <c r="L287">
        <v>0.75800000000000001</v>
      </c>
      <c r="N287" s="21">
        <v>7.2737373737373732</v>
      </c>
      <c r="O287" s="21">
        <v>5.5637710437710437</v>
      </c>
      <c r="P287" s="21">
        <v>7.2737373737373732</v>
      </c>
      <c r="Q287" s="21" t="s">
        <v>547</v>
      </c>
      <c r="S287" t="s">
        <v>547</v>
      </c>
    </row>
    <row r="288" spans="1:19" x14ac:dyDescent="0.2">
      <c r="A288">
        <v>287</v>
      </c>
      <c r="B288" t="s">
        <v>137</v>
      </c>
      <c r="C288" t="s">
        <v>423</v>
      </c>
      <c r="D288" t="s">
        <v>26</v>
      </c>
      <c r="E288" t="s">
        <v>9</v>
      </c>
      <c r="F288" t="s">
        <v>12</v>
      </c>
      <c r="G288">
        <v>32</v>
      </c>
      <c r="H288">
        <v>33</v>
      </c>
      <c r="I288">
        <v>7.3</v>
      </c>
      <c r="J288">
        <v>5.75</v>
      </c>
      <c r="K288">
        <v>0.85</v>
      </c>
      <c r="L288">
        <v>0.59099999999999997</v>
      </c>
      <c r="M288">
        <v>7.0000000000000007E-2</v>
      </c>
      <c r="N288" s="21">
        <v>4.4421568627450982</v>
      </c>
      <c r="O288" s="21">
        <v>3.7597385620915036</v>
      </c>
      <c r="P288" s="21" t="s">
        <v>547</v>
      </c>
      <c r="Q288" s="21">
        <v>4.4421568627450982</v>
      </c>
      <c r="S288" t="s">
        <v>547</v>
      </c>
    </row>
    <row r="289" spans="1:19" x14ac:dyDescent="0.2">
      <c r="A289">
        <v>288</v>
      </c>
      <c r="B289" t="s">
        <v>137</v>
      </c>
      <c r="C289" t="s">
        <v>423</v>
      </c>
      <c r="D289" t="s">
        <v>26</v>
      </c>
      <c r="E289" t="s">
        <v>9</v>
      </c>
      <c r="F289" t="s">
        <v>14</v>
      </c>
      <c r="G289">
        <v>33</v>
      </c>
      <c r="H289">
        <v>35</v>
      </c>
      <c r="I289">
        <v>7.5</v>
      </c>
      <c r="J289">
        <v>6.05</v>
      </c>
      <c r="K289">
        <v>0.85</v>
      </c>
      <c r="L289">
        <v>0.59099999999999997</v>
      </c>
      <c r="M289">
        <v>7.0000000000000007E-2</v>
      </c>
      <c r="N289" s="21">
        <v>4.6739215686274509</v>
      </c>
      <c r="O289" s="21">
        <v>3.8627450980392157</v>
      </c>
      <c r="P289" s="21" t="s">
        <v>547</v>
      </c>
      <c r="Q289" s="21">
        <v>4.6739215686274509</v>
      </c>
      <c r="S289" t="s">
        <v>547</v>
      </c>
    </row>
    <row r="290" spans="1:19" x14ac:dyDescent="0.2">
      <c r="A290">
        <v>289</v>
      </c>
      <c r="B290" t="s">
        <v>138</v>
      </c>
      <c r="C290" t="s">
        <v>138</v>
      </c>
      <c r="D290" t="s">
        <v>26</v>
      </c>
      <c r="E290" t="s">
        <v>9</v>
      </c>
      <c r="F290" t="s">
        <v>10</v>
      </c>
      <c r="G290">
        <v>44</v>
      </c>
      <c r="H290">
        <v>45</v>
      </c>
      <c r="I290">
        <v>14.5</v>
      </c>
      <c r="J290">
        <v>10.45</v>
      </c>
      <c r="K290">
        <v>1.2</v>
      </c>
      <c r="L290">
        <v>0.70799999999999996</v>
      </c>
      <c r="M290">
        <v>0.124</v>
      </c>
      <c r="N290" s="21">
        <v>6.8505555555555544</v>
      </c>
      <c r="O290" s="21">
        <v>6.3370370370370379</v>
      </c>
      <c r="P290" s="21">
        <v>6.8505555555555544</v>
      </c>
      <c r="Q290" s="21" t="s">
        <v>547</v>
      </c>
      <c r="S290" t="s">
        <v>547</v>
      </c>
    </row>
    <row r="291" spans="1:19" x14ac:dyDescent="0.2">
      <c r="A291">
        <v>290</v>
      </c>
      <c r="B291" t="s">
        <v>138</v>
      </c>
      <c r="C291" t="s">
        <v>138</v>
      </c>
      <c r="D291" t="s">
        <v>26</v>
      </c>
      <c r="E291" t="s">
        <v>9</v>
      </c>
      <c r="F291" t="s">
        <v>11</v>
      </c>
      <c r="G291">
        <v>42</v>
      </c>
      <c r="H291">
        <v>43</v>
      </c>
      <c r="I291">
        <v>13.7</v>
      </c>
      <c r="J291">
        <v>10.050000000000001</v>
      </c>
      <c r="K291">
        <v>1.2</v>
      </c>
      <c r="L291">
        <v>0.70799999999999996</v>
      </c>
      <c r="M291">
        <v>0.124</v>
      </c>
      <c r="N291" s="21">
        <v>6.5883333333333338</v>
      </c>
      <c r="O291" s="21">
        <v>5.9874074074074075</v>
      </c>
      <c r="P291" s="21">
        <v>6.5883333333333338</v>
      </c>
      <c r="Q291" s="21" t="s">
        <v>547</v>
      </c>
      <c r="S291" t="s">
        <v>547</v>
      </c>
    </row>
    <row r="292" spans="1:19" x14ac:dyDescent="0.2">
      <c r="A292">
        <v>291</v>
      </c>
      <c r="B292" t="s">
        <v>138</v>
      </c>
      <c r="C292" t="s">
        <v>138</v>
      </c>
      <c r="D292" t="s">
        <v>26</v>
      </c>
      <c r="E292" t="s">
        <v>9</v>
      </c>
      <c r="F292" t="s">
        <v>12</v>
      </c>
      <c r="G292">
        <v>32</v>
      </c>
      <c r="H292">
        <v>35</v>
      </c>
      <c r="I292">
        <v>7.8</v>
      </c>
      <c r="J292">
        <v>8.8000000000000007</v>
      </c>
      <c r="K292">
        <v>0.9</v>
      </c>
      <c r="L292">
        <v>0.57399999999999995</v>
      </c>
      <c r="M292">
        <v>0.127</v>
      </c>
      <c r="N292" s="21">
        <v>6.2360493827160495</v>
      </c>
      <c r="O292" s="21">
        <v>3.6849382716049375</v>
      </c>
      <c r="P292" s="21" t="s">
        <v>547</v>
      </c>
      <c r="Q292" s="21">
        <v>6.2360493827160495</v>
      </c>
      <c r="S292" t="s">
        <v>547</v>
      </c>
    </row>
    <row r="293" spans="1:19" x14ac:dyDescent="0.2">
      <c r="A293">
        <v>292</v>
      </c>
      <c r="B293" t="s">
        <v>138</v>
      </c>
      <c r="C293" t="s">
        <v>138</v>
      </c>
      <c r="D293" t="s">
        <v>26</v>
      </c>
      <c r="E293" t="s">
        <v>9</v>
      </c>
      <c r="F293" t="s">
        <v>14</v>
      </c>
      <c r="G293">
        <v>32</v>
      </c>
      <c r="H293">
        <v>32</v>
      </c>
      <c r="I293">
        <v>7.6</v>
      </c>
      <c r="J293">
        <v>8.4499999999999993</v>
      </c>
      <c r="K293">
        <v>0.9</v>
      </c>
      <c r="L293">
        <v>0.57399999999999995</v>
      </c>
      <c r="M293">
        <v>0.127</v>
      </c>
      <c r="N293" s="21">
        <v>5.9880246913580235</v>
      </c>
      <c r="O293" s="21">
        <v>3.5904526748971191</v>
      </c>
      <c r="P293" s="21" t="s">
        <v>547</v>
      </c>
      <c r="Q293" s="21">
        <v>5.9880246913580235</v>
      </c>
      <c r="S293" t="s">
        <v>547</v>
      </c>
    </row>
    <row r="294" spans="1:19" x14ac:dyDescent="0.2">
      <c r="A294">
        <v>293</v>
      </c>
      <c r="B294" t="s">
        <v>139</v>
      </c>
      <c r="C294" t="s">
        <v>139</v>
      </c>
      <c r="D294" t="s">
        <v>26</v>
      </c>
      <c r="E294" t="s">
        <v>9</v>
      </c>
      <c r="F294" t="s">
        <v>10</v>
      </c>
      <c r="G294">
        <v>31</v>
      </c>
      <c r="H294">
        <v>37</v>
      </c>
      <c r="I294">
        <v>12.5</v>
      </c>
      <c r="J294">
        <v>9.35</v>
      </c>
      <c r="K294">
        <v>1.5</v>
      </c>
      <c r="L294">
        <v>0.624</v>
      </c>
      <c r="M294">
        <v>0.105</v>
      </c>
      <c r="N294" s="21">
        <v>4.3217777777777773</v>
      </c>
      <c r="O294" s="21">
        <v>3.8518518518518516</v>
      </c>
      <c r="P294" s="21">
        <v>4.3217777777777773</v>
      </c>
      <c r="Q294" s="21" t="s">
        <v>547</v>
      </c>
      <c r="S294" t="s">
        <v>547</v>
      </c>
    </row>
    <row r="295" spans="1:19" x14ac:dyDescent="0.2">
      <c r="A295">
        <v>294</v>
      </c>
      <c r="B295" t="s">
        <v>139</v>
      </c>
      <c r="C295" t="s">
        <v>139</v>
      </c>
      <c r="D295" t="s">
        <v>26</v>
      </c>
      <c r="E295" t="s">
        <v>9</v>
      </c>
      <c r="F295" t="s">
        <v>11</v>
      </c>
      <c r="G295">
        <v>29</v>
      </c>
      <c r="H295">
        <v>32</v>
      </c>
      <c r="I295">
        <v>16.75</v>
      </c>
      <c r="J295">
        <v>9.0500000000000007</v>
      </c>
      <c r="K295">
        <v>1.5</v>
      </c>
      <c r="L295">
        <v>0.624</v>
      </c>
      <c r="M295">
        <v>0.105</v>
      </c>
      <c r="N295" s="21">
        <v>4.1831111111111117</v>
      </c>
      <c r="O295" s="21">
        <v>5.1614814814814816</v>
      </c>
      <c r="P295" s="21">
        <v>4.1831111111111117</v>
      </c>
      <c r="Q295" s="21" t="s">
        <v>547</v>
      </c>
      <c r="S295" t="s">
        <v>547</v>
      </c>
    </row>
    <row r="296" spans="1:19" x14ac:dyDescent="0.2">
      <c r="A296">
        <v>295</v>
      </c>
      <c r="B296" t="s">
        <v>139</v>
      </c>
      <c r="C296" t="s">
        <v>139</v>
      </c>
      <c r="D296" t="s">
        <v>26</v>
      </c>
      <c r="E296" t="s">
        <v>9</v>
      </c>
      <c r="F296" t="s">
        <v>12</v>
      </c>
      <c r="G296">
        <v>31</v>
      </c>
      <c r="H296">
        <v>30</v>
      </c>
      <c r="I296">
        <v>9.1</v>
      </c>
      <c r="J296">
        <v>7.5</v>
      </c>
      <c r="K296">
        <v>0.95</v>
      </c>
      <c r="L296">
        <v>0.57899999999999996</v>
      </c>
      <c r="M296">
        <v>7.9000000000000001E-2</v>
      </c>
      <c r="N296" s="21">
        <v>5.0789473684210531</v>
      </c>
      <c r="O296" s="21">
        <v>4.1083040935672521</v>
      </c>
      <c r="P296" s="21" t="s">
        <v>547</v>
      </c>
      <c r="Q296" s="21">
        <v>5.0789473684210531</v>
      </c>
      <c r="S296" t="s">
        <v>547</v>
      </c>
    </row>
    <row r="297" spans="1:19" x14ac:dyDescent="0.2">
      <c r="A297">
        <v>296</v>
      </c>
      <c r="B297" t="s">
        <v>139</v>
      </c>
      <c r="C297" t="s">
        <v>139</v>
      </c>
      <c r="D297" t="s">
        <v>26</v>
      </c>
      <c r="E297" t="s">
        <v>9</v>
      </c>
      <c r="F297" t="s">
        <v>14</v>
      </c>
      <c r="G297">
        <v>35</v>
      </c>
      <c r="H297">
        <v>33</v>
      </c>
      <c r="I297">
        <v>7.3</v>
      </c>
      <c r="J297">
        <v>7.2</v>
      </c>
      <c r="K297">
        <v>0.95</v>
      </c>
      <c r="L297">
        <v>0.57899999999999996</v>
      </c>
      <c r="M297">
        <v>7.9000000000000001E-2</v>
      </c>
      <c r="N297" s="21">
        <v>4.8757894736842102</v>
      </c>
      <c r="O297" s="21">
        <v>3.2956725146198833</v>
      </c>
      <c r="P297" s="21" t="s">
        <v>547</v>
      </c>
      <c r="Q297" s="21">
        <v>4.8757894736842102</v>
      </c>
      <c r="S297" t="s">
        <v>547</v>
      </c>
    </row>
    <row r="298" spans="1:19" x14ac:dyDescent="0.2">
      <c r="A298">
        <v>297</v>
      </c>
      <c r="B298" t="s">
        <v>140</v>
      </c>
      <c r="C298" t="s">
        <v>140</v>
      </c>
      <c r="D298" t="s">
        <v>26</v>
      </c>
      <c r="E298" t="s">
        <v>9</v>
      </c>
      <c r="F298" t="s">
        <v>10</v>
      </c>
      <c r="G298">
        <v>45</v>
      </c>
      <c r="H298">
        <v>43</v>
      </c>
      <c r="I298">
        <v>13.7</v>
      </c>
      <c r="J298">
        <v>9.6999999999999993</v>
      </c>
      <c r="K298">
        <v>1.05</v>
      </c>
      <c r="L298">
        <v>0.7</v>
      </c>
      <c r="M298">
        <v>9.7000000000000003E-2</v>
      </c>
      <c r="N298" s="21">
        <v>7.1851851851851842</v>
      </c>
      <c r="O298" s="21">
        <v>6.7654320987654311</v>
      </c>
      <c r="P298" s="21">
        <v>7.1851851851851842</v>
      </c>
      <c r="Q298" s="21" t="s">
        <v>547</v>
      </c>
      <c r="S298" t="s">
        <v>547</v>
      </c>
    </row>
    <row r="299" spans="1:19" x14ac:dyDescent="0.2">
      <c r="A299">
        <v>298</v>
      </c>
      <c r="B299" t="s">
        <v>140</v>
      </c>
      <c r="C299" t="s">
        <v>140</v>
      </c>
      <c r="D299" t="s">
        <v>26</v>
      </c>
      <c r="E299" t="s">
        <v>9</v>
      </c>
      <c r="F299" t="s">
        <v>11</v>
      </c>
      <c r="G299">
        <v>32</v>
      </c>
      <c r="H299">
        <v>34</v>
      </c>
      <c r="I299">
        <v>11.6</v>
      </c>
      <c r="J299">
        <v>7.55</v>
      </c>
      <c r="K299">
        <v>1.05</v>
      </c>
      <c r="L299">
        <v>0.7</v>
      </c>
      <c r="M299">
        <v>9.7000000000000003E-2</v>
      </c>
      <c r="N299" s="21">
        <v>5.5925925925925926</v>
      </c>
      <c r="O299" s="21">
        <v>5.7283950617283939</v>
      </c>
      <c r="P299" s="21">
        <v>5.5925925925925926</v>
      </c>
      <c r="Q299" s="21" t="s">
        <v>547</v>
      </c>
      <c r="S299" t="s">
        <v>547</v>
      </c>
    </row>
    <row r="300" spans="1:19" x14ac:dyDescent="0.2">
      <c r="A300">
        <v>299</v>
      </c>
      <c r="B300" t="s">
        <v>140</v>
      </c>
      <c r="C300" t="s">
        <v>140</v>
      </c>
      <c r="D300" t="s">
        <v>26</v>
      </c>
      <c r="E300" t="s">
        <v>9</v>
      </c>
      <c r="F300" t="s">
        <v>12</v>
      </c>
      <c r="G300">
        <v>18</v>
      </c>
      <c r="H300">
        <v>25</v>
      </c>
      <c r="I300">
        <v>2.8</v>
      </c>
      <c r="J300">
        <v>3.95</v>
      </c>
      <c r="K300">
        <v>0.8</v>
      </c>
      <c r="L300">
        <v>0.501</v>
      </c>
      <c r="M300">
        <v>0.107</v>
      </c>
      <c r="N300" s="21">
        <v>2.7485416666666667</v>
      </c>
      <c r="O300" s="21">
        <v>1.2988888888888888</v>
      </c>
      <c r="P300" s="21" t="s">
        <v>547</v>
      </c>
      <c r="Q300" s="21">
        <v>2.7485416666666667</v>
      </c>
      <c r="S300" t="s">
        <v>547</v>
      </c>
    </row>
    <row r="301" spans="1:19" x14ac:dyDescent="0.2">
      <c r="A301">
        <v>300</v>
      </c>
      <c r="B301" t="s">
        <v>140</v>
      </c>
      <c r="C301" t="s">
        <v>140</v>
      </c>
      <c r="D301" t="s">
        <v>26</v>
      </c>
      <c r="E301" t="s">
        <v>9</v>
      </c>
      <c r="F301" t="s">
        <v>14</v>
      </c>
      <c r="G301">
        <v>23</v>
      </c>
      <c r="H301">
        <v>37</v>
      </c>
      <c r="I301">
        <v>3.3</v>
      </c>
      <c r="J301">
        <v>5.55</v>
      </c>
      <c r="K301">
        <v>0.8</v>
      </c>
      <c r="L301">
        <v>0.501</v>
      </c>
      <c r="M301">
        <v>0.107</v>
      </c>
      <c r="N301" s="21">
        <v>3.8618749999999999</v>
      </c>
      <c r="O301" s="21">
        <v>1.530833333333333</v>
      </c>
      <c r="P301" s="21" t="s">
        <v>547</v>
      </c>
      <c r="Q301" s="21">
        <v>3.8618749999999999</v>
      </c>
      <c r="S301" t="s">
        <v>547</v>
      </c>
    </row>
    <row r="302" spans="1:19" x14ac:dyDescent="0.2">
      <c r="A302">
        <v>301</v>
      </c>
      <c r="B302" t="s">
        <v>141</v>
      </c>
      <c r="D302" t="s">
        <v>26</v>
      </c>
      <c r="E302" t="s">
        <v>9</v>
      </c>
      <c r="F302" t="s">
        <v>11</v>
      </c>
      <c r="G302">
        <v>38</v>
      </c>
      <c r="H302">
        <v>40</v>
      </c>
      <c r="I302">
        <v>13.4</v>
      </c>
      <c r="J302">
        <v>11.5</v>
      </c>
      <c r="L302">
        <v>0.29599999999999999</v>
      </c>
      <c r="M302">
        <v>0.10199999999999999</v>
      </c>
      <c r="N302" s="21" t="e">
        <v>#DIV/0!</v>
      </c>
      <c r="O302" s="21" t="e">
        <v>#DIV/0!</v>
      </c>
      <c r="P302" s="21" t="e">
        <v>#DIV/0!</v>
      </c>
      <c r="Q302" s="21" t="s">
        <v>547</v>
      </c>
      <c r="S302" t="e">
        <v>#DIV/0!</v>
      </c>
    </row>
    <row r="303" spans="1:19" x14ac:dyDescent="0.2">
      <c r="A303">
        <v>302</v>
      </c>
      <c r="B303" t="s">
        <v>142</v>
      </c>
      <c r="C303" t="s">
        <v>142</v>
      </c>
      <c r="D303" t="s">
        <v>26</v>
      </c>
      <c r="E303" t="s">
        <v>9</v>
      </c>
      <c r="F303" t="s">
        <v>10</v>
      </c>
      <c r="G303">
        <v>37</v>
      </c>
      <c r="H303">
        <v>39</v>
      </c>
      <c r="I303">
        <v>13.3</v>
      </c>
      <c r="J303">
        <v>10.25</v>
      </c>
      <c r="K303">
        <v>1.1499999999999999</v>
      </c>
      <c r="L303">
        <v>0.60099999999999998</v>
      </c>
      <c r="M303">
        <v>7.0000000000000007E-2</v>
      </c>
      <c r="N303" s="21">
        <v>5.9519323671497597</v>
      </c>
      <c r="O303" s="21">
        <v>5.1486634460547513</v>
      </c>
      <c r="P303" s="21">
        <v>5.9519323671497597</v>
      </c>
      <c r="Q303" s="21" t="s">
        <v>547</v>
      </c>
      <c r="S303" t="s">
        <v>547</v>
      </c>
    </row>
    <row r="304" spans="1:19" x14ac:dyDescent="0.2">
      <c r="A304">
        <v>303</v>
      </c>
      <c r="B304" t="s">
        <v>142</v>
      </c>
      <c r="C304" t="s">
        <v>142</v>
      </c>
      <c r="D304" t="s">
        <v>26</v>
      </c>
      <c r="E304" t="s">
        <v>9</v>
      </c>
      <c r="F304" t="s">
        <v>11</v>
      </c>
      <c r="G304">
        <v>36</v>
      </c>
      <c r="H304">
        <v>37</v>
      </c>
      <c r="I304">
        <v>12.6</v>
      </c>
      <c r="J304">
        <v>9.9499999999999993</v>
      </c>
      <c r="K304">
        <v>1.1499999999999999</v>
      </c>
      <c r="L304">
        <v>0.60099999999999998</v>
      </c>
      <c r="M304">
        <v>7.0000000000000007E-2</v>
      </c>
      <c r="N304" s="21">
        <v>5.7777294685990341</v>
      </c>
      <c r="O304" s="21">
        <v>4.8776811594202902</v>
      </c>
      <c r="P304" s="21">
        <v>5.7777294685990341</v>
      </c>
      <c r="Q304" s="21" t="s">
        <v>547</v>
      </c>
      <c r="S304" t="s">
        <v>547</v>
      </c>
    </row>
    <row r="305" spans="1:19" x14ac:dyDescent="0.2">
      <c r="A305">
        <v>304</v>
      </c>
      <c r="B305" t="s">
        <v>142</v>
      </c>
      <c r="C305" t="s">
        <v>142</v>
      </c>
      <c r="D305" t="s">
        <v>26</v>
      </c>
      <c r="E305" t="s">
        <v>9</v>
      </c>
      <c r="F305" t="s">
        <v>12</v>
      </c>
      <c r="G305">
        <v>35</v>
      </c>
      <c r="H305">
        <v>32</v>
      </c>
      <c r="I305">
        <v>8.85</v>
      </c>
      <c r="J305">
        <v>5.85</v>
      </c>
      <c r="K305">
        <v>0.9</v>
      </c>
      <c r="L305">
        <v>0.45300000000000001</v>
      </c>
      <c r="M305">
        <v>6.9000000000000006E-2</v>
      </c>
      <c r="N305" s="21">
        <v>3.2716666666666665</v>
      </c>
      <c r="O305" s="21">
        <v>3.2996296296296297</v>
      </c>
      <c r="P305" s="21" t="s">
        <v>547</v>
      </c>
      <c r="Q305" s="21">
        <v>3.2716666666666665</v>
      </c>
      <c r="S305" t="s">
        <v>547</v>
      </c>
    </row>
    <row r="306" spans="1:19" x14ac:dyDescent="0.2">
      <c r="A306">
        <v>305</v>
      </c>
      <c r="B306" t="s">
        <v>143</v>
      </c>
      <c r="C306" t="s">
        <v>347</v>
      </c>
      <c r="D306" t="s">
        <v>26</v>
      </c>
      <c r="E306" t="s">
        <v>9</v>
      </c>
      <c r="F306" t="s">
        <v>10</v>
      </c>
      <c r="G306">
        <v>33</v>
      </c>
      <c r="H306">
        <v>33</v>
      </c>
      <c r="I306">
        <v>12.45</v>
      </c>
      <c r="J306">
        <v>8.9</v>
      </c>
      <c r="K306">
        <v>1.3</v>
      </c>
      <c r="L306">
        <v>0.746</v>
      </c>
      <c r="M306">
        <v>0.105</v>
      </c>
      <c r="N306" s="21">
        <v>5.6747008547008546</v>
      </c>
      <c r="O306" s="21">
        <v>5.2921367521367513</v>
      </c>
      <c r="P306" s="21">
        <v>5.6747008547008546</v>
      </c>
      <c r="Q306" s="21" t="s">
        <v>547</v>
      </c>
      <c r="S306" t="s">
        <v>547</v>
      </c>
    </row>
    <row r="307" spans="1:19" x14ac:dyDescent="0.2">
      <c r="A307">
        <v>306</v>
      </c>
      <c r="B307" t="s">
        <v>143</v>
      </c>
      <c r="C307" t="s">
        <v>347</v>
      </c>
      <c r="D307" t="s">
        <v>26</v>
      </c>
      <c r="E307" t="s">
        <v>9</v>
      </c>
      <c r="F307" t="s">
        <v>11</v>
      </c>
      <c r="G307">
        <v>31</v>
      </c>
      <c r="H307">
        <v>32</v>
      </c>
      <c r="I307">
        <v>12.6</v>
      </c>
      <c r="J307">
        <v>8.65</v>
      </c>
      <c r="K307">
        <v>1.3</v>
      </c>
      <c r="L307">
        <v>0.746</v>
      </c>
      <c r="M307">
        <v>0.105</v>
      </c>
      <c r="N307" s="21">
        <v>5.5152991452991449</v>
      </c>
      <c r="O307" s="21">
        <v>5.3558974358974352</v>
      </c>
      <c r="P307" s="21">
        <v>5.5152991452991449</v>
      </c>
      <c r="Q307" s="21" t="s">
        <v>547</v>
      </c>
      <c r="S307" t="s">
        <v>547</v>
      </c>
    </row>
    <row r="308" spans="1:19" x14ac:dyDescent="0.2">
      <c r="A308">
        <v>307</v>
      </c>
      <c r="B308" t="s">
        <v>143</v>
      </c>
      <c r="C308" t="s">
        <v>347</v>
      </c>
      <c r="D308" t="s">
        <v>26</v>
      </c>
      <c r="E308" t="s">
        <v>9</v>
      </c>
      <c r="F308" t="s">
        <v>12</v>
      </c>
      <c r="G308">
        <v>27</v>
      </c>
      <c r="H308">
        <v>26</v>
      </c>
      <c r="I308">
        <v>5.75</v>
      </c>
      <c r="J308">
        <v>4.25</v>
      </c>
      <c r="K308">
        <v>0.75</v>
      </c>
      <c r="L308">
        <v>0.54</v>
      </c>
      <c r="M308">
        <v>8.6999999999999994E-2</v>
      </c>
      <c r="N308" s="21">
        <v>3.4000000000000008</v>
      </c>
      <c r="O308" s="21">
        <v>3.0666666666666669</v>
      </c>
      <c r="P308" s="21" t="s">
        <v>547</v>
      </c>
      <c r="Q308" s="21">
        <v>3.4000000000000008</v>
      </c>
      <c r="S308" t="s">
        <v>547</v>
      </c>
    </row>
    <row r="309" spans="1:19" x14ac:dyDescent="0.2">
      <c r="A309">
        <v>308</v>
      </c>
      <c r="B309" t="s">
        <v>143</v>
      </c>
      <c r="C309" t="s">
        <v>347</v>
      </c>
      <c r="D309" t="s">
        <v>26</v>
      </c>
      <c r="E309" t="s">
        <v>9</v>
      </c>
      <c r="F309" t="s">
        <v>14</v>
      </c>
      <c r="G309">
        <v>38</v>
      </c>
      <c r="H309">
        <v>40</v>
      </c>
      <c r="I309">
        <v>4.8</v>
      </c>
      <c r="J309">
        <v>4.5</v>
      </c>
      <c r="K309">
        <v>0.75</v>
      </c>
      <c r="L309">
        <v>0.54</v>
      </c>
      <c r="M309">
        <v>8.6999999999999994E-2</v>
      </c>
      <c r="N309" s="21">
        <v>3.6000000000000005</v>
      </c>
      <c r="O309" s="21">
        <v>2.5600000000000005</v>
      </c>
      <c r="P309" s="21" t="s">
        <v>547</v>
      </c>
      <c r="Q309" s="21">
        <v>3.6000000000000005</v>
      </c>
      <c r="S309" t="s">
        <v>547</v>
      </c>
    </row>
    <row r="310" spans="1:19" x14ac:dyDescent="0.2">
      <c r="A310">
        <v>309</v>
      </c>
      <c r="B310" t="s">
        <v>144</v>
      </c>
      <c r="C310" t="s">
        <v>144</v>
      </c>
      <c r="D310" t="s">
        <v>26</v>
      </c>
      <c r="E310" t="s">
        <v>9</v>
      </c>
      <c r="F310" t="s">
        <v>10</v>
      </c>
      <c r="G310">
        <v>35</v>
      </c>
      <c r="H310">
        <v>36</v>
      </c>
      <c r="I310">
        <v>14</v>
      </c>
      <c r="J310">
        <v>11.55</v>
      </c>
      <c r="K310">
        <v>1.25</v>
      </c>
      <c r="L310">
        <v>0.71899999999999997</v>
      </c>
      <c r="M310">
        <v>0.10100000000000001</v>
      </c>
      <c r="N310" s="21">
        <v>7.3817333333333339</v>
      </c>
      <c r="O310" s="21">
        <v>5.965037037037038</v>
      </c>
      <c r="P310" s="21">
        <v>7.3817333333333339</v>
      </c>
      <c r="Q310" s="21" t="s">
        <v>547</v>
      </c>
      <c r="S310" t="s">
        <v>547</v>
      </c>
    </row>
    <row r="311" spans="1:19" x14ac:dyDescent="0.2">
      <c r="A311">
        <v>310</v>
      </c>
      <c r="B311" t="s">
        <v>144</v>
      </c>
      <c r="C311" t="s">
        <v>144</v>
      </c>
      <c r="D311" t="s">
        <v>26</v>
      </c>
      <c r="E311" t="s">
        <v>9</v>
      </c>
      <c r="F311" t="s">
        <v>11</v>
      </c>
      <c r="G311">
        <v>38</v>
      </c>
      <c r="H311">
        <v>40</v>
      </c>
      <c r="I311">
        <v>13.4</v>
      </c>
      <c r="J311">
        <v>11.5</v>
      </c>
      <c r="K311">
        <v>1.25</v>
      </c>
      <c r="L311">
        <v>0.71899999999999997</v>
      </c>
      <c r="M311">
        <v>0.10100000000000001</v>
      </c>
      <c r="N311" s="21">
        <v>7.3497777777777769</v>
      </c>
      <c r="O311" s="21">
        <v>5.709392592592593</v>
      </c>
      <c r="P311" s="21">
        <v>7.3497777777777769</v>
      </c>
      <c r="Q311" s="21" t="s">
        <v>547</v>
      </c>
      <c r="S311" t="s">
        <v>547</v>
      </c>
    </row>
    <row r="312" spans="1:19" x14ac:dyDescent="0.2">
      <c r="A312">
        <v>311</v>
      </c>
      <c r="B312" t="s">
        <v>144</v>
      </c>
      <c r="C312" t="s">
        <v>144</v>
      </c>
      <c r="D312" t="s">
        <v>26</v>
      </c>
      <c r="E312" t="s">
        <v>9</v>
      </c>
      <c r="F312" t="s">
        <v>12</v>
      </c>
      <c r="G312">
        <v>31</v>
      </c>
      <c r="H312">
        <v>31</v>
      </c>
      <c r="I312">
        <v>6.7</v>
      </c>
      <c r="J312">
        <v>6.2</v>
      </c>
      <c r="K312">
        <v>0.85</v>
      </c>
      <c r="L312">
        <v>0.52500000000000002</v>
      </c>
      <c r="M312">
        <v>0.09</v>
      </c>
      <c r="N312" s="21">
        <v>4.2549019607843137</v>
      </c>
      <c r="O312" s="21">
        <v>3.0653594771241837</v>
      </c>
      <c r="P312" s="21" t="s">
        <v>547</v>
      </c>
      <c r="Q312" s="21">
        <v>4.2549019607843137</v>
      </c>
      <c r="S312" t="s">
        <v>547</v>
      </c>
    </row>
    <row r="313" spans="1:19" x14ac:dyDescent="0.2">
      <c r="A313">
        <v>312</v>
      </c>
      <c r="B313" t="s">
        <v>144</v>
      </c>
      <c r="C313" t="s">
        <v>144</v>
      </c>
      <c r="D313" t="s">
        <v>26</v>
      </c>
      <c r="E313" t="s">
        <v>9</v>
      </c>
      <c r="F313" t="s">
        <v>14</v>
      </c>
      <c r="G313">
        <v>37</v>
      </c>
      <c r="H313">
        <v>37</v>
      </c>
      <c r="I313">
        <v>11.5</v>
      </c>
      <c r="J313">
        <v>9.25</v>
      </c>
      <c r="K313">
        <v>0.85</v>
      </c>
      <c r="L313">
        <v>0.52500000000000002</v>
      </c>
      <c r="M313">
        <v>0.09</v>
      </c>
      <c r="N313" s="21">
        <v>6.348039215686275</v>
      </c>
      <c r="O313" s="21">
        <v>5.261437908496732</v>
      </c>
      <c r="P313" s="21" t="s">
        <v>547</v>
      </c>
      <c r="Q313" s="21">
        <v>6.348039215686275</v>
      </c>
      <c r="S313" t="s">
        <v>547</v>
      </c>
    </row>
    <row r="314" spans="1:19" x14ac:dyDescent="0.2">
      <c r="A314">
        <v>313</v>
      </c>
      <c r="B314" t="s">
        <v>145</v>
      </c>
      <c r="C314" t="s">
        <v>145</v>
      </c>
      <c r="D314" t="s">
        <v>8</v>
      </c>
      <c r="E314" t="s">
        <v>9</v>
      </c>
      <c r="F314" t="s">
        <v>10</v>
      </c>
      <c r="G314">
        <v>34</v>
      </c>
      <c r="H314">
        <v>45</v>
      </c>
      <c r="I314">
        <v>19.940000000000001</v>
      </c>
      <c r="J314">
        <v>11.05</v>
      </c>
      <c r="K314">
        <v>1.48</v>
      </c>
      <c r="L314">
        <v>0.83399999999999996</v>
      </c>
      <c r="M314">
        <v>0.17599999999999999</v>
      </c>
      <c r="N314" s="21">
        <v>6.9186936936936947</v>
      </c>
      <c r="O314" s="21">
        <v>8.3233033033033053</v>
      </c>
      <c r="P314" s="21">
        <v>6.9186936936936947</v>
      </c>
      <c r="Q314" s="21" t="s">
        <v>547</v>
      </c>
      <c r="S314" t="s">
        <v>547</v>
      </c>
    </row>
    <row r="315" spans="1:19" x14ac:dyDescent="0.2">
      <c r="A315">
        <v>314</v>
      </c>
      <c r="B315" t="s">
        <v>145</v>
      </c>
      <c r="C315" t="s">
        <v>145</v>
      </c>
      <c r="D315" t="s">
        <v>8</v>
      </c>
      <c r="E315" t="s">
        <v>9</v>
      </c>
      <c r="F315" t="s">
        <v>11</v>
      </c>
      <c r="G315">
        <v>38</v>
      </c>
      <c r="H315">
        <v>41</v>
      </c>
      <c r="I315">
        <v>11.58</v>
      </c>
      <c r="J315">
        <v>8.01</v>
      </c>
      <c r="K315">
        <v>1.48</v>
      </c>
      <c r="L315">
        <v>0.83399999999999996</v>
      </c>
      <c r="M315">
        <v>0.17599999999999999</v>
      </c>
      <c r="N315" s="21">
        <v>5.0152702702702703</v>
      </c>
      <c r="O315" s="21">
        <v>4.8336936936936947</v>
      </c>
      <c r="P315" s="21">
        <v>5.0152702702702703</v>
      </c>
      <c r="Q315" s="21" t="s">
        <v>547</v>
      </c>
      <c r="S315" t="s">
        <v>547</v>
      </c>
    </row>
    <row r="316" spans="1:19" x14ac:dyDescent="0.2">
      <c r="A316">
        <v>315</v>
      </c>
      <c r="B316" t="s">
        <v>145</v>
      </c>
      <c r="C316" t="s">
        <v>145</v>
      </c>
      <c r="D316" t="s">
        <v>8</v>
      </c>
      <c r="E316" t="s">
        <v>9</v>
      </c>
      <c r="F316" t="s">
        <v>12</v>
      </c>
      <c r="G316">
        <v>40</v>
      </c>
      <c r="H316">
        <v>36</v>
      </c>
      <c r="I316">
        <v>8.75</v>
      </c>
      <c r="J316">
        <v>7.14</v>
      </c>
      <c r="K316">
        <v>0.89</v>
      </c>
      <c r="L316">
        <v>0.49099999999999999</v>
      </c>
      <c r="M316">
        <v>0.105</v>
      </c>
      <c r="N316" s="21">
        <v>4.3767041198501868</v>
      </c>
      <c r="O316" s="21">
        <v>3.575738660008323</v>
      </c>
      <c r="P316" s="21" t="s">
        <v>547</v>
      </c>
      <c r="Q316" s="21">
        <v>4.3767041198501868</v>
      </c>
      <c r="S316" t="s">
        <v>547</v>
      </c>
    </row>
    <row r="317" spans="1:19" x14ac:dyDescent="0.2">
      <c r="A317">
        <v>316</v>
      </c>
      <c r="B317" t="s">
        <v>145</v>
      </c>
      <c r="C317" t="s">
        <v>145</v>
      </c>
      <c r="D317" t="s">
        <v>8</v>
      </c>
      <c r="E317" t="s">
        <v>9</v>
      </c>
      <c r="F317" t="s">
        <v>14</v>
      </c>
      <c r="G317">
        <v>41</v>
      </c>
      <c r="H317">
        <v>36</v>
      </c>
      <c r="I317">
        <v>8.7799999999999994</v>
      </c>
      <c r="J317">
        <v>7.15</v>
      </c>
      <c r="K317">
        <v>0.89</v>
      </c>
      <c r="L317">
        <v>0.49099999999999999</v>
      </c>
      <c r="M317">
        <v>0.105</v>
      </c>
      <c r="N317" s="21">
        <v>4.3828339575530588</v>
      </c>
      <c r="O317" s="21">
        <v>3.5879983354140661</v>
      </c>
      <c r="P317" s="21" t="s">
        <v>547</v>
      </c>
      <c r="Q317" s="21">
        <v>4.3828339575530588</v>
      </c>
      <c r="S317" t="s">
        <v>547</v>
      </c>
    </row>
    <row r="318" spans="1:19" x14ac:dyDescent="0.2">
      <c r="A318">
        <v>317</v>
      </c>
      <c r="B318" t="s">
        <v>146</v>
      </c>
      <c r="C318" t="s">
        <v>146</v>
      </c>
      <c r="D318" t="s">
        <v>8</v>
      </c>
      <c r="E318" t="s">
        <v>9</v>
      </c>
      <c r="F318" t="s">
        <v>10</v>
      </c>
      <c r="G318">
        <v>31</v>
      </c>
      <c r="H318">
        <v>35</v>
      </c>
      <c r="I318">
        <v>9.11</v>
      </c>
      <c r="J318">
        <v>7.54</v>
      </c>
      <c r="K318">
        <v>1.19</v>
      </c>
      <c r="L318">
        <v>0.75900000000000001</v>
      </c>
      <c r="M318">
        <v>0.14099999999999999</v>
      </c>
      <c r="N318" s="21">
        <v>5.3434733893557427</v>
      </c>
      <c r="O318" s="21">
        <v>4.3040709617180211</v>
      </c>
      <c r="P318" s="21">
        <v>5.3434733893557427</v>
      </c>
      <c r="Q318" s="21" t="s">
        <v>547</v>
      </c>
      <c r="S318" t="s">
        <v>547</v>
      </c>
    </row>
    <row r="319" spans="1:19" x14ac:dyDescent="0.2">
      <c r="A319">
        <v>318</v>
      </c>
      <c r="B319" t="s">
        <v>146</v>
      </c>
      <c r="C319" t="s">
        <v>146</v>
      </c>
      <c r="D319" t="s">
        <v>8</v>
      </c>
      <c r="E319" t="s">
        <v>9</v>
      </c>
      <c r="F319" t="s">
        <v>11</v>
      </c>
      <c r="G319">
        <v>28</v>
      </c>
      <c r="H319">
        <v>32</v>
      </c>
      <c r="I319">
        <v>8.99</v>
      </c>
      <c r="J319">
        <v>7.3</v>
      </c>
      <c r="K319">
        <v>1.19</v>
      </c>
      <c r="L319">
        <v>0.75900000000000001</v>
      </c>
      <c r="M319">
        <v>0.14099999999999999</v>
      </c>
      <c r="N319" s="21">
        <v>5.1733893557422981</v>
      </c>
      <c r="O319" s="21">
        <v>4.2473762838468732</v>
      </c>
      <c r="P319" s="21">
        <v>5.1733893557422981</v>
      </c>
      <c r="Q319" s="21" t="s">
        <v>547</v>
      </c>
      <c r="S319" t="s">
        <v>547</v>
      </c>
    </row>
    <row r="320" spans="1:19" x14ac:dyDescent="0.2">
      <c r="A320">
        <v>319</v>
      </c>
      <c r="B320" t="s">
        <v>146</v>
      </c>
      <c r="C320" t="s">
        <v>146</v>
      </c>
      <c r="D320" t="s">
        <v>8</v>
      </c>
      <c r="E320" t="s">
        <v>9</v>
      </c>
      <c r="F320" t="s">
        <v>12</v>
      </c>
      <c r="G320">
        <v>30</v>
      </c>
      <c r="H320">
        <v>31</v>
      </c>
      <c r="I320">
        <v>5.71</v>
      </c>
      <c r="J320">
        <v>6.74</v>
      </c>
      <c r="K320">
        <v>0.84</v>
      </c>
      <c r="L320">
        <v>0.55300000000000005</v>
      </c>
      <c r="M320">
        <v>4.9000000000000002E-2</v>
      </c>
      <c r="N320" s="21">
        <v>4.9301851851851861</v>
      </c>
      <c r="O320" s="21">
        <v>2.7845061728395066</v>
      </c>
      <c r="P320" s="21" t="s">
        <v>547</v>
      </c>
      <c r="Q320" s="21">
        <v>4.9301851851851861</v>
      </c>
      <c r="S320" t="s">
        <v>547</v>
      </c>
    </row>
    <row r="321" spans="1:19" x14ac:dyDescent="0.2">
      <c r="A321">
        <v>320</v>
      </c>
      <c r="B321" t="s">
        <v>146</v>
      </c>
      <c r="C321" t="s">
        <v>146</v>
      </c>
      <c r="D321" t="s">
        <v>8</v>
      </c>
      <c r="E321" t="s">
        <v>9</v>
      </c>
      <c r="F321" t="s">
        <v>14</v>
      </c>
      <c r="G321">
        <v>32</v>
      </c>
      <c r="H321">
        <v>32</v>
      </c>
      <c r="I321">
        <v>5.8</v>
      </c>
      <c r="J321">
        <v>6.77</v>
      </c>
      <c r="K321">
        <v>0.84</v>
      </c>
      <c r="L321">
        <v>0.55300000000000005</v>
      </c>
      <c r="M321">
        <v>4.9000000000000002E-2</v>
      </c>
      <c r="N321" s="21">
        <v>4.9521296296296304</v>
      </c>
      <c r="O321" s="21">
        <v>2.8283950617283953</v>
      </c>
      <c r="P321" s="21" t="s">
        <v>547</v>
      </c>
      <c r="Q321" s="21">
        <v>4.9521296296296304</v>
      </c>
      <c r="S321" t="s">
        <v>547</v>
      </c>
    </row>
    <row r="322" spans="1:19" x14ac:dyDescent="0.2">
      <c r="A322">
        <v>321</v>
      </c>
      <c r="B322" t="s">
        <v>147</v>
      </c>
      <c r="C322" t="s">
        <v>147</v>
      </c>
      <c r="D322" t="s">
        <v>8</v>
      </c>
      <c r="E322" t="s">
        <v>9</v>
      </c>
      <c r="F322" t="s">
        <v>10</v>
      </c>
      <c r="G322">
        <v>31</v>
      </c>
      <c r="H322">
        <v>39</v>
      </c>
      <c r="I322">
        <v>8.3699999999999992</v>
      </c>
      <c r="J322">
        <v>10.51</v>
      </c>
      <c r="K322">
        <v>1.1100000000000001</v>
      </c>
      <c r="L322">
        <v>0.75600000000000001</v>
      </c>
      <c r="M322">
        <v>0.13700000000000001</v>
      </c>
      <c r="N322" s="21">
        <v>7.9535135135135127</v>
      </c>
      <c r="O322" s="21">
        <v>4.2227027027027022</v>
      </c>
      <c r="P322" s="21">
        <v>7.9535135135135127</v>
      </c>
      <c r="Q322" s="21" t="s">
        <v>547</v>
      </c>
      <c r="S322" t="s">
        <v>547</v>
      </c>
    </row>
    <row r="323" spans="1:19" x14ac:dyDescent="0.2">
      <c r="A323">
        <v>322</v>
      </c>
      <c r="B323" t="s">
        <v>147</v>
      </c>
      <c r="C323" t="s">
        <v>147</v>
      </c>
      <c r="D323" t="s">
        <v>8</v>
      </c>
      <c r="E323" t="s">
        <v>9</v>
      </c>
      <c r="F323" t="s">
        <v>11</v>
      </c>
      <c r="G323">
        <v>35</v>
      </c>
      <c r="H323">
        <v>38</v>
      </c>
      <c r="I323">
        <v>8.09</v>
      </c>
      <c r="J323">
        <v>7.47</v>
      </c>
      <c r="K323">
        <v>1.1100000000000001</v>
      </c>
      <c r="L323">
        <v>0.75600000000000001</v>
      </c>
      <c r="M323">
        <v>0.13700000000000001</v>
      </c>
      <c r="N323" s="21">
        <v>5.6529729729729725</v>
      </c>
      <c r="O323" s="21">
        <v>4.0814414414414415</v>
      </c>
      <c r="P323" s="21">
        <v>5.6529729729729725</v>
      </c>
      <c r="Q323" s="21" t="s">
        <v>547</v>
      </c>
      <c r="S323" t="s">
        <v>547</v>
      </c>
    </row>
    <row r="324" spans="1:19" x14ac:dyDescent="0.2">
      <c r="A324">
        <v>323</v>
      </c>
      <c r="B324" t="s">
        <v>147</v>
      </c>
      <c r="C324" t="s">
        <v>147</v>
      </c>
      <c r="D324" t="s">
        <v>8</v>
      </c>
      <c r="E324" t="s">
        <v>9</v>
      </c>
      <c r="F324" t="s">
        <v>12</v>
      </c>
      <c r="G324">
        <v>29</v>
      </c>
      <c r="H324">
        <v>21</v>
      </c>
      <c r="I324">
        <v>8.3000000000000007</v>
      </c>
      <c r="J324">
        <v>4.49</v>
      </c>
      <c r="K324">
        <v>0.94</v>
      </c>
      <c r="L324">
        <v>0.373</v>
      </c>
      <c r="M324">
        <v>0.123</v>
      </c>
      <c r="N324" s="21">
        <v>1.9796335697399532</v>
      </c>
      <c r="O324" s="21">
        <v>2.4396375098502761</v>
      </c>
      <c r="P324" s="21" t="s">
        <v>547</v>
      </c>
      <c r="Q324" s="21">
        <v>1.9796335697399532</v>
      </c>
      <c r="S324" t="s">
        <v>547</v>
      </c>
    </row>
    <row r="325" spans="1:19" x14ac:dyDescent="0.2">
      <c r="A325">
        <v>324</v>
      </c>
      <c r="B325" t="s">
        <v>147</v>
      </c>
      <c r="C325" t="s">
        <v>147</v>
      </c>
      <c r="D325" t="s">
        <v>8</v>
      </c>
      <c r="E325" t="s">
        <v>9</v>
      </c>
      <c r="F325" t="s">
        <v>14</v>
      </c>
      <c r="G325">
        <v>28</v>
      </c>
      <c r="H325">
        <v>25</v>
      </c>
      <c r="I325">
        <v>8.5399999999999991</v>
      </c>
      <c r="J325">
        <v>5.2</v>
      </c>
      <c r="K325">
        <v>0.94</v>
      </c>
      <c r="L325">
        <v>0.373</v>
      </c>
      <c r="M325">
        <v>0.123</v>
      </c>
      <c r="N325" s="21">
        <v>2.2926713947990547</v>
      </c>
      <c r="O325" s="21">
        <v>2.510181245074862</v>
      </c>
      <c r="P325" s="21" t="s">
        <v>547</v>
      </c>
      <c r="Q325" s="21">
        <v>2.2926713947990547</v>
      </c>
      <c r="S325" t="s">
        <v>547</v>
      </c>
    </row>
    <row r="326" spans="1:19" x14ac:dyDescent="0.2">
      <c r="A326">
        <v>325</v>
      </c>
      <c r="B326" t="s">
        <v>148</v>
      </c>
      <c r="C326" t="s">
        <v>148</v>
      </c>
      <c r="D326" t="s">
        <v>8</v>
      </c>
      <c r="E326" t="s">
        <v>9</v>
      </c>
      <c r="F326" t="s">
        <v>10</v>
      </c>
      <c r="G326">
        <v>41</v>
      </c>
      <c r="H326">
        <v>43</v>
      </c>
      <c r="I326">
        <v>20.09</v>
      </c>
      <c r="J326">
        <v>11.3</v>
      </c>
      <c r="K326">
        <v>1.37</v>
      </c>
      <c r="L326">
        <v>0.747</v>
      </c>
      <c r="M326">
        <v>0.13800000000000001</v>
      </c>
      <c r="N326" s="21">
        <v>6.8459854014598545</v>
      </c>
      <c r="O326" s="21">
        <v>8.1142092457420922</v>
      </c>
      <c r="P326" s="21">
        <v>6.8459854014598545</v>
      </c>
      <c r="Q326" s="21" t="s">
        <v>547</v>
      </c>
      <c r="S326" t="s">
        <v>547</v>
      </c>
    </row>
    <row r="327" spans="1:19" x14ac:dyDescent="0.2">
      <c r="A327">
        <v>326</v>
      </c>
      <c r="B327" t="s">
        <v>148</v>
      </c>
      <c r="C327" t="s">
        <v>148</v>
      </c>
      <c r="D327" t="s">
        <v>8</v>
      </c>
      <c r="E327" t="s">
        <v>9</v>
      </c>
      <c r="F327" t="s">
        <v>11</v>
      </c>
      <c r="G327">
        <v>43</v>
      </c>
      <c r="H327">
        <v>42</v>
      </c>
      <c r="I327">
        <v>19.89</v>
      </c>
      <c r="J327">
        <v>11.76</v>
      </c>
      <c r="K327">
        <v>1.37</v>
      </c>
      <c r="L327">
        <v>0.747</v>
      </c>
      <c r="M327">
        <v>0.13800000000000001</v>
      </c>
      <c r="N327" s="21">
        <v>7.1246715328467145</v>
      </c>
      <c r="O327" s="21">
        <v>8.0334306569343052</v>
      </c>
      <c r="P327" s="21">
        <v>7.1246715328467145</v>
      </c>
      <c r="Q327" s="21" t="s">
        <v>547</v>
      </c>
      <c r="S327" t="s">
        <v>547</v>
      </c>
    </row>
    <row r="328" spans="1:19" x14ac:dyDescent="0.2">
      <c r="A328">
        <v>327</v>
      </c>
      <c r="B328" t="s">
        <v>148</v>
      </c>
      <c r="C328" t="s">
        <v>148</v>
      </c>
      <c r="D328" t="s">
        <v>8</v>
      </c>
      <c r="E328" t="s">
        <v>9</v>
      </c>
      <c r="F328" t="s">
        <v>12</v>
      </c>
      <c r="G328">
        <v>39</v>
      </c>
      <c r="H328">
        <v>40</v>
      </c>
      <c r="I328">
        <v>19.75</v>
      </c>
      <c r="J328">
        <v>10.37</v>
      </c>
      <c r="K328">
        <v>0.93</v>
      </c>
      <c r="L328">
        <v>0.48099999999999998</v>
      </c>
      <c r="M328">
        <v>0.10299999999999999</v>
      </c>
      <c r="N328" s="21">
        <v>5.959342891278375</v>
      </c>
      <c r="O328" s="21">
        <v>7.566507367582636</v>
      </c>
      <c r="P328" s="21" t="s">
        <v>547</v>
      </c>
      <c r="Q328" s="21">
        <v>5.959342891278375</v>
      </c>
      <c r="S328" t="s">
        <v>547</v>
      </c>
    </row>
    <row r="329" spans="1:19" x14ac:dyDescent="0.2">
      <c r="A329">
        <v>328</v>
      </c>
      <c r="B329" t="s">
        <v>148</v>
      </c>
      <c r="C329" t="s">
        <v>148</v>
      </c>
      <c r="D329" t="s">
        <v>8</v>
      </c>
      <c r="E329" t="s">
        <v>9</v>
      </c>
      <c r="F329" t="s">
        <v>14</v>
      </c>
      <c r="G329">
        <v>39</v>
      </c>
      <c r="H329">
        <v>35</v>
      </c>
      <c r="I329">
        <v>14.4</v>
      </c>
      <c r="J329">
        <v>8.85</v>
      </c>
      <c r="K329">
        <v>0.93</v>
      </c>
      <c r="L329">
        <v>0.48099999999999998</v>
      </c>
      <c r="M329">
        <v>0.10299999999999999</v>
      </c>
      <c r="N329" s="21">
        <v>5.0858422939068104</v>
      </c>
      <c r="O329" s="21">
        <v>5.5168458781362002</v>
      </c>
      <c r="P329" s="21" t="s">
        <v>547</v>
      </c>
      <c r="Q329" s="21">
        <v>5.0858422939068104</v>
      </c>
      <c r="S329" t="s">
        <v>547</v>
      </c>
    </row>
    <row r="330" spans="1:19" x14ac:dyDescent="0.2">
      <c r="A330">
        <v>329</v>
      </c>
      <c r="B330" t="s">
        <v>149</v>
      </c>
      <c r="C330" t="s">
        <v>149</v>
      </c>
      <c r="D330" t="s">
        <v>8</v>
      </c>
      <c r="E330" t="s">
        <v>9</v>
      </c>
      <c r="F330" t="s">
        <v>10</v>
      </c>
      <c r="G330">
        <v>48.5</v>
      </c>
      <c r="H330">
        <v>48</v>
      </c>
      <c r="I330">
        <v>10.65</v>
      </c>
      <c r="J330">
        <v>11.4</v>
      </c>
      <c r="K330">
        <v>1.25</v>
      </c>
      <c r="N330" s="21">
        <v>7.2268326417704021</v>
      </c>
      <c r="O330" s="21">
        <v>4.5009220839096367</v>
      </c>
      <c r="P330" s="21">
        <v>7.2268326417704021</v>
      </c>
      <c r="Q330" s="21" t="s">
        <v>547</v>
      </c>
      <c r="S330" t="s">
        <v>547</v>
      </c>
    </row>
    <row r="331" spans="1:19" x14ac:dyDescent="0.2">
      <c r="A331">
        <v>330</v>
      </c>
      <c r="B331" t="s">
        <v>149</v>
      </c>
      <c r="C331" t="s">
        <v>149</v>
      </c>
      <c r="D331" t="s">
        <v>8</v>
      </c>
      <c r="E331" t="s">
        <v>9</v>
      </c>
      <c r="F331" t="s">
        <v>11</v>
      </c>
      <c r="G331">
        <v>33</v>
      </c>
      <c r="H331">
        <v>37</v>
      </c>
      <c r="I331">
        <v>10.3</v>
      </c>
      <c r="J331">
        <v>8.65</v>
      </c>
      <c r="K331">
        <v>1.25</v>
      </c>
      <c r="N331" s="21">
        <v>5.4835177501152614</v>
      </c>
      <c r="O331" s="21">
        <v>4.3530044567388977</v>
      </c>
      <c r="P331" s="21">
        <v>5.4835177501152614</v>
      </c>
      <c r="Q331" s="21" t="s">
        <v>547</v>
      </c>
      <c r="S331" t="s">
        <v>547</v>
      </c>
    </row>
    <row r="332" spans="1:19" x14ac:dyDescent="0.2">
      <c r="A332">
        <v>331</v>
      </c>
      <c r="B332" t="s">
        <v>149</v>
      </c>
      <c r="C332" t="s">
        <v>149</v>
      </c>
      <c r="D332" t="s">
        <v>8</v>
      </c>
      <c r="E332" t="s">
        <v>9</v>
      </c>
      <c r="F332" t="s">
        <v>12</v>
      </c>
      <c r="G332">
        <v>27</v>
      </c>
      <c r="H332">
        <v>28</v>
      </c>
      <c r="I332">
        <v>5.3</v>
      </c>
      <c r="J332">
        <v>7.9</v>
      </c>
      <c r="K332">
        <v>1.1499999999999999</v>
      </c>
      <c r="N332" s="21">
        <v>5.0080682342093139</v>
      </c>
      <c r="O332" s="21">
        <v>2.2398954971569078</v>
      </c>
      <c r="P332" s="21" t="s">
        <v>547</v>
      </c>
      <c r="Q332" s="21">
        <v>5.0080682342093139</v>
      </c>
      <c r="S332" t="s">
        <v>547</v>
      </c>
    </row>
    <row r="333" spans="1:19" x14ac:dyDescent="0.2">
      <c r="A333">
        <v>332</v>
      </c>
      <c r="B333" t="s">
        <v>149</v>
      </c>
      <c r="C333" t="s">
        <v>149</v>
      </c>
      <c r="D333" t="s">
        <v>8</v>
      </c>
      <c r="E333" t="s">
        <v>9</v>
      </c>
      <c r="F333" t="s">
        <v>14</v>
      </c>
      <c r="G333">
        <v>24</v>
      </c>
      <c r="H333">
        <v>24</v>
      </c>
      <c r="I333">
        <v>7</v>
      </c>
      <c r="J333">
        <v>6.65</v>
      </c>
      <c r="K333">
        <v>1.1499999999999999</v>
      </c>
      <c r="N333" s="21">
        <v>4.2156523743660683</v>
      </c>
      <c r="O333" s="21">
        <v>2.9583525434147844</v>
      </c>
      <c r="P333" s="21" t="s">
        <v>547</v>
      </c>
      <c r="Q333" s="21">
        <v>4.2156523743660683</v>
      </c>
      <c r="S333" t="s">
        <v>547</v>
      </c>
    </row>
    <row r="334" spans="1:19" x14ac:dyDescent="0.2">
      <c r="A334">
        <v>333</v>
      </c>
      <c r="B334" t="s">
        <v>150</v>
      </c>
      <c r="C334" t="s">
        <v>2157</v>
      </c>
      <c r="D334" t="s">
        <v>8</v>
      </c>
      <c r="E334" t="s">
        <v>9</v>
      </c>
      <c r="F334" t="s">
        <v>10</v>
      </c>
      <c r="G334">
        <v>31</v>
      </c>
      <c r="H334">
        <v>32</v>
      </c>
      <c r="I334">
        <v>9.75</v>
      </c>
      <c r="J334">
        <v>6.65</v>
      </c>
      <c r="K334">
        <v>1.1499999999999999</v>
      </c>
      <c r="L334">
        <v>0.56299999999999994</v>
      </c>
      <c r="M334">
        <v>7.9000000000000001E-2</v>
      </c>
      <c r="N334" s="21">
        <v>3.6173429951690821</v>
      </c>
      <c r="O334" s="21">
        <v>3.5357487922705317</v>
      </c>
      <c r="P334" s="21">
        <v>3.6173429951690821</v>
      </c>
      <c r="Q334" s="21" t="s">
        <v>547</v>
      </c>
      <c r="S334" t="s">
        <v>547</v>
      </c>
    </row>
    <row r="335" spans="1:19" x14ac:dyDescent="0.2">
      <c r="A335">
        <v>334</v>
      </c>
      <c r="B335" t="s">
        <v>150</v>
      </c>
      <c r="C335" t="s">
        <v>2157</v>
      </c>
      <c r="D335" t="s">
        <v>8</v>
      </c>
      <c r="E335" t="s">
        <v>9</v>
      </c>
      <c r="F335" t="s">
        <v>11</v>
      </c>
      <c r="G335">
        <v>33</v>
      </c>
      <c r="H335">
        <v>30</v>
      </c>
      <c r="I335">
        <v>8.9499999999999993</v>
      </c>
      <c r="J335">
        <v>7.32</v>
      </c>
      <c r="K335">
        <v>1.1499999999999999</v>
      </c>
      <c r="N335" s="21">
        <v>3.9817971014492755</v>
      </c>
      <c r="O335" s="21">
        <v>3.245636070853462</v>
      </c>
      <c r="P335" s="21">
        <v>3.9817971014492755</v>
      </c>
      <c r="Q335" s="21" t="s">
        <v>547</v>
      </c>
      <c r="S335" t="s">
        <v>547</v>
      </c>
    </row>
    <row r="336" spans="1:19" x14ac:dyDescent="0.2">
      <c r="A336">
        <v>335</v>
      </c>
      <c r="B336" t="s">
        <v>150</v>
      </c>
      <c r="C336" t="s">
        <v>2157</v>
      </c>
      <c r="D336" t="s">
        <v>8</v>
      </c>
      <c r="E336" t="s">
        <v>9</v>
      </c>
      <c r="F336" t="s">
        <v>12</v>
      </c>
      <c r="G336">
        <v>25</v>
      </c>
      <c r="H336">
        <v>22</v>
      </c>
      <c r="I336">
        <v>4.01</v>
      </c>
      <c r="J336">
        <v>3.75</v>
      </c>
      <c r="K336">
        <v>0.8</v>
      </c>
      <c r="N336" s="21">
        <v>2.0398550724637681</v>
      </c>
      <c r="O336" s="21">
        <v>1.4541900161030596</v>
      </c>
      <c r="P336" s="21" t="s">
        <v>547</v>
      </c>
      <c r="Q336" s="21">
        <v>2.0398550724637681</v>
      </c>
      <c r="S336" t="s">
        <v>547</v>
      </c>
    </row>
    <row r="337" spans="1:19" x14ac:dyDescent="0.2">
      <c r="A337">
        <v>336</v>
      </c>
      <c r="B337" t="s">
        <v>150</v>
      </c>
      <c r="C337" t="s">
        <v>2157</v>
      </c>
      <c r="D337" t="s">
        <v>8</v>
      </c>
      <c r="E337" t="s">
        <v>9</v>
      </c>
      <c r="F337" t="s">
        <v>14</v>
      </c>
      <c r="K337">
        <v>0.8</v>
      </c>
      <c r="N337" s="21"/>
      <c r="O337" s="21"/>
      <c r="P337" s="21" t="s">
        <v>547</v>
      </c>
      <c r="Q337" s="21">
        <v>0</v>
      </c>
      <c r="S337" t="s">
        <v>547</v>
      </c>
    </row>
    <row r="338" spans="1:19" x14ac:dyDescent="0.2">
      <c r="A338">
        <v>337</v>
      </c>
      <c r="B338" t="s">
        <v>151</v>
      </c>
      <c r="C338" s="14" t="s">
        <v>151</v>
      </c>
      <c r="D338" t="s">
        <v>8</v>
      </c>
      <c r="E338" t="s">
        <v>9</v>
      </c>
      <c r="F338" t="s">
        <v>10</v>
      </c>
      <c r="G338">
        <v>36</v>
      </c>
      <c r="H338">
        <v>38</v>
      </c>
      <c r="I338">
        <v>11.75</v>
      </c>
      <c r="J338">
        <v>10.75</v>
      </c>
      <c r="K338">
        <v>1.95</v>
      </c>
      <c r="N338" s="21">
        <v>6.8147763946519149</v>
      </c>
      <c r="O338" s="21">
        <v>4.9658060550176737</v>
      </c>
      <c r="P338" s="21">
        <v>6.8147763946519149</v>
      </c>
      <c r="Q338" s="21" t="s">
        <v>547</v>
      </c>
      <c r="S338" t="s">
        <v>547</v>
      </c>
    </row>
    <row r="339" spans="1:19" x14ac:dyDescent="0.2">
      <c r="A339">
        <v>338</v>
      </c>
      <c r="B339" t="s">
        <v>151</v>
      </c>
      <c r="C339" s="14" t="s">
        <v>151</v>
      </c>
      <c r="D339" t="s">
        <v>8</v>
      </c>
      <c r="E339" t="s">
        <v>9</v>
      </c>
      <c r="F339" t="s">
        <v>11</v>
      </c>
      <c r="G339">
        <v>27</v>
      </c>
      <c r="H339">
        <v>34</v>
      </c>
      <c r="I339">
        <v>8</v>
      </c>
      <c r="J339">
        <v>7.2</v>
      </c>
      <c r="K339">
        <v>1.95</v>
      </c>
      <c r="N339" s="21">
        <v>4.5643153526970961</v>
      </c>
      <c r="O339" s="21">
        <v>3.3809743353311821</v>
      </c>
      <c r="P339" s="21">
        <v>4.5643153526970961</v>
      </c>
      <c r="Q339" s="21" t="s">
        <v>547</v>
      </c>
      <c r="S339" t="s">
        <v>547</v>
      </c>
    </row>
    <row r="340" spans="1:19" x14ac:dyDescent="0.2">
      <c r="A340">
        <v>339</v>
      </c>
      <c r="B340" t="s">
        <v>151</v>
      </c>
      <c r="C340" s="14" t="s">
        <v>151</v>
      </c>
      <c r="D340" t="s">
        <v>8</v>
      </c>
      <c r="E340" t="s">
        <v>9</v>
      </c>
      <c r="F340" t="s">
        <v>12</v>
      </c>
      <c r="G340">
        <v>51</v>
      </c>
      <c r="H340">
        <v>47</v>
      </c>
      <c r="I340">
        <v>7.8</v>
      </c>
      <c r="K340">
        <v>0.7</v>
      </c>
      <c r="N340" s="21"/>
      <c r="O340" s="21">
        <v>3.2964499769479025</v>
      </c>
      <c r="P340" s="21" t="s">
        <v>547</v>
      </c>
      <c r="Q340" s="21">
        <v>0</v>
      </c>
      <c r="R340" t="s">
        <v>54</v>
      </c>
      <c r="S340" t="s">
        <v>547</v>
      </c>
    </row>
    <row r="341" spans="1:19" x14ac:dyDescent="0.2">
      <c r="A341">
        <v>340</v>
      </c>
      <c r="B341" t="s">
        <v>151</v>
      </c>
      <c r="C341" s="14" t="s">
        <v>151</v>
      </c>
      <c r="D341" t="s">
        <v>8</v>
      </c>
      <c r="E341" t="s">
        <v>9</v>
      </c>
      <c r="F341" t="s">
        <v>14</v>
      </c>
      <c r="G341">
        <v>50</v>
      </c>
      <c r="H341">
        <v>45</v>
      </c>
      <c r="I341">
        <v>6.89</v>
      </c>
      <c r="K341">
        <v>0.7</v>
      </c>
      <c r="N341" s="21"/>
      <c r="O341" s="21">
        <v>2.9118641463039805</v>
      </c>
      <c r="P341" s="21" t="s">
        <v>547</v>
      </c>
      <c r="Q341" s="21">
        <v>0</v>
      </c>
      <c r="S341" t="s">
        <v>547</v>
      </c>
    </row>
    <row r="342" spans="1:19" x14ac:dyDescent="0.2">
      <c r="A342">
        <v>341</v>
      </c>
      <c r="B342" t="s">
        <v>152</v>
      </c>
      <c r="C342" t="s">
        <v>152</v>
      </c>
      <c r="D342" t="s">
        <v>8</v>
      </c>
      <c r="E342" t="s">
        <v>9</v>
      </c>
      <c r="F342" t="s">
        <v>10</v>
      </c>
      <c r="G342">
        <v>38</v>
      </c>
      <c r="H342">
        <v>31</v>
      </c>
      <c r="I342">
        <v>7.88</v>
      </c>
      <c r="J342">
        <v>5.57</v>
      </c>
      <c r="K342">
        <v>1.1299999999999999</v>
      </c>
      <c r="L342">
        <v>0.754</v>
      </c>
      <c r="M342">
        <v>0.14899999999999999</v>
      </c>
      <c r="N342" s="21">
        <v>4.1295771878072776</v>
      </c>
      <c r="O342" s="21">
        <v>3.8948017043592271</v>
      </c>
      <c r="P342" s="21">
        <v>4.1295771878072776</v>
      </c>
      <c r="Q342" s="21" t="s">
        <v>547</v>
      </c>
      <c r="S342" t="s">
        <v>547</v>
      </c>
    </row>
    <row r="343" spans="1:19" x14ac:dyDescent="0.2">
      <c r="A343">
        <v>342</v>
      </c>
      <c r="B343" t="s">
        <v>152</v>
      </c>
      <c r="C343" t="s">
        <v>152</v>
      </c>
      <c r="D343" t="s">
        <v>8</v>
      </c>
      <c r="E343" t="s">
        <v>9</v>
      </c>
      <c r="F343" t="s">
        <v>11</v>
      </c>
      <c r="G343">
        <v>34</v>
      </c>
      <c r="H343">
        <v>40</v>
      </c>
      <c r="I343">
        <v>8.8000000000000007</v>
      </c>
      <c r="J343">
        <v>8.68</v>
      </c>
      <c r="K343">
        <v>1.1299999999999999</v>
      </c>
      <c r="L343">
        <v>0.754</v>
      </c>
      <c r="M343">
        <v>0.14899999999999999</v>
      </c>
      <c r="N343" s="21">
        <v>6.4353195673549655</v>
      </c>
      <c r="O343" s="21">
        <v>4.3495247459849242</v>
      </c>
      <c r="P343" s="21">
        <v>6.4353195673549655</v>
      </c>
      <c r="Q343" s="21" t="s">
        <v>547</v>
      </c>
      <c r="S343" t="s">
        <v>547</v>
      </c>
    </row>
    <row r="344" spans="1:19" x14ac:dyDescent="0.2">
      <c r="A344">
        <v>343</v>
      </c>
      <c r="B344" t="s">
        <v>152</v>
      </c>
      <c r="C344" t="s">
        <v>152</v>
      </c>
      <c r="D344" t="s">
        <v>8</v>
      </c>
      <c r="E344" t="s">
        <v>9</v>
      </c>
      <c r="F344" t="s">
        <v>12</v>
      </c>
      <c r="G344">
        <v>22</v>
      </c>
      <c r="H344">
        <v>23</v>
      </c>
      <c r="I344">
        <v>3.62</v>
      </c>
      <c r="J344">
        <v>2.62</v>
      </c>
      <c r="K344">
        <v>0.62</v>
      </c>
      <c r="L344">
        <v>0.439</v>
      </c>
      <c r="M344">
        <v>8.4000000000000005E-2</v>
      </c>
      <c r="N344" s="21">
        <v>2.0612544802867387</v>
      </c>
      <c r="O344" s="21">
        <v>1.8986618876941461</v>
      </c>
      <c r="P344" s="21" t="s">
        <v>547</v>
      </c>
      <c r="Q344" s="21">
        <v>2.0612544802867387</v>
      </c>
      <c r="S344" t="s">
        <v>547</v>
      </c>
    </row>
    <row r="345" spans="1:19" x14ac:dyDescent="0.2">
      <c r="A345">
        <v>344</v>
      </c>
      <c r="B345" t="s">
        <v>152</v>
      </c>
      <c r="C345" t="s">
        <v>152</v>
      </c>
      <c r="D345" t="s">
        <v>8</v>
      </c>
      <c r="E345" t="s">
        <v>9</v>
      </c>
      <c r="F345" t="s">
        <v>14</v>
      </c>
      <c r="G345">
        <v>21</v>
      </c>
      <c r="H345">
        <v>19</v>
      </c>
      <c r="I345">
        <v>3.22</v>
      </c>
      <c r="J345">
        <v>2.0699999999999998</v>
      </c>
      <c r="K345">
        <v>0.62</v>
      </c>
      <c r="L345">
        <v>0.439</v>
      </c>
      <c r="M345">
        <v>8.4000000000000005E-2</v>
      </c>
      <c r="N345" s="21">
        <v>1.6285483870967743</v>
      </c>
      <c r="O345" s="21">
        <v>1.6888649940262845</v>
      </c>
      <c r="P345" s="21" t="s">
        <v>547</v>
      </c>
      <c r="Q345" s="21">
        <v>1.6285483870967743</v>
      </c>
      <c r="S345" t="s">
        <v>547</v>
      </c>
    </row>
    <row r="346" spans="1:19" x14ac:dyDescent="0.2">
      <c r="A346">
        <v>345</v>
      </c>
      <c r="B346" t="s">
        <v>153</v>
      </c>
      <c r="C346" t="s">
        <v>349</v>
      </c>
      <c r="D346" t="s">
        <v>8</v>
      </c>
      <c r="E346" t="s">
        <v>9</v>
      </c>
      <c r="F346" t="s">
        <v>10</v>
      </c>
      <c r="G346">
        <v>34</v>
      </c>
      <c r="H346">
        <v>33</v>
      </c>
      <c r="I346">
        <v>9.3000000000000007</v>
      </c>
      <c r="J346">
        <v>8.57</v>
      </c>
      <c r="K346">
        <v>1.18</v>
      </c>
      <c r="L346">
        <v>0.66200000000000003</v>
      </c>
      <c r="M346">
        <v>8.5999999999999993E-2</v>
      </c>
      <c r="N346" s="21">
        <v>5.3421280602636543</v>
      </c>
      <c r="O346" s="21">
        <v>3.8647834274952926</v>
      </c>
      <c r="P346" s="21">
        <v>5.3421280602636543</v>
      </c>
      <c r="Q346" s="21" t="s">
        <v>547</v>
      </c>
      <c r="S346" t="s">
        <v>547</v>
      </c>
    </row>
    <row r="347" spans="1:19" x14ac:dyDescent="0.2">
      <c r="A347">
        <v>346</v>
      </c>
      <c r="B347" t="s">
        <v>153</v>
      </c>
      <c r="C347" t="s">
        <v>349</v>
      </c>
      <c r="D347" t="s">
        <v>8</v>
      </c>
      <c r="E347" t="s">
        <v>9</v>
      </c>
      <c r="F347" t="s">
        <v>11</v>
      </c>
      <c r="G347">
        <v>43</v>
      </c>
      <c r="H347">
        <v>33</v>
      </c>
      <c r="I347">
        <v>3.06</v>
      </c>
      <c r="J347">
        <v>7.67</v>
      </c>
      <c r="K347">
        <v>1.18</v>
      </c>
      <c r="L347">
        <v>0.66200000000000003</v>
      </c>
      <c r="M347">
        <v>8.5999999999999993E-2</v>
      </c>
      <c r="N347" s="21">
        <v>4.7811111111111115</v>
      </c>
      <c r="O347" s="21">
        <v>1.2716384180790963</v>
      </c>
      <c r="P347" s="21">
        <v>4.7811111111111115</v>
      </c>
      <c r="Q347" s="21" t="s">
        <v>547</v>
      </c>
      <c r="S347" t="s">
        <v>547</v>
      </c>
    </row>
    <row r="348" spans="1:19" x14ac:dyDescent="0.2">
      <c r="A348">
        <v>347</v>
      </c>
      <c r="B348" t="s">
        <v>153</v>
      </c>
      <c r="C348" t="s">
        <v>349</v>
      </c>
      <c r="D348" t="s">
        <v>8</v>
      </c>
      <c r="E348" t="s">
        <v>9</v>
      </c>
      <c r="F348" t="s">
        <v>12</v>
      </c>
      <c r="G348">
        <v>30</v>
      </c>
      <c r="H348">
        <v>33</v>
      </c>
      <c r="I348">
        <v>3.69</v>
      </c>
      <c r="J348">
        <v>4.67</v>
      </c>
      <c r="K348">
        <v>0.75</v>
      </c>
      <c r="L348">
        <v>0.54600000000000004</v>
      </c>
      <c r="M348">
        <v>0.112</v>
      </c>
      <c r="N348" s="21">
        <v>3.7775111111111119</v>
      </c>
      <c r="O348" s="21">
        <v>1.9898666666666671</v>
      </c>
      <c r="P348" s="21" t="s">
        <v>547</v>
      </c>
      <c r="Q348" s="21">
        <v>3.7775111111111119</v>
      </c>
      <c r="S348" t="s">
        <v>547</v>
      </c>
    </row>
    <row r="349" spans="1:19" x14ac:dyDescent="0.2">
      <c r="A349">
        <v>348</v>
      </c>
      <c r="B349" t="s">
        <v>153</v>
      </c>
      <c r="C349" t="s">
        <v>349</v>
      </c>
      <c r="D349" t="s">
        <v>8</v>
      </c>
      <c r="E349" t="s">
        <v>9</v>
      </c>
      <c r="F349" t="s">
        <v>14</v>
      </c>
      <c r="G349">
        <v>38</v>
      </c>
      <c r="H349">
        <v>41</v>
      </c>
      <c r="I349">
        <v>4.54</v>
      </c>
      <c r="J349">
        <v>5.7</v>
      </c>
      <c r="K349">
        <v>0.75</v>
      </c>
      <c r="L349">
        <v>0.54600000000000004</v>
      </c>
      <c r="M349">
        <v>0.112</v>
      </c>
      <c r="N349" s="21">
        <v>4.6106666666666669</v>
      </c>
      <c r="O349" s="21">
        <v>2.4482370370370377</v>
      </c>
      <c r="P349" s="21" t="s">
        <v>547</v>
      </c>
      <c r="Q349" s="21">
        <v>4.6106666666666669</v>
      </c>
      <c r="S349" t="s">
        <v>547</v>
      </c>
    </row>
    <row r="350" spans="1:19" x14ac:dyDescent="0.2">
      <c r="A350">
        <v>349</v>
      </c>
      <c r="B350" t="s">
        <v>154</v>
      </c>
      <c r="C350" t="s">
        <v>424</v>
      </c>
      <c r="D350" t="s">
        <v>8</v>
      </c>
      <c r="E350" t="s">
        <v>9</v>
      </c>
      <c r="F350" t="s">
        <v>10</v>
      </c>
      <c r="G350">
        <v>35</v>
      </c>
      <c r="H350">
        <v>33</v>
      </c>
      <c r="I350">
        <v>4.3</v>
      </c>
      <c r="J350">
        <v>5.5</v>
      </c>
      <c r="K350">
        <v>1.05</v>
      </c>
      <c r="L350">
        <v>0.58199999999999996</v>
      </c>
      <c r="M350">
        <v>6.3E-2</v>
      </c>
      <c r="N350" s="21">
        <v>3.3873015873015873</v>
      </c>
      <c r="O350" s="21">
        <v>1.7655026455026452</v>
      </c>
      <c r="P350" s="21">
        <v>3.3873015873015873</v>
      </c>
      <c r="Q350" s="21" t="s">
        <v>547</v>
      </c>
      <c r="S350" t="s">
        <v>547</v>
      </c>
    </row>
    <row r="351" spans="1:19" x14ac:dyDescent="0.2">
      <c r="A351">
        <v>350</v>
      </c>
      <c r="B351" t="s">
        <v>154</v>
      </c>
      <c r="C351" t="s">
        <v>424</v>
      </c>
      <c r="D351" t="s">
        <v>8</v>
      </c>
      <c r="E351" t="s">
        <v>9</v>
      </c>
      <c r="F351" t="s">
        <v>11</v>
      </c>
      <c r="G351">
        <v>37</v>
      </c>
      <c r="H351">
        <v>35</v>
      </c>
      <c r="I351">
        <v>4.8899999999999997</v>
      </c>
      <c r="J351">
        <v>5.65</v>
      </c>
      <c r="K351">
        <v>1.05</v>
      </c>
      <c r="L351">
        <v>0.58199999999999996</v>
      </c>
      <c r="M351">
        <v>6.3E-2</v>
      </c>
      <c r="N351" s="21">
        <v>3.4796825396825399</v>
      </c>
      <c r="O351" s="21">
        <v>2.0077460317460316</v>
      </c>
      <c r="P351" s="21">
        <v>3.4796825396825399</v>
      </c>
      <c r="Q351" s="21" t="s">
        <v>547</v>
      </c>
      <c r="S351" t="s">
        <v>547</v>
      </c>
    </row>
    <row r="352" spans="1:19" x14ac:dyDescent="0.2">
      <c r="A352">
        <v>351</v>
      </c>
      <c r="B352" t="s">
        <v>154</v>
      </c>
      <c r="C352" t="s">
        <v>424</v>
      </c>
      <c r="D352" t="s">
        <v>8</v>
      </c>
      <c r="E352" t="s">
        <v>9</v>
      </c>
      <c r="F352" t="s">
        <v>12</v>
      </c>
      <c r="G352">
        <v>27</v>
      </c>
      <c r="H352">
        <v>25</v>
      </c>
      <c r="I352">
        <v>3.05</v>
      </c>
      <c r="J352">
        <v>3.75</v>
      </c>
      <c r="K352">
        <v>0.4</v>
      </c>
      <c r="L352">
        <v>0.311</v>
      </c>
      <c r="M352">
        <v>5.5E-2</v>
      </c>
      <c r="N352" s="21">
        <v>3.2395833333333335</v>
      </c>
      <c r="O352" s="21">
        <v>1.7565740740740734</v>
      </c>
      <c r="P352" s="21" t="s">
        <v>547</v>
      </c>
      <c r="Q352" s="21">
        <v>3.2395833333333335</v>
      </c>
      <c r="S352" t="s">
        <v>547</v>
      </c>
    </row>
    <row r="353" spans="1:19" x14ac:dyDescent="0.2">
      <c r="A353">
        <v>352</v>
      </c>
      <c r="B353" t="s">
        <v>154</v>
      </c>
      <c r="C353" t="s">
        <v>424</v>
      </c>
      <c r="D353" t="s">
        <v>8</v>
      </c>
      <c r="E353" t="s">
        <v>9</v>
      </c>
      <c r="F353" t="s">
        <v>14</v>
      </c>
      <c r="G353">
        <v>29</v>
      </c>
      <c r="H353">
        <v>28</v>
      </c>
      <c r="I353">
        <v>3.52</v>
      </c>
      <c r="J353">
        <v>3.87</v>
      </c>
      <c r="K353">
        <v>0.4</v>
      </c>
      <c r="L353">
        <v>0.311</v>
      </c>
      <c r="M353">
        <v>5.5E-2</v>
      </c>
      <c r="N353" s="21">
        <v>3.3432500000000003</v>
      </c>
      <c r="O353" s="21">
        <v>2.0272592592592589</v>
      </c>
      <c r="P353" s="21" t="s">
        <v>547</v>
      </c>
      <c r="Q353" s="21">
        <v>3.3432500000000003</v>
      </c>
      <c r="S353" t="s">
        <v>547</v>
      </c>
    </row>
    <row r="354" spans="1:19" x14ac:dyDescent="0.2">
      <c r="A354">
        <v>353</v>
      </c>
      <c r="B354" t="s">
        <v>155</v>
      </c>
      <c r="C354" t="s">
        <v>155</v>
      </c>
      <c r="D354" t="s">
        <v>8</v>
      </c>
      <c r="E354" t="s">
        <v>9</v>
      </c>
      <c r="F354" t="s">
        <v>10</v>
      </c>
      <c r="G354">
        <v>26</v>
      </c>
      <c r="H354">
        <v>29</v>
      </c>
      <c r="I354">
        <v>9.6</v>
      </c>
      <c r="J354">
        <v>7.48</v>
      </c>
      <c r="K354">
        <v>1.0900000000000001</v>
      </c>
      <c r="L354">
        <v>0.70299999999999996</v>
      </c>
      <c r="M354">
        <v>9.7000000000000003E-2</v>
      </c>
      <c r="N354" s="21">
        <v>5.3602854230377162</v>
      </c>
      <c r="O354" s="21">
        <v>4.5863404689092748</v>
      </c>
      <c r="P354" s="21">
        <v>5.3602854230377162</v>
      </c>
      <c r="Q354" s="21" t="s">
        <v>547</v>
      </c>
      <c r="S354" t="s">
        <v>547</v>
      </c>
    </row>
    <row r="355" spans="1:19" x14ac:dyDescent="0.2">
      <c r="A355">
        <v>354</v>
      </c>
      <c r="B355" t="s">
        <v>155</v>
      </c>
      <c r="C355" t="s">
        <v>155</v>
      </c>
      <c r="D355" t="s">
        <v>8</v>
      </c>
      <c r="E355" t="s">
        <v>9</v>
      </c>
      <c r="F355" t="s">
        <v>11</v>
      </c>
      <c r="G355">
        <v>34</v>
      </c>
      <c r="H355">
        <v>33</v>
      </c>
      <c r="I355">
        <v>14.75</v>
      </c>
      <c r="J355">
        <v>10.55</v>
      </c>
      <c r="K355">
        <v>1.0900000000000001</v>
      </c>
      <c r="L355">
        <v>0.70299999999999996</v>
      </c>
      <c r="M355">
        <v>9.7000000000000003E-2</v>
      </c>
      <c r="N355" s="21">
        <v>7.5602956167176352</v>
      </c>
      <c r="O355" s="21">
        <v>7.0467210329595629</v>
      </c>
      <c r="P355" s="21">
        <v>7.5602956167176352</v>
      </c>
      <c r="Q355" s="21" t="s">
        <v>547</v>
      </c>
      <c r="S355" t="s">
        <v>547</v>
      </c>
    </row>
    <row r="356" spans="1:19" x14ac:dyDescent="0.2">
      <c r="A356">
        <v>355</v>
      </c>
      <c r="B356" t="s">
        <v>155</v>
      </c>
      <c r="C356" t="s">
        <v>155</v>
      </c>
      <c r="D356" t="s">
        <v>8</v>
      </c>
      <c r="E356" t="s">
        <v>9</v>
      </c>
      <c r="F356" t="s">
        <v>12</v>
      </c>
      <c r="G356">
        <v>18</v>
      </c>
      <c r="H356">
        <v>18</v>
      </c>
      <c r="I356">
        <v>8.0399999999999991</v>
      </c>
      <c r="J356">
        <v>5.0999999999999996</v>
      </c>
      <c r="K356">
        <v>1.33</v>
      </c>
      <c r="L356">
        <v>0.76</v>
      </c>
      <c r="M356">
        <v>0.153</v>
      </c>
      <c r="N356" s="21">
        <v>3.2380952380952377</v>
      </c>
      <c r="O356" s="21">
        <v>3.4031746031746026</v>
      </c>
      <c r="P356" s="21" t="s">
        <v>547</v>
      </c>
      <c r="Q356" s="21">
        <v>3.2380952380952377</v>
      </c>
      <c r="S356" t="s">
        <v>547</v>
      </c>
    </row>
    <row r="357" spans="1:19" x14ac:dyDescent="0.2">
      <c r="A357">
        <v>356</v>
      </c>
      <c r="B357" t="s">
        <v>155</v>
      </c>
      <c r="C357" t="s">
        <v>155</v>
      </c>
      <c r="D357" t="s">
        <v>8</v>
      </c>
      <c r="E357" t="s">
        <v>9</v>
      </c>
      <c r="F357" t="s">
        <v>14</v>
      </c>
      <c r="G357">
        <v>20</v>
      </c>
      <c r="H357">
        <v>20</v>
      </c>
      <c r="I357">
        <v>5.01</v>
      </c>
      <c r="J357">
        <v>3.8</v>
      </c>
      <c r="K357">
        <v>1.33</v>
      </c>
      <c r="L357">
        <v>0.76</v>
      </c>
      <c r="M357">
        <v>0.153</v>
      </c>
      <c r="N357" s="21">
        <v>2.4126984126984126</v>
      </c>
      <c r="O357" s="21">
        <v>2.1206349206349207</v>
      </c>
      <c r="P357" s="21" t="s">
        <v>547</v>
      </c>
      <c r="Q357" s="21">
        <v>2.4126984126984126</v>
      </c>
      <c r="S357" t="s">
        <v>547</v>
      </c>
    </row>
    <row r="358" spans="1:19" x14ac:dyDescent="0.2">
      <c r="A358">
        <v>357</v>
      </c>
      <c r="B358" t="s">
        <v>156</v>
      </c>
      <c r="C358" t="s">
        <v>156</v>
      </c>
      <c r="D358" t="s">
        <v>8</v>
      </c>
      <c r="E358" t="s">
        <v>9</v>
      </c>
      <c r="F358" t="s">
        <v>10</v>
      </c>
      <c r="G358">
        <v>35</v>
      </c>
      <c r="H358">
        <v>37</v>
      </c>
      <c r="I358">
        <v>7.8</v>
      </c>
      <c r="J358">
        <v>7.65</v>
      </c>
      <c r="K358">
        <v>1.35</v>
      </c>
      <c r="L358">
        <v>0.82</v>
      </c>
      <c r="N358" s="21">
        <v>5.1629629629629621</v>
      </c>
      <c r="O358" s="21">
        <v>3.5094650205761311</v>
      </c>
      <c r="P358" s="21">
        <v>5.1629629629629621</v>
      </c>
      <c r="Q358" s="21" t="s">
        <v>547</v>
      </c>
      <c r="S358" t="s">
        <v>547</v>
      </c>
    </row>
    <row r="359" spans="1:19" x14ac:dyDescent="0.2">
      <c r="A359">
        <v>358</v>
      </c>
      <c r="B359" t="s">
        <v>156</v>
      </c>
      <c r="C359" t="s">
        <v>156</v>
      </c>
      <c r="D359" t="s">
        <v>8</v>
      </c>
      <c r="E359" t="s">
        <v>9</v>
      </c>
      <c r="F359" t="s">
        <v>11</v>
      </c>
      <c r="G359">
        <v>49</v>
      </c>
      <c r="H359">
        <v>47</v>
      </c>
      <c r="I359">
        <v>11.35</v>
      </c>
      <c r="J359">
        <v>9.4</v>
      </c>
      <c r="K359">
        <v>1.35</v>
      </c>
      <c r="L359">
        <v>0.82</v>
      </c>
      <c r="N359" s="21">
        <v>6.3440329218106992</v>
      </c>
      <c r="O359" s="21">
        <v>5.1067215363511647</v>
      </c>
      <c r="P359" s="21">
        <v>6.3440329218106992</v>
      </c>
      <c r="Q359" s="21" t="s">
        <v>547</v>
      </c>
      <c r="S359" t="s">
        <v>547</v>
      </c>
    </row>
    <row r="360" spans="1:19" x14ac:dyDescent="0.2">
      <c r="A360">
        <v>359</v>
      </c>
      <c r="B360" t="s">
        <v>156</v>
      </c>
      <c r="C360" t="s">
        <v>156</v>
      </c>
      <c r="D360" t="s">
        <v>8</v>
      </c>
      <c r="E360" t="s">
        <v>9</v>
      </c>
      <c r="F360" t="s">
        <v>12</v>
      </c>
      <c r="G360">
        <v>36</v>
      </c>
      <c r="H360">
        <v>36</v>
      </c>
      <c r="I360">
        <v>7.1</v>
      </c>
      <c r="J360">
        <v>7.5</v>
      </c>
      <c r="K360">
        <v>0.9</v>
      </c>
      <c r="L360">
        <v>0.55500000000000005</v>
      </c>
      <c r="M360">
        <v>0.113</v>
      </c>
      <c r="N360" s="21">
        <v>5.1388888888888893</v>
      </c>
      <c r="O360" s="21">
        <v>3.2432098765432098</v>
      </c>
      <c r="P360" s="21" t="s">
        <v>547</v>
      </c>
      <c r="Q360" s="21">
        <v>5.1388888888888893</v>
      </c>
      <c r="S360" t="s">
        <v>547</v>
      </c>
    </row>
    <row r="361" spans="1:19" x14ac:dyDescent="0.2">
      <c r="A361">
        <v>360</v>
      </c>
      <c r="B361" t="s">
        <v>156</v>
      </c>
      <c r="C361" t="s">
        <v>156</v>
      </c>
      <c r="D361" t="s">
        <v>8</v>
      </c>
      <c r="E361" t="s">
        <v>9</v>
      </c>
      <c r="F361" t="s">
        <v>14</v>
      </c>
      <c r="G361">
        <v>34</v>
      </c>
      <c r="H361">
        <v>38</v>
      </c>
      <c r="I361">
        <v>14.7</v>
      </c>
      <c r="J361">
        <v>9.35</v>
      </c>
      <c r="K361">
        <v>0.9</v>
      </c>
      <c r="L361">
        <v>0.55500000000000005</v>
      </c>
      <c r="M361">
        <v>0.113</v>
      </c>
      <c r="N361" s="21">
        <v>6.4064814814814817</v>
      </c>
      <c r="O361" s="21">
        <v>6.7148148148148143</v>
      </c>
      <c r="P361" s="21" t="s">
        <v>547</v>
      </c>
      <c r="Q361" s="21">
        <v>6.4064814814814817</v>
      </c>
      <c r="S361" t="s">
        <v>547</v>
      </c>
    </row>
    <row r="362" spans="1:19" x14ac:dyDescent="0.2">
      <c r="A362">
        <v>361</v>
      </c>
      <c r="B362" t="s">
        <v>157</v>
      </c>
      <c r="C362" t="s">
        <v>157</v>
      </c>
      <c r="D362" t="s">
        <v>8</v>
      </c>
      <c r="E362" t="s">
        <v>9</v>
      </c>
      <c r="F362" t="s">
        <v>10</v>
      </c>
      <c r="G362">
        <v>39</v>
      </c>
      <c r="H362">
        <v>35</v>
      </c>
      <c r="I362">
        <v>23</v>
      </c>
      <c r="J362">
        <v>11.71</v>
      </c>
      <c r="K362">
        <v>1.49</v>
      </c>
      <c r="L362">
        <v>0.95699999999999996</v>
      </c>
      <c r="M362">
        <v>0.129</v>
      </c>
      <c r="N362" s="21">
        <v>8.3568008948545867</v>
      </c>
      <c r="O362" s="21">
        <v>10.942580164056675</v>
      </c>
      <c r="P362" s="21">
        <v>8.3568008948545867</v>
      </c>
      <c r="Q362" s="21" t="s">
        <v>547</v>
      </c>
      <c r="S362" t="s">
        <v>547</v>
      </c>
    </row>
    <row r="363" spans="1:19" x14ac:dyDescent="0.2">
      <c r="A363">
        <v>362</v>
      </c>
      <c r="B363" t="s">
        <v>157</v>
      </c>
      <c r="C363" t="s">
        <v>157</v>
      </c>
      <c r="D363" t="s">
        <v>8</v>
      </c>
      <c r="E363" t="s">
        <v>9</v>
      </c>
      <c r="F363" t="s">
        <v>11</v>
      </c>
      <c r="G363">
        <v>34</v>
      </c>
      <c r="H363">
        <v>36</v>
      </c>
      <c r="I363">
        <v>14.35</v>
      </c>
      <c r="J363">
        <v>9.0399999999999991</v>
      </c>
      <c r="K363">
        <v>1.49</v>
      </c>
      <c r="L363">
        <v>0.95699999999999996</v>
      </c>
      <c r="M363">
        <v>0.129</v>
      </c>
      <c r="N363" s="21">
        <v>6.4513646532438473</v>
      </c>
      <c r="O363" s="21">
        <v>6.8272184936614471</v>
      </c>
      <c r="P363" s="21">
        <v>6.4513646532438473</v>
      </c>
      <c r="Q363" s="21" t="s">
        <v>547</v>
      </c>
      <c r="S363" t="s">
        <v>547</v>
      </c>
    </row>
    <row r="364" spans="1:19" x14ac:dyDescent="0.2">
      <c r="A364">
        <v>363</v>
      </c>
      <c r="B364" t="s">
        <v>157</v>
      </c>
      <c r="C364" t="s">
        <v>157</v>
      </c>
      <c r="D364" t="s">
        <v>8</v>
      </c>
      <c r="E364" t="s">
        <v>9</v>
      </c>
      <c r="F364" t="s">
        <v>12</v>
      </c>
      <c r="G364">
        <v>25</v>
      </c>
      <c r="H364">
        <v>29</v>
      </c>
      <c r="I364">
        <v>15.8</v>
      </c>
      <c r="J364">
        <v>9.7100000000000009</v>
      </c>
      <c r="K364">
        <v>1.22</v>
      </c>
      <c r="L364">
        <v>0.71399999999999997</v>
      </c>
      <c r="M364">
        <v>9.7000000000000003E-2</v>
      </c>
      <c r="N364" s="21">
        <v>6.3141530054644814</v>
      </c>
      <c r="O364" s="21">
        <v>6.8495446265938078</v>
      </c>
      <c r="P364" s="21" t="s">
        <v>547</v>
      </c>
      <c r="Q364" s="21">
        <v>6.3141530054644814</v>
      </c>
      <c r="S364" t="s">
        <v>547</v>
      </c>
    </row>
    <row r="365" spans="1:19" x14ac:dyDescent="0.2">
      <c r="A365">
        <v>364</v>
      </c>
      <c r="B365" t="s">
        <v>157</v>
      </c>
      <c r="C365" t="s">
        <v>157</v>
      </c>
      <c r="D365" t="s">
        <v>8</v>
      </c>
      <c r="E365" t="s">
        <v>9</v>
      </c>
      <c r="F365" t="s">
        <v>14</v>
      </c>
      <c r="G365">
        <v>24</v>
      </c>
      <c r="H365">
        <v>28</v>
      </c>
      <c r="I365">
        <v>15.5</v>
      </c>
      <c r="J365">
        <v>9.61</v>
      </c>
      <c r="K365">
        <v>1.22</v>
      </c>
      <c r="L365">
        <v>0.71399999999999997</v>
      </c>
      <c r="M365">
        <v>9.7000000000000003E-2</v>
      </c>
      <c r="N365" s="21">
        <v>6.2491256830601083</v>
      </c>
      <c r="O365" s="21">
        <v>6.7194899817850633</v>
      </c>
      <c r="P365" s="21" t="s">
        <v>547</v>
      </c>
      <c r="Q365" s="21">
        <v>6.2491256830601083</v>
      </c>
      <c r="S365" t="s">
        <v>547</v>
      </c>
    </row>
    <row r="366" spans="1:19" x14ac:dyDescent="0.2">
      <c r="A366">
        <v>365</v>
      </c>
      <c r="B366" t="s">
        <v>158</v>
      </c>
      <c r="C366" t="s">
        <v>158</v>
      </c>
      <c r="D366" t="s">
        <v>8</v>
      </c>
      <c r="E366" t="s">
        <v>9</v>
      </c>
      <c r="F366" t="s">
        <v>10</v>
      </c>
      <c r="G366">
        <v>30</v>
      </c>
      <c r="H366">
        <v>35</v>
      </c>
      <c r="I366">
        <v>11.01</v>
      </c>
      <c r="J366">
        <v>9.19</v>
      </c>
      <c r="K366">
        <v>1.19</v>
      </c>
      <c r="L366">
        <v>0.63900000000000001</v>
      </c>
      <c r="M366">
        <v>0.158</v>
      </c>
      <c r="N366" s="21">
        <v>5.483109243697478</v>
      </c>
      <c r="O366" s="21">
        <v>4.3793277310924372</v>
      </c>
      <c r="P366" s="21">
        <v>5.483109243697478</v>
      </c>
      <c r="Q366" s="21" t="s">
        <v>547</v>
      </c>
      <c r="S366" t="s">
        <v>547</v>
      </c>
    </row>
    <row r="367" spans="1:19" x14ac:dyDescent="0.2">
      <c r="A367">
        <v>366</v>
      </c>
      <c r="B367" t="s">
        <v>158</v>
      </c>
      <c r="C367" t="s">
        <v>158</v>
      </c>
      <c r="D367" t="s">
        <v>8</v>
      </c>
      <c r="E367" t="s">
        <v>9</v>
      </c>
      <c r="F367" t="s">
        <v>11</v>
      </c>
      <c r="G367">
        <v>32</v>
      </c>
      <c r="H367">
        <v>32</v>
      </c>
      <c r="I367">
        <v>11.61</v>
      </c>
      <c r="J367">
        <v>7.58</v>
      </c>
      <c r="K367">
        <v>1.19</v>
      </c>
      <c r="L367">
        <v>0.63900000000000001</v>
      </c>
      <c r="M367">
        <v>0.158</v>
      </c>
      <c r="N367" s="21">
        <v>4.5225210084033618</v>
      </c>
      <c r="O367" s="21">
        <v>4.6179831932773112</v>
      </c>
      <c r="P367" s="21">
        <v>4.5225210084033618</v>
      </c>
      <c r="Q367" s="21" t="s">
        <v>547</v>
      </c>
      <c r="S367" t="s">
        <v>547</v>
      </c>
    </row>
    <row r="368" spans="1:19" x14ac:dyDescent="0.2">
      <c r="A368">
        <v>367</v>
      </c>
      <c r="B368" t="s">
        <v>158</v>
      </c>
      <c r="C368" t="s">
        <v>158</v>
      </c>
      <c r="D368" t="s">
        <v>8</v>
      </c>
      <c r="E368" t="s">
        <v>9</v>
      </c>
      <c r="F368" t="s">
        <v>12</v>
      </c>
      <c r="G368">
        <v>43</v>
      </c>
      <c r="H368">
        <v>44</v>
      </c>
      <c r="I368">
        <v>9.4700000000000006</v>
      </c>
      <c r="J368">
        <v>7.14</v>
      </c>
      <c r="K368">
        <v>0.81</v>
      </c>
      <c r="L368">
        <v>0.44500000000000001</v>
      </c>
      <c r="M368">
        <v>9.0999999999999998E-2</v>
      </c>
      <c r="N368" s="21">
        <v>4.3584362139917694</v>
      </c>
      <c r="O368" s="21">
        <v>3.8538180155464108</v>
      </c>
      <c r="P368" s="21" t="s">
        <v>547</v>
      </c>
      <c r="Q368" s="21">
        <v>4.3584362139917694</v>
      </c>
      <c r="S368" t="s">
        <v>547</v>
      </c>
    </row>
    <row r="369" spans="1:19" x14ac:dyDescent="0.2">
      <c r="A369">
        <v>368</v>
      </c>
      <c r="B369" t="s">
        <v>158</v>
      </c>
      <c r="C369" t="s">
        <v>158</v>
      </c>
      <c r="D369" t="s">
        <v>8</v>
      </c>
      <c r="E369" t="s">
        <v>9</v>
      </c>
      <c r="F369" t="s">
        <v>14</v>
      </c>
      <c r="G369">
        <v>43</v>
      </c>
      <c r="H369">
        <v>43</v>
      </c>
      <c r="I369">
        <v>9.3000000000000007</v>
      </c>
      <c r="J369">
        <v>7.09</v>
      </c>
      <c r="K369">
        <v>0.81</v>
      </c>
      <c r="L369">
        <v>0.44500000000000001</v>
      </c>
      <c r="M369">
        <v>9.0999999999999998E-2</v>
      </c>
      <c r="N369" s="21">
        <v>4.3279149519890261</v>
      </c>
      <c r="O369" s="21">
        <v>3.7846364883401926</v>
      </c>
      <c r="P369" s="21" t="s">
        <v>547</v>
      </c>
      <c r="Q369" s="21">
        <v>4.3279149519890261</v>
      </c>
      <c r="S369" t="s">
        <v>547</v>
      </c>
    </row>
    <row r="370" spans="1:19" x14ac:dyDescent="0.2">
      <c r="A370">
        <v>369</v>
      </c>
      <c r="B370" t="s">
        <v>159</v>
      </c>
      <c r="C370" s="14" t="s">
        <v>159</v>
      </c>
      <c r="D370" t="s">
        <v>8</v>
      </c>
      <c r="E370" t="s">
        <v>9</v>
      </c>
      <c r="F370" t="s">
        <v>10</v>
      </c>
      <c r="G370">
        <v>43</v>
      </c>
      <c r="H370">
        <v>45</v>
      </c>
      <c r="I370">
        <v>11.4</v>
      </c>
      <c r="J370">
        <v>8.5500000000000007</v>
      </c>
      <c r="K370">
        <v>1.95</v>
      </c>
      <c r="L370">
        <v>1.1459999999999999</v>
      </c>
      <c r="M370">
        <v>0.21099999999999999</v>
      </c>
      <c r="N370" s="21">
        <v>5.5830769230769226</v>
      </c>
      <c r="O370" s="21">
        <v>4.9627350427350425</v>
      </c>
      <c r="P370" s="21">
        <v>5.5830769230769226</v>
      </c>
      <c r="Q370" s="21" t="s">
        <v>547</v>
      </c>
      <c r="S370" t="s">
        <v>547</v>
      </c>
    </row>
    <row r="371" spans="1:19" x14ac:dyDescent="0.2">
      <c r="A371">
        <v>370</v>
      </c>
      <c r="B371" t="s">
        <v>159</v>
      </c>
      <c r="C371" s="14" t="s">
        <v>159</v>
      </c>
      <c r="D371" t="s">
        <v>8</v>
      </c>
      <c r="E371" t="s">
        <v>9</v>
      </c>
      <c r="F371" t="s">
        <v>11</v>
      </c>
      <c r="G371">
        <v>50</v>
      </c>
      <c r="H371">
        <v>33</v>
      </c>
      <c r="I371">
        <v>25.25</v>
      </c>
      <c r="J371">
        <v>17.55</v>
      </c>
      <c r="K371">
        <v>1.95</v>
      </c>
      <c r="L371">
        <v>1.1459999999999999</v>
      </c>
      <c r="M371">
        <v>0.21099999999999999</v>
      </c>
      <c r="N371" s="21">
        <v>11.46</v>
      </c>
      <c r="O371" s="21">
        <v>10.992022792022791</v>
      </c>
      <c r="P371" s="21">
        <v>11.46</v>
      </c>
      <c r="Q371" s="21" t="s">
        <v>547</v>
      </c>
      <c r="S371" t="s">
        <v>547</v>
      </c>
    </row>
    <row r="372" spans="1:19" x14ac:dyDescent="0.2">
      <c r="A372">
        <v>371</v>
      </c>
      <c r="B372" t="s">
        <v>159</v>
      </c>
      <c r="C372" s="14" t="s">
        <v>159</v>
      </c>
      <c r="D372" t="s">
        <v>8</v>
      </c>
      <c r="E372" t="s">
        <v>9</v>
      </c>
      <c r="F372" t="s">
        <v>12</v>
      </c>
      <c r="G372">
        <v>35</v>
      </c>
      <c r="H372">
        <v>34</v>
      </c>
      <c r="I372">
        <v>10.050000000000001</v>
      </c>
      <c r="J372">
        <v>15.55</v>
      </c>
      <c r="K372">
        <v>0.6</v>
      </c>
      <c r="L372">
        <v>0.40699999999999997</v>
      </c>
      <c r="M372">
        <v>8.1000000000000003E-2</v>
      </c>
      <c r="N372" s="21">
        <v>11.720092592592595</v>
      </c>
      <c r="O372" s="21">
        <v>5.0498148148148161</v>
      </c>
      <c r="P372" s="21" t="s">
        <v>547</v>
      </c>
      <c r="Q372" s="21">
        <v>11.720092592592595</v>
      </c>
      <c r="S372" t="s">
        <v>547</v>
      </c>
    </row>
    <row r="373" spans="1:19" x14ac:dyDescent="0.2">
      <c r="A373">
        <v>372</v>
      </c>
      <c r="B373" t="s">
        <v>159</v>
      </c>
      <c r="C373" s="14" t="s">
        <v>159</v>
      </c>
      <c r="D373" t="s">
        <v>8</v>
      </c>
      <c r="E373" t="s">
        <v>9</v>
      </c>
      <c r="F373" t="s">
        <v>14</v>
      </c>
      <c r="G373">
        <v>38</v>
      </c>
      <c r="H373">
        <v>37</v>
      </c>
      <c r="I373">
        <v>10.87</v>
      </c>
      <c r="J373">
        <v>15.81</v>
      </c>
      <c r="K373">
        <v>0.6</v>
      </c>
      <c r="L373">
        <v>0.40699999999999997</v>
      </c>
      <c r="M373">
        <v>8.1000000000000003E-2</v>
      </c>
      <c r="N373" s="21">
        <v>11.916055555555557</v>
      </c>
      <c r="O373" s="21">
        <v>5.46183950617284</v>
      </c>
      <c r="P373" s="21" t="s">
        <v>547</v>
      </c>
      <c r="Q373" s="21">
        <v>11.916055555555557</v>
      </c>
      <c r="S373" t="s">
        <v>547</v>
      </c>
    </row>
    <row r="374" spans="1:19" x14ac:dyDescent="0.2">
      <c r="A374">
        <v>373</v>
      </c>
      <c r="B374" t="s">
        <v>160</v>
      </c>
      <c r="C374" t="s">
        <v>160</v>
      </c>
      <c r="D374" t="s">
        <v>8</v>
      </c>
      <c r="E374" t="s">
        <v>9</v>
      </c>
      <c r="F374" t="s">
        <v>10</v>
      </c>
      <c r="G374">
        <v>33</v>
      </c>
      <c r="H374">
        <v>38</v>
      </c>
      <c r="I374">
        <v>13.3</v>
      </c>
      <c r="J374">
        <v>9.8000000000000007</v>
      </c>
      <c r="K374">
        <v>1.6</v>
      </c>
      <c r="L374">
        <v>0.80500000000000005</v>
      </c>
      <c r="M374">
        <v>0.154</v>
      </c>
      <c r="N374" s="21">
        <v>5.4784722222222237</v>
      </c>
      <c r="O374" s="21">
        <v>4.9567129629629632</v>
      </c>
      <c r="P374" s="21">
        <v>5.4784722222222237</v>
      </c>
      <c r="Q374" s="21" t="s">
        <v>547</v>
      </c>
      <c r="S374" t="s">
        <v>547</v>
      </c>
    </row>
    <row r="375" spans="1:19" x14ac:dyDescent="0.2">
      <c r="A375">
        <v>374</v>
      </c>
      <c r="B375" t="s">
        <v>160</v>
      </c>
      <c r="C375" t="s">
        <v>160</v>
      </c>
      <c r="D375" t="s">
        <v>8</v>
      </c>
      <c r="E375" t="s">
        <v>9</v>
      </c>
      <c r="F375" t="s">
        <v>11</v>
      </c>
      <c r="G375">
        <v>32</v>
      </c>
      <c r="H375">
        <v>35</v>
      </c>
      <c r="I375">
        <v>12.95</v>
      </c>
      <c r="J375">
        <v>9.01</v>
      </c>
      <c r="K375">
        <v>1.6</v>
      </c>
      <c r="L375">
        <v>0.80500000000000005</v>
      </c>
      <c r="M375">
        <v>0.154</v>
      </c>
      <c r="N375" s="21">
        <v>5.0368402777777783</v>
      </c>
      <c r="O375" s="21">
        <v>4.8262731481481476</v>
      </c>
      <c r="P375" s="21">
        <v>5.0368402777777783</v>
      </c>
      <c r="Q375" s="21" t="s">
        <v>547</v>
      </c>
      <c r="S375" t="s">
        <v>547</v>
      </c>
    </row>
    <row r="376" spans="1:19" x14ac:dyDescent="0.2">
      <c r="A376">
        <v>375</v>
      </c>
      <c r="B376" t="s">
        <v>160</v>
      </c>
      <c r="C376" t="s">
        <v>160</v>
      </c>
      <c r="D376" t="s">
        <v>8</v>
      </c>
      <c r="E376" t="s">
        <v>9</v>
      </c>
      <c r="F376" t="s">
        <v>12</v>
      </c>
      <c r="G376">
        <v>29</v>
      </c>
      <c r="H376">
        <v>28</v>
      </c>
      <c r="I376">
        <v>13.57</v>
      </c>
      <c r="J376">
        <v>7.62</v>
      </c>
      <c r="K376">
        <v>1.3</v>
      </c>
      <c r="L376">
        <v>0.64700000000000002</v>
      </c>
      <c r="M376">
        <v>9.2999999999999999E-2</v>
      </c>
      <c r="N376" s="21">
        <v>4.2137948717948728</v>
      </c>
      <c r="O376" s="21">
        <v>5.0027293447293442</v>
      </c>
      <c r="P376" s="21" t="s">
        <v>547</v>
      </c>
      <c r="Q376" s="21">
        <v>4.2137948717948728</v>
      </c>
      <c r="S376" t="s">
        <v>547</v>
      </c>
    </row>
    <row r="377" spans="1:19" x14ac:dyDescent="0.2">
      <c r="A377">
        <v>376</v>
      </c>
      <c r="B377" t="s">
        <v>160</v>
      </c>
      <c r="C377" t="s">
        <v>160</v>
      </c>
      <c r="D377" t="s">
        <v>8</v>
      </c>
      <c r="E377" t="s">
        <v>9</v>
      </c>
      <c r="F377" t="s">
        <v>14</v>
      </c>
      <c r="G377">
        <v>31</v>
      </c>
      <c r="H377">
        <v>30</v>
      </c>
      <c r="I377">
        <v>12.06</v>
      </c>
      <c r="J377">
        <v>6.58</v>
      </c>
      <c r="K377">
        <v>1.3</v>
      </c>
      <c r="L377">
        <v>0.64700000000000002</v>
      </c>
      <c r="M377">
        <v>9.2999999999999999E-2</v>
      </c>
      <c r="N377" s="21">
        <v>3.6386837606837608</v>
      </c>
      <c r="O377" s="21">
        <v>4.4460512820512825</v>
      </c>
      <c r="P377" s="21" t="s">
        <v>547</v>
      </c>
      <c r="Q377" s="21">
        <v>3.6386837606837608</v>
      </c>
      <c r="S377" t="s">
        <v>547</v>
      </c>
    </row>
    <row r="378" spans="1:19" x14ac:dyDescent="0.2">
      <c r="A378">
        <v>377</v>
      </c>
      <c r="B378" t="s">
        <v>161</v>
      </c>
      <c r="C378" t="s">
        <v>161</v>
      </c>
      <c r="D378" t="s">
        <v>8</v>
      </c>
      <c r="E378" t="s">
        <v>9</v>
      </c>
      <c r="F378" t="s">
        <v>10</v>
      </c>
      <c r="G378">
        <v>28</v>
      </c>
      <c r="H378">
        <v>32</v>
      </c>
      <c r="I378">
        <v>14.18</v>
      </c>
      <c r="J378">
        <v>9.64</v>
      </c>
      <c r="K378">
        <v>1.53</v>
      </c>
      <c r="L378">
        <v>0.84</v>
      </c>
      <c r="N378" s="21">
        <v>5.8806100217864925</v>
      </c>
      <c r="O378" s="21">
        <v>5.7667392883079147</v>
      </c>
      <c r="P378" s="21">
        <v>5.8806100217864925</v>
      </c>
      <c r="Q378" s="21" t="s">
        <v>547</v>
      </c>
      <c r="S378" t="s">
        <v>547</v>
      </c>
    </row>
    <row r="379" spans="1:19" x14ac:dyDescent="0.2">
      <c r="A379">
        <v>378</v>
      </c>
      <c r="B379" t="s">
        <v>161</v>
      </c>
      <c r="C379" t="s">
        <v>161</v>
      </c>
      <c r="D379" t="s">
        <v>8</v>
      </c>
      <c r="E379" t="s">
        <v>9</v>
      </c>
      <c r="F379" t="s">
        <v>11</v>
      </c>
      <c r="G379">
        <v>32</v>
      </c>
      <c r="H379">
        <v>37</v>
      </c>
      <c r="I379">
        <v>10.45</v>
      </c>
      <c r="J379">
        <v>8.6999999999999993</v>
      </c>
      <c r="K379">
        <v>1.53</v>
      </c>
      <c r="L379">
        <v>0.84</v>
      </c>
      <c r="N379" s="21">
        <v>5.307189542483659</v>
      </c>
      <c r="O379" s="21">
        <v>4.2498184458968771</v>
      </c>
      <c r="P379" s="21">
        <v>5.307189542483659</v>
      </c>
      <c r="Q379" s="21" t="s">
        <v>547</v>
      </c>
      <c r="S379" t="s">
        <v>547</v>
      </c>
    </row>
    <row r="380" spans="1:19" x14ac:dyDescent="0.2">
      <c r="A380">
        <v>379</v>
      </c>
      <c r="B380" t="s">
        <v>161</v>
      </c>
      <c r="C380" t="s">
        <v>161</v>
      </c>
      <c r="D380" t="s">
        <v>8</v>
      </c>
      <c r="E380" t="s">
        <v>9</v>
      </c>
      <c r="F380" t="s">
        <v>12</v>
      </c>
      <c r="G380">
        <v>33</v>
      </c>
      <c r="H380">
        <v>36</v>
      </c>
      <c r="I380">
        <v>9.65</v>
      </c>
      <c r="J380">
        <v>9.86</v>
      </c>
      <c r="K380">
        <v>1.36</v>
      </c>
      <c r="L380">
        <v>0.74399999999999999</v>
      </c>
      <c r="M380">
        <v>0.185</v>
      </c>
      <c r="N380" s="21">
        <v>5.9933333333333332</v>
      </c>
      <c r="O380" s="21">
        <v>3.9104575163398696</v>
      </c>
      <c r="P380" s="21" t="s">
        <v>547</v>
      </c>
      <c r="Q380" s="21">
        <v>5.9933333333333332</v>
      </c>
      <c r="S380" t="s">
        <v>547</v>
      </c>
    </row>
    <row r="381" spans="1:19" x14ac:dyDescent="0.2">
      <c r="A381">
        <v>380</v>
      </c>
      <c r="B381" t="s">
        <v>161</v>
      </c>
      <c r="C381" t="s">
        <v>161</v>
      </c>
      <c r="D381" t="s">
        <v>8</v>
      </c>
      <c r="E381" t="s">
        <v>9</v>
      </c>
      <c r="F381" t="s">
        <v>14</v>
      </c>
      <c r="G381">
        <v>39</v>
      </c>
      <c r="H381">
        <v>32</v>
      </c>
      <c r="I381">
        <v>8.65</v>
      </c>
      <c r="J381">
        <v>8.75</v>
      </c>
      <c r="K381">
        <v>1.36</v>
      </c>
      <c r="L381">
        <v>0.74399999999999999</v>
      </c>
      <c r="M381">
        <v>0.185</v>
      </c>
      <c r="N381" s="21">
        <v>5.3186274509803919</v>
      </c>
      <c r="O381" s="21">
        <v>3.5052287581699351</v>
      </c>
      <c r="P381" s="21" t="s">
        <v>547</v>
      </c>
      <c r="Q381" s="21">
        <v>5.3186274509803919</v>
      </c>
      <c r="S381" t="s">
        <v>547</v>
      </c>
    </row>
    <row r="382" spans="1:19" x14ac:dyDescent="0.2">
      <c r="A382">
        <v>381</v>
      </c>
      <c r="B382" t="s">
        <v>162</v>
      </c>
      <c r="C382" t="s">
        <v>350</v>
      </c>
      <c r="D382" t="s">
        <v>8</v>
      </c>
      <c r="E382" t="s">
        <v>9</v>
      </c>
      <c r="F382" t="s">
        <v>10</v>
      </c>
      <c r="G382">
        <v>41</v>
      </c>
      <c r="H382">
        <v>40</v>
      </c>
      <c r="I382">
        <v>20.09</v>
      </c>
      <c r="J382">
        <v>6.55</v>
      </c>
      <c r="K382">
        <v>1.1499999999999999</v>
      </c>
      <c r="N382" s="21">
        <v>4.152259105578608</v>
      </c>
      <c r="O382" s="21">
        <v>8.4904717996004315</v>
      </c>
      <c r="P382" s="21">
        <v>4.152259105578608</v>
      </c>
      <c r="Q382" s="21" t="s">
        <v>547</v>
      </c>
      <c r="S382" t="s">
        <v>547</v>
      </c>
    </row>
    <row r="383" spans="1:19" x14ac:dyDescent="0.2">
      <c r="A383">
        <v>382</v>
      </c>
      <c r="B383" t="s">
        <v>162</v>
      </c>
      <c r="C383" t="s">
        <v>350</v>
      </c>
      <c r="D383" t="s">
        <v>8</v>
      </c>
      <c r="E383" t="s">
        <v>9</v>
      </c>
      <c r="F383" t="s">
        <v>11</v>
      </c>
      <c r="G383">
        <v>46</v>
      </c>
      <c r="H383">
        <v>43</v>
      </c>
      <c r="I383">
        <v>20.13</v>
      </c>
      <c r="J383">
        <v>7.02</v>
      </c>
      <c r="K383">
        <v>1.1499999999999999</v>
      </c>
      <c r="N383" s="21">
        <v>4.4502074688796682</v>
      </c>
      <c r="O383" s="21">
        <v>8.5073766712770862</v>
      </c>
      <c r="P383" s="21">
        <v>4.4502074688796682</v>
      </c>
      <c r="Q383" s="21" t="s">
        <v>547</v>
      </c>
      <c r="S383" t="s">
        <v>547</v>
      </c>
    </row>
    <row r="384" spans="1:19" x14ac:dyDescent="0.2">
      <c r="A384">
        <v>383</v>
      </c>
      <c r="B384" t="s">
        <v>162</v>
      </c>
      <c r="C384" t="s">
        <v>350</v>
      </c>
      <c r="D384" t="s">
        <v>8</v>
      </c>
      <c r="E384" t="s">
        <v>9</v>
      </c>
      <c r="F384" t="s">
        <v>12</v>
      </c>
      <c r="G384">
        <v>39</v>
      </c>
      <c r="H384">
        <v>40</v>
      </c>
      <c r="I384">
        <v>19.75</v>
      </c>
      <c r="J384">
        <v>6.85</v>
      </c>
      <c r="K384">
        <v>0.7</v>
      </c>
      <c r="L384">
        <v>0.629</v>
      </c>
      <c r="M384">
        <v>9.2999999999999999E-2</v>
      </c>
      <c r="N384" s="21">
        <v>4.3424389119409872</v>
      </c>
      <c r="O384" s="21">
        <v>8.3467803903488562</v>
      </c>
      <c r="P384" s="21" t="s">
        <v>547</v>
      </c>
      <c r="Q384" s="21">
        <v>4.3424389119409872</v>
      </c>
      <c r="S384" t="s">
        <v>547</v>
      </c>
    </row>
    <row r="385" spans="1:19" x14ac:dyDescent="0.2">
      <c r="A385">
        <v>384</v>
      </c>
      <c r="B385" t="s">
        <v>162</v>
      </c>
      <c r="C385" t="s">
        <v>350</v>
      </c>
      <c r="D385" t="s">
        <v>8</v>
      </c>
      <c r="E385" t="s">
        <v>9</v>
      </c>
      <c r="F385" t="s">
        <v>14</v>
      </c>
      <c r="G385">
        <v>40</v>
      </c>
      <c r="H385">
        <v>40</v>
      </c>
      <c r="I385">
        <v>18.78</v>
      </c>
      <c r="J385">
        <v>6.49</v>
      </c>
      <c r="K385">
        <v>0.7</v>
      </c>
      <c r="L385">
        <v>0.629</v>
      </c>
      <c r="M385">
        <v>9.2999999999999999E-2</v>
      </c>
      <c r="N385" s="21">
        <v>4.1142231443061323</v>
      </c>
      <c r="O385" s="21">
        <v>7.9368372521899513</v>
      </c>
      <c r="P385" s="21" t="s">
        <v>547</v>
      </c>
      <c r="Q385" s="21">
        <v>4.1142231443061323</v>
      </c>
      <c r="S385" t="s">
        <v>547</v>
      </c>
    </row>
    <row r="386" spans="1:19" x14ac:dyDescent="0.2">
      <c r="A386">
        <v>385</v>
      </c>
      <c r="B386" t="s">
        <v>163</v>
      </c>
      <c r="C386" t="s">
        <v>351</v>
      </c>
      <c r="D386" t="s">
        <v>8</v>
      </c>
      <c r="E386" t="s">
        <v>9</v>
      </c>
      <c r="F386" t="s">
        <v>10</v>
      </c>
      <c r="G386">
        <v>37</v>
      </c>
      <c r="H386">
        <v>43</v>
      </c>
      <c r="I386">
        <v>10.65</v>
      </c>
      <c r="J386">
        <v>10.75</v>
      </c>
      <c r="K386">
        <v>1.5</v>
      </c>
      <c r="N386" s="21">
        <v>6.8147763946519149</v>
      </c>
      <c r="O386" s="21">
        <v>4.5009220839096367</v>
      </c>
      <c r="P386" s="21">
        <v>6.8147763946519149</v>
      </c>
      <c r="Q386" s="21" t="s">
        <v>547</v>
      </c>
      <c r="S386" t="s">
        <v>547</v>
      </c>
    </row>
    <row r="387" spans="1:19" x14ac:dyDescent="0.2">
      <c r="A387">
        <v>386</v>
      </c>
      <c r="B387" t="s">
        <v>163</v>
      </c>
      <c r="C387" t="s">
        <v>351</v>
      </c>
      <c r="D387" t="s">
        <v>8</v>
      </c>
      <c r="E387" t="s">
        <v>9</v>
      </c>
      <c r="F387" t="s">
        <v>11</v>
      </c>
      <c r="G387">
        <v>29</v>
      </c>
      <c r="H387">
        <v>33</v>
      </c>
      <c r="I387">
        <v>5</v>
      </c>
      <c r="J387">
        <v>9.4499999999999993</v>
      </c>
      <c r="K387">
        <v>1.5</v>
      </c>
      <c r="N387" s="21">
        <v>5.9906639004149378</v>
      </c>
      <c r="O387" s="21">
        <v>2.113108959581989</v>
      </c>
      <c r="P387" s="21">
        <v>5.9906639004149378</v>
      </c>
      <c r="Q387" s="21" t="s">
        <v>547</v>
      </c>
      <c r="S387" t="s">
        <v>547</v>
      </c>
    </row>
    <row r="388" spans="1:19" x14ac:dyDescent="0.2">
      <c r="A388">
        <v>387</v>
      </c>
      <c r="B388" t="s">
        <v>163</v>
      </c>
      <c r="C388" t="s">
        <v>351</v>
      </c>
      <c r="D388" t="s">
        <v>8</v>
      </c>
      <c r="E388" t="s">
        <v>9</v>
      </c>
      <c r="F388" t="s">
        <v>12</v>
      </c>
      <c r="G388">
        <v>40</v>
      </c>
      <c r="H388">
        <v>37</v>
      </c>
      <c r="I388">
        <v>4.75</v>
      </c>
      <c r="J388">
        <v>5.25</v>
      </c>
      <c r="K388">
        <v>0.6</v>
      </c>
      <c r="L388">
        <v>0.55400000000000005</v>
      </c>
      <c r="M388">
        <v>0.1</v>
      </c>
      <c r="N388" s="21">
        <v>3.3281466113416327</v>
      </c>
      <c r="O388" s="21">
        <v>2.0074535116028898</v>
      </c>
      <c r="P388" s="21" t="s">
        <v>547</v>
      </c>
      <c r="Q388" s="21">
        <v>3.3281466113416327</v>
      </c>
      <c r="S388" t="s">
        <v>547</v>
      </c>
    </row>
    <row r="389" spans="1:19" x14ac:dyDescent="0.2">
      <c r="A389">
        <v>388</v>
      </c>
      <c r="B389" t="s">
        <v>163</v>
      </c>
      <c r="C389" t="s">
        <v>351</v>
      </c>
      <c r="D389" t="s">
        <v>8</v>
      </c>
      <c r="E389" t="s">
        <v>9</v>
      </c>
      <c r="F389" t="s">
        <v>14</v>
      </c>
      <c r="G389">
        <v>42</v>
      </c>
      <c r="H389">
        <v>39</v>
      </c>
      <c r="I389">
        <v>4.2</v>
      </c>
      <c r="J389">
        <v>5.42</v>
      </c>
      <c r="K389">
        <v>0.6</v>
      </c>
      <c r="L389">
        <v>0.55400000000000005</v>
      </c>
      <c r="M389">
        <v>0.1</v>
      </c>
      <c r="N389" s="21">
        <v>3.4359151682803142</v>
      </c>
      <c r="O389" s="21">
        <v>1.7750115260488708</v>
      </c>
      <c r="P389" s="21" t="s">
        <v>547</v>
      </c>
      <c r="Q389" s="21">
        <v>3.4359151682803142</v>
      </c>
      <c r="S389" t="s">
        <v>547</v>
      </c>
    </row>
    <row r="390" spans="1:19" x14ac:dyDescent="0.2">
      <c r="A390">
        <v>389</v>
      </c>
      <c r="B390" t="s">
        <v>164</v>
      </c>
      <c r="C390" t="s">
        <v>352</v>
      </c>
      <c r="D390" t="s">
        <v>8</v>
      </c>
      <c r="E390" t="s">
        <v>9</v>
      </c>
      <c r="F390" t="s">
        <v>10</v>
      </c>
      <c r="G390">
        <v>23</v>
      </c>
      <c r="H390">
        <v>25</v>
      </c>
      <c r="I390">
        <v>3.09</v>
      </c>
      <c r="J390">
        <v>2.8</v>
      </c>
      <c r="K390">
        <v>0.69</v>
      </c>
      <c r="L390">
        <v>0.51</v>
      </c>
      <c r="M390">
        <v>0.13500000000000001</v>
      </c>
      <c r="N390" s="21">
        <v>2.2995169082125604</v>
      </c>
      <c r="O390" s="21">
        <v>1.6917874396135266</v>
      </c>
      <c r="P390" s="21">
        <v>2.2995169082125604</v>
      </c>
      <c r="Q390" s="21" t="s">
        <v>547</v>
      </c>
      <c r="S390" t="s">
        <v>547</v>
      </c>
    </row>
    <row r="391" spans="1:19" x14ac:dyDescent="0.2">
      <c r="A391">
        <v>390</v>
      </c>
      <c r="B391" t="s">
        <v>164</v>
      </c>
      <c r="C391" t="s">
        <v>352</v>
      </c>
      <c r="D391" t="s">
        <v>8</v>
      </c>
      <c r="E391" t="s">
        <v>9</v>
      </c>
      <c r="F391" t="s">
        <v>11</v>
      </c>
      <c r="G391">
        <v>50</v>
      </c>
      <c r="H391">
        <v>49</v>
      </c>
      <c r="I391">
        <v>4.21</v>
      </c>
      <c r="J391">
        <v>4.58</v>
      </c>
      <c r="K391">
        <v>0.69</v>
      </c>
      <c r="L391">
        <v>0.51</v>
      </c>
      <c r="M391">
        <v>0.13500000000000001</v>
      </c>
      <c r="N391" s="21">
        <v>3.761352657004831</v>
      </c>
      <c r="O391" s="21">
        <v>2.3049919484702097</v>
      </c>
      <c r="P391" s="21">
        <v>3.761352657004831</v>
      </c>
      <c r="Q391" s="21" t="s">
        <v>547</v>
      </c>
      <c r="S391" t="s">
        <v>547</v>
      </c>
    </row>
    <row r="392" spans="1:19" x14ac:dyDescent="0.2">
      <c r="A392">
        <v>391</v>
      </c>
      <c r="B392" t="s">
        <v>164</v>
      </c>
      <c r="C392" t="s">
        <v>352</v>
      </c>
      <c r="D392" t="s">
        <v>8</v>
      </c>
      <c r="E392" t="s">
        <v>9</v>
      </c>
      <c r="F392" t="s">
        <v>12</v>
      </c>
      <c r="G392">
        <v>50</v>
      </c>
      <c r="H392">
        <v>46</v>
      </c>
      <c r="I392">
        <v>5.31</v>
      </c>
      <c r="J392">
        <v>3.06</v>
      </c>
      <c r="K392">
        <v>0.38</v>
      </c>
      <c r="L392">
        <v>0.28399999999999997</v>
      </c>
      <c r="M392">
        <v>7.6999999999999999E-2</v>
      </c>
      <c r="N392" s="21">
        <v>2.541052631578947</v>
      </c>
      <c r="O392" s="21">
        <v>2.9396491228070172</v>
      </c>
      <c r="P392" s="21" t="s">
        <v>547</v>
      </c>
      <c r="Q392" s="21">
        <v>2.541052631578947</v>
      </c>
      <c r="S392" t="s">
        <v>547</v>
      </c>
    </row>
    <row r="393" spans="1:19" x14ac:dyDescent="0.2">
      <c r="A393">
        <v>392</v>
      </c>
      <c r="B393" t="s">
        <v>164</v>
      </c>
      <c r="C393" t="s">
        <v>352</v>
      </c>
      <c r="D393" t="s">
        <v>8</v>
      </c>
      <c r="E393" t="s">
        <v>9</v>
      </c>
      <c r="F393" t="s">
        <v>14</v>
      </c>
      <c r="G393">
        <v>30</v>
      </c>
      <c r="H393">
        <v>30</v>
      </c>
      <c r="I393">
        <v>3.47</v>
      </c>
      <c r="J393">
        <v>3.08</v>
      </c>
      <c r="K393">
        <v>0.38</v>
      </c>
      <c r="L393">
        <v>0.28399999999999997</v>
      </c>
      <c r="M393">
        <v>7.6999999999999999E-2</v>
      </c>
      <c r="N393" s="21">
        <v>2.5576608187134502</v>
      </c>
      <c r="O393" s="21">
        <v>1.9210136452241713</v>
      </c>
      <c r="P393" s="21" t="s">
        <v>547</v>
      </c>
      <c r="Q393" s="21">
        <v>2.5576608187134502</v>
      </c>
      <c r="S393" t="s">
        <v>547</v>
      </c>
    </row>
    <row r="394" spans="1:19" x14ac:dyDescent="0.2">
      <c r="A394">
        <v>393</v>
      </c>
      <c r="B394" t="s">
        <v>165</v>
      </c>
      <c r="C394" t="s">
        <v>165</v>
      </c>
      <c r="D394" t="s">
        <v>8</v>
      </c>
      <c r="E394" t="s">
        <v>9</v>
      </c>
      <c r="F394" t="s">
        <v>10</v>
      </c>
      <c r="G394">
        <v>30</v>
      </c>
      <c r="H394">
        <v>37</v>
      </c>
      <c r="I394">
        <v>11.25</v>
      </c>
      <c r="J394">
        <v>7.97</v>
      </c>
      <c r="K394">
        <v>1.33</v>
      </c>
      <c r="L394">
        <v>0.82699999999999996</v>
      </c>
      <c r="M394">
        <v>0.17</v>
      </c>
      <c r="N394" s="21">
        <v>5.5064243943191311</v>
      </c>
      <c r="O394" s="21">
        <v>5.1817042606516281</v>
      </c>
      <c r="P394" s="21">
        <v>5.5064243943191311</v>
      </c>
      <c r="Q394" s="21" t="s">
        <v>547</v>
      </c>
      <c r="S394" t="s">
        <v>547</v>
      </c>
    </row>
    <row r="395" spans="1:19" x14ac:dyDescent="0.2">
      <c r="A395">
        <v>394</v>
      </c>
      <c r="B395" t="s">
        <v>165</v>
      </c>
      <c r="C395" t="s">
        <v>165</v>
      </c>
      <c r="D395" t="s">
        <v>8</v>
      </c>
      <c r="E395" t="s">
        <v>9</v>
      </c>
      <c r="F395" t="s">
        <v>11</v>
      </c>
      <c r="G395">
        <v>33</v>
      </c>
      <c r="H395">
        <v>39</v>
      </c>
      <c r="I395">
        <v>14.82</v>
      </c>
      <c r="J395">
        <v>10.51</v>
      </c>
      <c r="K395">
        <v>1.33</v>
      </c>
      <c r="L395">
        <v>0.82699999999999996</v>
      </c>
      <c r="M395">
        <v>0.17</v>
      </c>
      <c r="N395" s="21">
        <v>7.2612949039264825</v>
      </c>
      <c r="O395" s="21">
        <v>6.8260317460317452</v>
      </c>
      <c r="P395" s="21">
        <v>7.2612949039264825</v>
      </c>
      <c r="Q395" s="21" t="s">
        <v>547</v>
      </c>
      <c r="S395" t="s">
        <v>547</v>
      </c>
    </row>
    <row r="396" spans="1:19" x14ac:dyDescent="0.2">
      <c r="A396">
        <v>395</v>
      </c>
      <c r="B396" t="s">
        <v>165</v>
      </c>
      <c r="C396" t="s">
        <v>165</v>
      </c>
      <c r="D396" t="s">
        <v>8</v>
      </c>
      <c r="E396" t="s">
        <v>9</v>
      </c>
      <c r="F396" t="s">
        <v>12</v>
      </c>
      <c r="G396">
        <v>28</v>
      </c>
      <c r="H396">
        <v>27</v>
      </c>
      <c r="I396">
        <v>3.87</v>
      </c>
      <c r="J396">
        <v>4.99</v>
      </c>
      <c r="K396">
        <v>0.88</v>
      </c>
      <c r="L396">
        <v>0.61599999999999999</v>
      </c>
      <c r="M396">
        <v>9.6000000000000002E-2</v>
      </c>
      <c r="N396" s="21">
        <v>3.8811111111111112</v>
      </c>
      <c r="O396" s="21">
        <v>2.0066666666666664</v>
      </c>
      <c r="P396" s="21" t="s">
        <v>547</v>
      </c>
      <c r="Q396" s="21">
        <v>3.8811111111111112</v>
      </c>
      <c r="S396" t="s">
        <v>547</v>
      </c>
    </row>
    <row r="397" spans="1:19" x14ac:dyDescent="0.2">
      <c r="A397">
        <v>396</v>
      </c>
      <c r="B397" t="s">
        <v>165</v>
      </c>
      <c r="C397" t="s">
        <v>165</v>
      </c>
      <c r="D397" t="s">
        <v>8</v>
      </c>
      <c r="E397" t="s">
        <v>9</v>
      </c>
      <c r="F397" t="s">
        <v>14</v>
      </c>
      <c r="G397">
        <v>32</v>
      </c>
      <c r="H397">
        <v>33</v>
      </c>
      <c r="I397">
        <v>10.4</v>
      </c>
      <c r="J397">
        <v>8.84</v>
      </c>
      <c r="K397">
        <v>0.88</v>
      </c>
      <c r="L397">
        <v>0.61599999999999999</v>
      </c>
      <c r="M397">
        <v>9.6000000000000002E-2</v>
      </c>
      <c r="N397" s="21">
        <v>6.8755555555555556</v>
      </c>
      <c r="O397" s="21">
        <v>5.3925925925925924</v>
      </c>
      <c r="P397" s="21" t="s">
        <v>547</v>
      </c>
      <c r="Q397" s="21">
        <v>6.8755555555555556</v>
      </c>
      <c r="S397" t="s">
        <v>547</v>
      </c>
    </row>
    <row r="398" spans="1:19" x14ac:dyDescent="0.2">
      <c r="A398">
        <v>397</v>
      </c>
      <c r="B398" t="s">
        <v>166</v>
      </c>
      <c r="C398" t="s">
        <v>353</v>
      </c>
      <c r="D398" t="s">
        <v>8</v>
      </c>
      <c r="E398" t="s">
        <v>9</v>
      </c>
      <c r="F398" t="s">
        <v>10</v>
      </c>
      <c r="G398">
        <v>43</v>
      </c>
      <c r="H398">
        <v>43</v>
      </c>
      <c r="I398">
        <v>9.77</v>
      </c>
      <c r="J398">
        <v>6.84</v>
      </c>
      <c r="K398">
        <v>0.91</v>
      </c>
      <c r="L398">
        <v>0.58499999999999996</v>
      </c>
      <c r="M398">
        <v>0.13700000000000001</v>
      </c>
      <c r="N398" s="21">
        <v>4.8857142857142852</v>
      </c>
      <c r="O398" s="21">
        <v>4.6523809523809518</v>
      </c>
      <c r="P398" s="21">
        <v>4.8857142857142852</v>
      </c>
      <c r="Q398" s="21" t="s">
        <v>547</v>
      </c>
      <c r="S398" t="s">
        <v>547</v>
      </c>
    </row>
    <row r="399" spans="1:19" x14ac:dyDescent="0.2">
      <c r="A399">
        <v>398</v>
      </c>
      <c r="B399" t="s">
        <v>166</v>
      </c>
      <c r="C399" t="s">
        <v>353</v>
      </c>
      <c r="D399" t="s">
        <v>8</v>
      </c>
      <c r="E399" t="s">
        <v>9</v>
      </c>
      <c r="F399" t="s">
        <v>11</v>
      </c>
      <c r="G399">
        <v>50</v>
      </c>
      <c r="H399">
        <v>51</v>
      </c>
      <c r="I399">
        <v>8.8699999999999992</v>
      </c>
      <c r="J399">
        <v>6.78</v>
      </c>
      <c r="K399">
        <v>0.91</v>
      </c>
      <c r="L399">
        <v>0.58499999999999996</v>
      </c>
      <c r="M399">
        <v>0.13700000000000001</v>
      </c>
      <c r="N399" s="21">
        <v>4.8428571428571434</v>
      </c>
      <c r="O399" s="21">
        <v>4.223809523809523</v>
      </c>
      <c r="P399" s="21">
        <v>4.8428571428571434</v>
      </c>
      <c r="Q399" s="21" t="s">
        <v>547</v>
      </c>
      <c r="S399" t="s">
        <v>547</v>
      </c>
    </row>
    <row r="400" spans="1:19" x14ac:dyDescent="0.2">
      <c r="A400">
        <v>399</v>
      </c>
      <c r="B400" t="s">
        <v>166</v>
      </c>
      <c r="C400" t="s">
        <v>353</v>
      </c>
      <c r="D400" t="s">
        <v>8</v>
      </c>
      <c r="E400" t="s">
        <v>9</v>
      </c>
      <c r="F400" t="s">
        <v>12</v>
      </c>
      <c r="G400">
        <v>40</v>
      </c>
      <c r="H400">
        <v>28</v>
      </c>
      <c r="I400">
        <v>7.49</v>
      </c>
      <c r="J400">
        <v>3.08</v>
      </c>
      <c r="K400">
        <v>0.7</v>
      </c>
      <c r="L400">
        <v>0.42499999999999999</v>
      </c>
      <c r="M400">
        <v>7.5999999999999998E-2</v>
      </c>
      <c r="N400" s="21">
        <v>2.0777777777777784</v>
      </c>
      <c r="O400" s="21">
        <v>3.3685185185185191</v>
      </c>
      <c r="P400" s="21" t="s">
        <v>547</v>
      </c>
      <c r="Q400" s="21">
        <v>2.0777777777777784</v>
      </c>
      <c r="S400" t="s">
        <v>547</v>
      </c>
    </row>
    <row r="401" spans="1:19" x14ac:dyDescent="0.2">
      <c r="A401">
        <v>400</v>
      </c>
      <c r="B401" t="s">
        <v>166</v>
      </c>
      <c r="C401" t="s">
        <v>353</v>
      </c>
      <c r="D401" t="s">
        <v>8</v>
      </c>
      <c r="E401" t="s">
        <v>9</v>
      </c>
      <c r="F401" t="s">
        <v>14</v>
      </c>
      <c r="G401">
        <v>26</v>
      </c>
      <c r="H401">
        <v>26</v>
      </c>
      <c r="I401">
        <v>4.62</v>
      </c>
      <c r="J401">
        <v>2.48</v>
      </c>
      <c r="K401">
        <v>0.7</v>
      </c>
      <c r="L401">
        <v>0.42499999999999999</v>
      </c>
      <c r="M401">
        <v>7.5999999999999998E-2</v>
      </c>
      <c r="N401" s="21">
        <v>1.6730158730158731</v>
      </c>
      <c r="O401" s="21">
        <v>2.0777777777777784</v>
      </c>
      <c r="P401" s="21" t="s">
        <v>547</v>
      </c>
      <c r="Q401" s="21">
        <v>1.6730158730158731</v>
      </c>
      <c r="S401" t="s">
        <v>547</v>
      </c>
    </row>
    <row r="402" spans="1:19" x14ac:dyDescent="0.2">
      <c r="A402">
        <v>401</v>
      </c>
      <c r="B402" t="s">
        <v>167</v>
      </c>
      <c r="C402" t="s">
        <v>167</v>
      </c>
      <c r="D402" t="s">
        <v>8</v>
      </c>
      <c r="E402" t="s">
        <v>9</v>
      </c>
      <c r="F402" t="s">
        <v>10</v>
      </c>
      <c r="G402">
        <v>38</v>
      </c>
      <c r="H402">
        <v>35</v>
      </c>
      <c r="I402">
        <v>8.19</v>
      </c>
      <c r="J402">
        <v>6.69</v>
      </c>
      <c r="K402">
        <v>0.88</v>
      </c>
      <c r="L402">
        <v>0.56499999999999995</v>
      </c>
      <c r="M402">
        <v>0.1</v>
      </c>
      <c r="N402" s="21">
        <v>4.7725378787878787</v>
      </c>
      <c r="O402" s="21">
        <v>3.8950757575757571</v>
      </c>
      <c r="P402" s="21">
        <v>4.7725378787878787</v>
      </c>
      <c r="Q402" s="21" t="s">
        <v>547</v>
      </c>
      <c r="S402" t="s">
        <v>547</v>
      </c>
    </row>
    <row r="403" spans="1:19" x14ac:dyDescent="0.2">
      <c r="A403">
        <v>402</v>
      </c>
      <c r="B403" t="s">
        <v>167</v>
      </c>
      <c r="C403" t="s">
        <v>167</v>
      </c>
      <c r="D403" t="s">
        <v>8</v>
      </c>
      <c r="E403" t="s">
        <v>9</v>
      </c>
      <c r="F403" t="s">
        <v>11</v>
      </c>
      <c r="G403">
        <v>31</v>
      </c>
      <c r="H403">
        <v>30</v>
      </c>
      <c r="I403">
        <v>6.41</v>
      </c>
      <c r="J403">
        <v>7.83</v>
      </c>
      <c r="K403">
        <v>0.88</v>
      </c>
      <c r="L403">
        <v>0.56499999999999995</v>
      </c>
      <c r="M403">
        <v>0.1</v>
      </c>
      <c r="N403" s="21">
        <v>5.5857954545454538</v>
      </c>
      <c r="O403" s="21">
        <v>3.0485269360269363</v>
      </c>
      <c r="P403" s="21">
        <v>5.5857954545454538</v>
      </c>
      <c r="Q403" s="21" t="s">
        <v>547</v>
      </c>
      <c r="S403" t="s">
        <v>547</v>
      </c>
    </row>
    <row r="404" spans="1:19" x14ac:dyDescent="0.2">
      <c r="A404">
        <v>403</v>
      </c>
      <c r="B404" t="s">
        <v>167</v>
      </c>
      <c r="C404" t="s">
        <v>167</v>
      </c>
      <c r="D404" t="s">
        <v>8</v>
      </c>
      <c r="E404" t="s">
        <v>9</v>
      </c>
      <c r="F404" t="s">
        <v>12</v>
      </c>
      <c r="G404">
        <v>39</v>
      </c>
      <c r="H404">
        <v>34</v>
      </c>
      <c r="I404">
        <v>2.96</v>
      </c>
      <c r="J404">
        <v>4.41</v>
      </c>
      <c r="K404">
        <v>0.61</v>
      </c>
      <c r="L404">
        <v>0.34200000000000003</v>
      </c>
      <c r="M404">
        <v>6.8000000000000005E-2</v>
      </c>
      <c r="N404" s="21">
        <v>2.7472131147540986</v>
      </c>
      <c r="O404" s="21">
        <v>1.229289617486339</v>
      </c>
      <c r="P404" s="21" t="s">
        <v>547</v>
      </c>
      <c r="Q404" s="21">
        <v>2.7472131147540986</v>
      </c>
      <c r="S404" t="s">
        <v>547</v>
      </c>
    </row>
    <row r="405" spans="1:19" x14ac:dyDescent="0.2">
      <c r="A405">
        <v>404</v>
      </c>
      <c r="B405" t="s">
        <v>167</v>
      </c>
      <c r="C405" t="s">
        <v>167</v>
      </c>
      <c r="D405" t="s">
        <v>8</v>
      </c>
      <c r="E405" t="s">
        <v>9</v>
      </c>
      <c r="F405" t="s">
        <v>14</v>
      </c>
      <c r="G405">
        <v>28</v>
      </c>
      <c r="H405">
        <v>15</v>
      </c>
      <c r="I405">
        <v>2.73</v>
      </c>
      <c r="J405">
        <v>3.19</v>
      </c>
      <c r="K405">
        <v>0.61</v>
      </c>
      <c r="L405">
        <v>0.34200000000000003</v>
      </c>
      <c r="M405">
        <v>6.8000000000000005E-2</v>
      </c>
      <c r="N405" s="21">
        <v>1.9872131147540983</v>
      </c>
      <c r="O405" s="21">
        <v>1.1337704918032787</v>
      </c>
      <c r="P405" s="21" t="s">
        <v>547</v>
      </c>
      <c r="Q405" s="21">
        <v>1.9872131147540983</v>
      </c>
      <c r="S405" t="s">
        <v>547</v>
      </c>
    </row>
    <row r="406" spans="1:19" x14ac:dyDescent="0.2">
      <c r="A406">
        <v>405</v>
      </c>
      <c r="B406" t="s">
        <v>168</v>
      </c>
      <c r="C406" t="s">
        <v>168</v>
      </c>
      <c r="D406" t="s">
        <v>8</v>
      </c>
      <c r="E406" t="s">
        <v>9</v>
      </c>
      <c r="F406" t="s">
        <v>10</v>
      </c>
      <c r="G406">
        <v>24</v>
      </c>
      <c r="H406">
        <v>35</v>
      </c>
      <c r="I406">
        <v>10.92</v>
      </c>
      <c r="J406">
        <v>8.7899999999999991</v>
      </c>
      <c r="K406">
        <v>1.22</v>
      </c>
      <c r="L406">
        <v>0.76900000000000002</v>
      </c>
      <c r="M406">
        <v>0.13200000000000001</v>
      </c>
      <c r="N406" s="21">
        <v>6.1562021857923499</v>
      </c>
      <c r="O406" s="21">
        <v>5.0986520947176697</v>
      </c>
      <c r="P406" s="21">
        <v>6.1562021857923499</v>
      </c>
      <c r="Q406" s="21" t="s">
        <v>547</v>
      </c>
      <c r="S406" t="s">
        <v>547</v>
      </c>
    </row>
    <row r="407" spans="1:19" x14ac:dyDescent="0.2">
      <c r="A407">
        <v>406</v>
      </c>
      <c r="B407" t="s">
        <v>168</v>
      </c>
      <c r="C407" t="s">
        <v>168</v>
      </c>
      <c r="D407" t="s">
        <v>8</v>
      </c>
      <c r="E407" t="s">
        <v>9</v>
      </c>
      <c r="F407" t="s">
        <v>11</v>
      </c>
      <c r="G407">
        <v>33</v>
      </c>
      <c r="H407">
        <v>32</v>
      </c>
      <c r="I407">
        <v>9.68</v>
      </c>
      <c r="J407">
        <v>7.7</v>
      </c>
      <c r="K407">
        <v>1.22</v>
      </c>
      <c r="L407">
        <v>0.76900000000000002</v>
      </c>
      <c r="M407">
        <v>0.13200000000000001</v>
      </c>
      <c r="N407" s="21">
        <v>5.3928051001821498</v>
      </c>
      <c r="O407" s="21">
        <v>4.5196842744383732</v>
      </c>
      <c r="P407" s="21">
        <v>5.3928051001821498</v>
      </c>
      <c r="Q407" s="21" t="s">
        <v>547</v>
      </c>
      <c r="S407" t="s">
        <v>547</v>
      </c>
    </row>
    <row r="408" spans="1:19" x14ac:dyDescent="0.2">
      <c r="A408">
        <v>407</v>
      </c>
      <c r="B408" t="s">
        <v>168</v>
      </c>
      <c r="C408" t="s">
        <v>168</v>
      </c>
      <c r="D408" t="s">
        <v>8</v>
      </c>
      <c r="E408" t="s">
        <v>9</v>
      </c>
      <c r="F408" t="s">
        <v>12</v>
      </c>
      <c r="G408">
        <v>37</v>
      </c>
      <c r="H408">
        <v>36</v>
      </c>
      <c r="I408">
        <v>6.79</v>
      </c>
      <c r="J408">
        <v>6.95</v>
      </c>
      <c r="K408">
        <v>0.91</v>
      </c>
      <c r="L408">
        <v>0.58799999999999997</v>
      </c>
      <c r="M408">
        <v>0.108</v>
      </c>
      <c r="N408" s="21">
        <v>4.9897435897435898</v>
      </c>
      <c r="O408" s="21">
        <v>3.2499145299145296</v>
      </c>
      <c r="P408" s="21" t="s">
        <v>547</v>
      </c>
      <c r="Q408" s="21">
        <v>4.9897435897435898</v>
      </c>
      <c r="S408" t="s">
        <v>547</v>
      </c>
    </row>
    <row r="409" spans="1:19" x14ac:dyDescent="0.2">
      <c r="A409">
        <v>408</v>
      </c>
      <c r="B409" t="s">
        <v>168</v>
      </c>
      <c r="C409" t="s">
        <v>168</v>
      </c>
      <c r="D409" t="s">
        <v>8</v>
      </c>
      <c r="E409" t="s">
        <v>9</v>
      </c>
      <c r="F409" t="s">
        <v>14</v>
      </c>
      <c r="G409">
        <v>37</v>
      </c>
      <c r="H409">
        <v>38</v>
      </c>
      <c r="I409">
        <v>7.49</v>
      </c>
      <c r="J409">
        <v>6.59</v>
      </c>
      <c r="K409">
        <v>0.91</v>
      </c>
      <c r="L409">
        <v>0.58799999999999997</v>
      </c>
      <c r="M409">
        <v>0.108</v>
      </c>
      <c r="N409" s="21">
        <v>4.7312820512820508</v>
      </c>
      <c r="O409" s="21">
        <v>3.5849572649572652</v>
      </c>
      <c r="P409" s="21" t="s">
        <v>547</v>
      </c>
      <c r="Q409" s="21">
        <v>4.7312820512820508</v>
      </c>
      <c r="S409" t="s">
        <v>547</v>
      </c>
    </row>
    <row r="410" spans="1:19" x14ac:dyDescent="0.2">
      <c r="A410">
        <v>409</v>
      </c>
      <c r="B410" t="s">
        <v>169</v>
      </c>
      <c r="C410" t="s">
        <v>354</v>
      </c>
      <c r="D410" t="s">
        <v>8</v>
      </c>
      <c r="E410" t="s">
        <v>9</v>
      </c>
      <c r="F410" t="s">
        <v>10</v>
      </c>
      <c r="G410">
        <v>46</v>
      </c>
      <c r="H410">
        <v>45</v>
      </c>
      <c r="I410">
        <v>11.12</v>
      </c>
      <c r="J410">
        <v>8.65</v>
      </c>
      <c r="K410">
        <v>1.05</v>
      </c>
      <c r="L410">
        <v>0.73699999999999999</v>
      </c>
      <c r="M410">
        <v>0.155</v>
      </c>
      <c r="N410" s="21">
        <v>6.7460846560846557</v>
      </c>
      <c r="O410" s="21">
        <v>5.7816155202821866</v>
      </c>
      <c r="P410" s="21">
        <v>6.7460846560846557</v>
      </c>
      <c r="Q410" s="21" t="s">
        <v>547</v>
      </c>
      <c r="S410" t="s">
        <v>547</v>
      </c>
    </row>
    <row r="411" spans="1:19" x14ac:dyDescent="0.2">
      <c r="A411">
        <v>410</v>
      </c>
      <c r="B411" t="s">
        <v>169</v>
      </c>
      <c r="C411" t="s">
        <v>354</v>
      </c>
      <c r="D411" t="s">
        <v>8</v>
      </c>
      <c r="E411" t="s">
        <v>9</v>
      </c>
      <c r="F411" t="s">
        <v>11</v>
      </c>
      <c r="G411">
        <v>48</v>
      </c>
      <c r="H411">
        <v>47</v>
      </c>
      <c r="I411">
        <v>11.75</v>
      </c>
      <c r="J411">
        <v>9.25</v>
      </c>
      <c r="K411">
        <v>1.05</v>
      </c>
      <c r="L411">
        <v>0.73699999999999999</v>
      </c>
      <c r="M411">
        <v>0.155</v>
      </c>
      <c r="N411" s="21">
        <v>7.2140211640211636</v>
      </c>
      <c r="O411" s="21">
        <v>6.1091710758377422</v>
      </c>
      <c r="P411" s="21">
        <v>7.2140211640211636</v>
      </c>
      <c r="Q411" s="21" t="s">
        <v>547</v>
      </c>
      <c r="S411" t="s">
        <v>547</v>
      </c>
    </row>
    <row r="412" spans="1:19" x14ac:dyDescent="0.2">
      <c r="A412">
        <v>411</v>
      </c>
      <c r="B412" t="s">
        <v>169</v>
      </c>
      <c r="C412" t="s">
        <v>354</v>
      </c>
      <c r="D412" t="s">
        <v>8</v>
      </c>
      <c r="E412" t="s">
        <v>9</v>
      </c>
      <c r="F412" t="s">
        <v>12</v>
      </c>
      <c r="G412">
        <v>39</v>
      </c>
      <c r="H412">
        <v>36</v>
      </c>
      <c r="I412">
        <v>4.8499999999999996</v>
      </c>
      <c r="J412">
        <v>6.02</v>
      </c>
      <c r="K412">
        <v>0.7</v>
      </c>
      <c r="L412">
        <v>0.56299999999999994</v>
      </c>
      <c r="M412">
        <v>7.9000000000000001E-2</v>
      </c>
      <c r="N412" s="21">
        <v>5.3797777777777771</v>
      </c>
      <c r="O412" s="21">
        <v>2.8894708994708997</v>
      </c>
      <c r="P412" s="21" t="s">
        <v>547</v>
      </c>
      <c r="Q412" s="21">
        <v>5.3797777777777771</v>
      </c>
      <c r="S412" t="s">
        <v>547</v>
      </c>
    </row>
    <row r="413" spans="1:19" x14ac:dyDescent="0.2">
      <c r="A413">
        <v>412</v>
      </c>
      <c r="B413" t="s">
        <v>169</v>
      </c>
      <c r="C413" t="s">
        <v>354</v>
      </c>
      <c r="D413" t="s">
        <v>8</v>
      </c>
      <c r="E413" t="s">
        <v>9</v>
      </c>
      <c r="F413" t="s">
        <v>14</v>
      </c>
      <c r="K413">
        <v>0.7</v>
      </c>
      <c r="N413" s="21"/>
      <c r="O413" s="21"/>
      <c r="P413" s="21" t="s">
        <v>547</v>
      </c>
      <c r="Q413" s="21">
        <v>0</v>
      </c>
      <c r="S413" t="s">
        <v>547</v>
      </c>
    </row>
    <row r="414" spans="1:19" x14ac:dyDescent="0.2">
      <c r="A414">
        <v>413</v>
      </c>
      <c r="B414" t="s">
        <v>170</v>
      </c>
      <c r="D414" t="s">
        <v>53</v>
      </c>
      <c r="F414" t="s">
        <v>10</v>
      </c>
      <c r="L414">
        <v>0.50600000000000001</v>
      </c>
      <c r="M414">
        <v>0.13600000000000001</v>
      </c>
      <c r="N414" s="21" t="e">
        <v>#DIV/0!</v>
      </c>
      <c r="O414" s="21" t="e">
        <v>#DIV/0!</v>
      </c>
      <c r="P414" s="21" t="e">
        <v>#DIV/0!</v>
      </c>
      <c r="Q414" s="21" t="s">
        <v>547</v>
      </c>
      <c r="S414" t="e">
        <v>#DIV/0!</v>
      </c>
    </row>
    <row r="415" spans="1:19" x14ac:dyDescent="0.2">
      <c r="A415">
        <v>414</v>
      </c>
      <c r="B415" t="s">
        <v>171</v>
      </c>
      <c r="C415" t="s">
        <v>355</v>
      </c>
      <c r="D415" t="s">
        <v>5</v>
      </c>
      <c r="E415" t="s">
        <v>9</v>
      </c>
      <c r="F415" t="s">
        <v>10</v>
      </c>
      <c r="G415">
        <v>45</v>
      </c>
      <c r="H415">
        <v>46</v>
      </c>
      <c r="I415">
        <v>19.809999999999999</v>
      </c>
      <c r="J415">
        <v>11.74</v>
      </c>
      <c r="K415">
        <v>1.42</v>
      </c>
      <c r="L415">
        <v>0.70799999999999996</v>
      </c>
      <c r="M415">
        <v>0.14499999999999999</v>
      </c>
      <c r="N415" s="21">
        <v>6.5038497652582166</v>
      </c>
      <c r="O415" s="21">
        <v>7.3163693270735521</v>
      </c>
      <c r="P415" s="21">
        <v>6.5038497652582166</v>
      </c>
      <c r="Q415" s="21" t="s">
        <v>547</v>
      </c>
      <c r="S415" t="s">
        <v>547</v>
      </c>
    </row>
    <row r="416" spans="1:19" x14ac:dyDescent="0.2">
      <c r="A416">
        <v>415</v>
      </c>
      <c r="B416" t="s">
        <v>171</v>
      </c>
      <c r="C416" t="s">
        <v>355</v>
      </c>
      <c r="D416" t="s">
        <v>5</v>
      </c>
      <c r="E416" t="s">
        <v>9</v>
      </c>
      <c r="F416" t="s">
        <v>11</v>
      </c>
      <c r="G416">
        <v>38</v>
      </c>
      <c r="H416">
        <v>37</v>
      </c>
      <c r="I416">
        <v>14.93</v>
      </c>
      <c r="J416">
        <v>8.41</v>
      </c>
      <c r="K416">
        <v>1.42</v>
      </c>
      <c r="L416">
        <v>0.70799999999999996</v>
      </c>
      <c r="M416">
        <v>0.14499999999999999</v>
      </c>
      <c r="N416" s="21">
        <v>4.6590610328638498</v>
      </c>
      <c r="O416" s="21">
        <v>5.5140532081377156</v>
      </c>
      <c r="P416" s="21">
        <v>4.6590610328638498</v>
      </c>
      <c r="Q416" s="21" t="s">
        <v>547</v>
      </c>
      <c r="S416" t="s">
        <v>547</v>
      </c>
    </row>
    <row r="417" spans="1:19" x14ac:dyDescent="0.2">
      <c r="A417">
        <v>416</v>
      </c>
      <c r="B417" t="s">
        <v>171</v>
      </c>
      <c r="C417" t="s">
        <v>355</v>
      </c>
      <c r="D417" t="s">
        <v>5</v>
      </c>
      <c r="E417" t="s">
        <v>9</v>
      </c>
      <c r="F417" t="s">
        <v>12</v>
      </c>
      <c r="G417">
        <v>66</v>
      </c>
      <c r="H417">
        <v>64</v>
      </c>
      <c r="I417">
        <v>13.09</v>
      </c>
      <c r="J417">
        <v>8.1199999999999992</v>
      </c>
      <c r="K417">
        <v>0.8</v>
      </c>
      <c r="L417">
        <v>0.34599999999999997</v>
      </c>
      <c r="M417">
        <v>0.10199999999999999</v>
      </c>
      <c r="N417" s="21">
        <v>3.9021111111111106</v>
      </c>
      <c r="O417" s="21">
        <v>4.1936481481481476</v>
      </c>
      <c r="P417" s="21" t="s">
        <v>547</v>
      </c>
      <c r="Q417" s="21">
        <v>3.9021111111111106</v>
      </c>
      <c r="S417" t="s">
        <v>547</v>
      </c>
    </row>
    <row r="418" spans="1:19" x14ac:dyDescent="0.2">
      <c r="A418">
        <v>417</v>
      </c>
      <c r="B418" t="s">
        <v>171</v>
      </c>
      <c r="C418" t="s">
        <v>355</v>
      </c>
      <c r="D418" t="s">
        <v>5</v>
      </c>
      <c r="E418" t="s">
        <v>9</v>
      </c>
      <c r="F418" t="s">
        <v>14</v>
      </c>
      <c r="G418">
        <v>64</v>
      </c>
      <c r="H418">
        <v>59</v>
      </c>
      <c r="I418">
        <v>11.28</v>
      </c>
      <c r="J418">
        <v>6.85</v>
      </c>
      <c r="K418">
        <v>0.8</v>
      </c>
      <c r="L418">
        <v>0.34599999999999997</v>
      </c>
      <c r="M418">
        <v>0.10199999999999999</v>
      </c>
      <c r="N418" s="21">
        <v>3.2918055555555554</v>
      </c>
      <c r="O418" s="21">
        <v>3.6137777777777771</v>
      </c>
      <c r="P418" s="21" t="s">
        <v>547</v>
      </c>
      <c r="Q418" s="21">
        <v>3.2918055555555554</v>
      </c>
      <c r="S418" t="s">
        <v>547</v>
      </c>
    </row>
    <row r="419" spans="1:19" x14ac:dyDescent="0.2">
      <c r="A419">
        <v>418</v>
      </c>
      <c r="B419" t="s">
        <v>172</v>
      </c>
      <c r="C419" t="s">
        <v>356</v>
      </c>
      <c r="D419" t="s">
        <v>5</v>
      </c>
      <c r="E419" t="s">
        <v>9</v>
      </c>
      <c r="F419" t="s">
        <v>10</v>
      </c>
      <c r="G419">
        <v>45</v>
      </c>
      <c r="H419">
        <v>44</v>
      </c>
      <c r="I419">
        <v>7.39</v>
      </c>
      <c r="J419">
        <v>7.5</v>
      </c>
      <c r="K419">
        <v>0.76</v>
      </c>
      <c r="L419">
        <v>0.40500000000000003</v>
      </c>
      <c r="M419">
        <v>0.108</v>
      </c>
      <c r="N419" s="21">
        <v>4.4407894736842115</v>
      </c>
      <c r="O419" s="21">
        <v>2.9171052631578949</v>
      </c>
      <c r="P419" s="21">
        <v>4.4407894736842115</v>
      </c>
      <c r="Q419" s="21" t="s">
        <v>547</v>
      </c>
      <c r="S419" t="s">
        <v>547</v>
      </c>
    </row>
    <row r="420" spans="1:19" x14ac:dyDescent="0.2">
      <c r="A420">
        <v>419</v>
      </c>
      <c r="B420" t="s">
        <v>172</v>
      </c>
      <c r="C420" t="s">
        <v>356</v>
      </c>
      <c r="D420" t="s">
        <v>5</v>
      </c>
      <c r="E420" t="s">
        <v>9</v>
      </c>
      <c r="F420" t="s">
        <v>11</v>
      </c>
      <c r="G420">
        <v>37</v>
      </c>
      <c r="H420">
        <v>40</v>
      </c>
      <c r="I420">
        <v>17</v>
      </c>
      <c r="J420">
        <v>7.04</v>
      </c>
      <c r="K420">
        <v>0.76</v>
      </c>
      <c r="L420">
        <v>0.40500000000000003</v>
      </c>
      <c r="M420">
        <v>0.108</v>
      </c>
      <c r="N420" s="21">
        <v>4.1684210526315795</v>
      </c>
      <c r="O420" s="21">
        <v>6.7105263157894743</v>
      </c>
      <c r="P420" s="21">
        <v>4.1684210526315795</v>
      </c>
      <c r="Q420" s="21" t="s">
        <v>547</v>
      </c>
      <c r="S420" t="s">
        <v>547</v>
      </c>
    </row>
    <row r="421" spans="1:19" x14ac:dyDescent="0.2">
      <c r="A421">
        <v>420</v>
      </c>
      <c r="B421" t="s">
        <v>172</v>
      </c>
      <c r="C421" t="s">
        <v>356</v>
      </c>
      <c r="D421" t="s">
        <v>5</v>
      </c>
      <c r="E421" t="s">
        <v>9</v>
      </c>
      <c r="F421" t="s">
        <v>12</v>
      </c>
      <c r="G421">
        <v>41</v>
      </c>
      <c r="H421">
        <v>37</v>
      </c>
      <c r="I421">
        <v>5.83</v>
      </c>
      <c r="J421">
        <v>5.56</v>
      </c>
      <c r="K421">
        <v>0.8</v>
      </c>
      <c r="L421">
        <v>0.42399999999999999</v>
      </c>
      <c r="N421" s="21">
        <v>3.2742222222222215</v>
      </c>
      <c r="O421" s="21">
        <v>2.2888148148148146</v>
      </c>
      <c r="P421" s="21" t="s">
        <v>547</v>
      </c>
      <c r="Q421" s="21">
        <v>3.2742222222222215</v>
      </c>
      <c r="S421" t="s">
        <v>547</v>
      </c>
    </row>
    <row r="422" spans="1:19" x14ac:dyDescent="0.2">
      <c r="A422">
        <v>421</v>
      </c>
      <c r="B422" t="s">
        <v>172</v>
      </c>
      <c r="C422" t="s">
        <v>356</v>
      </c>
      <c r="D422" t="s">
        <v>5</v>
      </c>
      <c r="E422" t="s">
        <v>9</v>
      </c>
      <c r="F422" t="s">
        <v>14</v>
      </c>
      <c r="G422">
        <v>37</v>
      </c>
      <c r="H422">
        <v>35</v>
      </c>
      <c r="I422">
        <v>5.6</v>
      </c>
      <c r="J422">
        <v>4.9000000000000004</v>
      </c>
      <c r="K422">
        <v>0.8</v>
      </c>
      <c r="L422">
        <v>0.42399999999999999</v>
      </c>
      <c r="N422" s="21">
        <v>2.8855555555555559</v>
      </c>
      <c r="O422" s="21">
        <v>2.1985185185185179</v>
      </c>
      <c r="P422" s="21" t="s">
        <v>547</v>
      </c>
      <c r="Q422" s="21">
        <v>2.8855555555555559</v>
      </c>
      <c r="S422" t="s">
        <v>547</v>
      </c>
    </row>
    <row r="423" spans="1:19" x14ac:dyDescent="0.2">
      <c r="A423">
        <v>422</v>
      </c>
      <c r="B423" t="s">
        <v>173</v>
      </c>
      <c r="C423" t="s">
        <v>173</v>
      </c>
      <c r="D423" t="s">
        <v>5</v>
      </c>
      <c r="E423" t="s">
        <v>9</v>
      </c>
      <c r="F423" t="s">
        <v>10</v>
      </c>
      <c r="G423">
        <v>44</v>
      </c>
      <c r="H423">
        <v>44</v>
      </c>
      <c r="I423">
        <v>5.53</v>
      </c>
      <c r="J423">
        <v>4.47</v>
      </c>
      <c r="K423">
        <v>0.91</v>
      </c>
      <c r="L423">
        <v>0.34699999999999998</v>
      </c>
      <c r="M423">
        <v>0.1</v>
      </c>
      <c r="N423" s="21">
        <v>1.8938827838827839</v>
      </c>
      <c r="O423" s="21">
        <v>1.5619943019943021</v>
      </c>
      <c r="P423" s="21">
        <v>1.8938827838827839</v>
      </c>
      <c r="Q423" s="21" t="s">
        <v>547</v>
      </c>
      <c r="S423" t="s">
        <v>547</v>
      </c>
    </row>
    <row r="424" spans="1:19" x14ac:dyDescent="0.2">
      <c r="A424">
        <v>423</v>
      </c>
      <c r="B424" t="s">
        <v>173</v>
      </c>
      <c r="C424" t="s">
        <v>173</v>
      </c>
      <c r="D424" t="s">
        <v>5</v>
      </c>
      <c r="E424" t="s">
        <v>9</v>
      </c>
      <c r="F424" t="s">
        <v>11</v>
      </c>
      <c r="G424">
        <v>46</v>
      </c>
      <c r="H424">
        <v>43</v>
      </c>
      <c r="I424">
        <v>4.87</v>
      </c>
      <c r="J424">
        <v>5.47</v>
      </c>
      <c r="K424">
        <v>0.91</v>
      </c>
      <c r="L424">
        <v>0.34699999999999998</v>
      </c>
      <c r="M424">
        <v>0.1</v>
      </c>
      <c r="N424" s="21">
        <v>2.3175702075702076</v>
      </c>
      <c r="O424" s="21">
        <v>1.3755718355718356</v>
      </c>
      <c r="P424" s="21">
        <v>2.3175702075702076</v>
      </c>
      <c r="Q424" s="21" t="s">
        <v>547</v>
      </c>
      <c r="S424" t="s">
        <v>547</v>
      </c>
    </row>
    <row r="425" spans="1:19" x14ac:dyDescent="0.2">
      <c r="A425">
        <v>424</v>
      </c>
      <c r="B425" t="s">
        <v>173</v>
      </c>
      <c r="C425" t="s">
        <v>173</v>
      </c>
      <c r="D425" t="s">
        <v>5</v>
      </c>
      <c r="E425" t="s">
        <v>9</v>
      </c>
      <c r="F425" t="s">
        <v>12</v>
      </c>
      <c r="G425">
        <v>44</v>
      </c>
      <c r="H425">
        <v>37</v>
      </c>
      <c r="I425">
        <v>5.64</v>
      </c>
      <c r="J425">
        <v>4.74</v>
      </c>
      <c r="K425">
        <v>0.97</v>
      </c>
      <c r="L425">
        <v>0.63100000000000001</v>
      </c>
      <c r="M425">
        <v>0.152</v>
      </c>
      <c r="N425" s="21">
        <v>3.4260481099656364</v>
      </c>
      <c r="O425" s="21">
        <v>2.7177090492554408</v>
      </c>
      <c r="P425" s="21" t="s">
        <v>547</v>
      </c>
      <c r="Q425" s="21">
        <v>3.4260481099656364</v>
      </c>
      <c r="S425" t="s">
        <v>547</v>
      </c>
    </row>
    <row r="426" spans="1:19" x14ac:dyDescent="0.2">
      <c r="A426">
        <v>425</v>
      </c>
      <c r="B426" t="s">
        <v>173</v>
      </c>
      <c r="C426" t="s">
        <v>173</v>
      </c>
      <c r="D426" t="s">
        <v>5</v>
      </c>
      <c r="E426" t="s">
        <v>9</v>
      </c>
      <c r="F426" t="s">
        <v>14</v>
      </c>
      <c r="G426">
        <v>43</v>
      </c>
      <c r="H426">
        <v>36</v>
      </c>
      <c r="I426">
        <v>4.43</v>
      </c>
      <c r="J426">
        <v>4.8</v>
      </c>
      <c r="K426">
        <v>0.97</v>
      </c>
      <c r="L426">
        <v>0.63100000000000001</v>
      </c>
      <c r="M426">
        <v>0.152</v>
      </c>
      <c r="N426" s="21">
        <v>3.469415807560138</v>
      </c>
      <c r="O426" s="21">
        <v>2.1346544482626957</v>
      </c>
      <c r="P426" s="21" t="s">
        <v>547</v>
      </c>
      <c r="Q426" s="21">
        <v>3.469415807560138</v>
      </c>
      <c r="S426" t="s">
        <v>547</v>
      </c>
    </row>
    <row r="427" spans="1:19" x14ac:dyDescent="0.2">
      <c r="A427">
        <v>426</v>
      </c>
      <c r="B427" t="s">
        <v>174</v>
      </c>
      <c r="C427" t="s">
        <v>174</v>
      </c>
      <c r="D427" t="s">
        <v>5</v>
      </c>
      <c r="E427" t="s">
        <v>9</v>
      </c>
      <c r="F427" t="s">
        <v>10</v>
      </c>
      <c r="G427">
        <v>42</v>
      </c>
      <c r="H427">
        <v>40</v>
      </c>
      <c r="I427">
        <v>8.5299999999999994</v>
      </c>
      <c r="J427">
        <v>8.6199999999999992</v>
      </c>
      <c r="K427">
        <v>0.8</v>
      </c>
      <c r="L427">
        <v>0.56000000000000005</v>
      </c>
      <c r="M427">
        <v>0.11899999999999999</v>
      </c>
      <c r="N427" s="21">
        <v>6.7044444444444444</v>
      </c>
      <c r="O427" s="21">
        <v>4.4229629629629628</v>
      </c>
      <c r="P427" s="21">
        <v>6.7044444444444444</v>
      </c>
      <c r="Q427" s="21" t="s">
        <v>547</v>
      </c>
      <c r="S427" t="s">
        <v>547</v>
      </c>
    </row>
    <row r="428" spans="1:19" x14ac:dyDescent="0.2">
      <c r="A428">
        <v>427</v>
      </c>
      <c r="B428" t="s">
        <v>174</v>
      </c>
      <c r="C428" t="s">
        <v>174</v>
      </c>
      <c r="D428" t="s">
        <v>5</v>
      </c>
      <c r="E428" t="s">
        <v>9</v>
      </c>
      <c r="F428" t="s">
        <v>11</v>
      </c>
      <c r="G428">
        <v>35</v>
      </c>
      <c r="H428">
        <v>34</v>
      </c>
      <c r="I428">
        <v>5.18</v>
      </c>
      <c r="J428">
        <v>5.8</v>
      </c>
      <c r="K428">
        <v>0.8</v>
      </c>
      <c r="L428">
        <v>0.56000000000000005</v>
      </c>
      <c r="M428">
        <v>0.11899999999999999</v>
      </c>
      <c r="N428" s="21">
        <v>4.511111111111112</v>
      </c>
      <c r="O428" s="21">
        <v>2.6859259259259258</v>
      </c>
      <c r="P428" s="21">
        <v>4.511111111111112</v>
      </c>
      <c r="Q428" s="21" t="s">
        <v>547</v>
      </c>
      <c r="S428" t="s">
        <v>547</v>
      </c>
    </row>
    <row r="429" spans="1:19" x14ac:dyDescent="0.2">
      <c r="A429">
        <v>428</v>
      </c>
      <c r="B429" t="s">
        <v>174</v>
      </c>
      <c r="C429" t="s">
        <v>174</v>
      </c>
      <c r="D429" t="s">
        <v>5</v>
      </c>
      <c r="E429" t="s">
        <v>9</v>
      </c>
      <c r="F429" t="s">
        <v>12</v>
      </c>
      <c r="G429">
        <v>32</v>
      </c>
      <c r="H429">
        <v>28</v>
      </c>
      <c r="I429">
        <v>5.3</v>
      </c>
      <c r="J429">
        <v>4.9000000000000004</v>
      </c>
      <c r="K429">
        <v>0.81</v>
      </c>
      <c r="L429">
        <v>0.61799999999999999</v>
      </c>
      <c r="M429">
        <v>0.11600000000000001</v>
      </c>
      <c r="N429" s="21">
        <v>4.1539094650205763</v>
      </c>
      <c r="O429" s="21">
        <v>2.9953360768175581</v>
      </c>
      <c r="P429" s="21" t="s">
        <v>547</v>
      </c>
      <c r="Q429" s="21">
        <v>4.1539094650205763</v>
      </c>
      <c r="S429" t="s">
        <v>547</v>
      </c>
    </row>
    <row r="430" spans="1:19" x14ac:dyDescent="0.2">
      <c r="A430">
        <v>429</v>
      </c>
      <c r="B430" t="s">
        <v>174</v>
      </c>
      <c r="C430" t="s">
        <v>174</v>
      </c>
      <c r="D430" t="s">
        <v>5</v>
      </c>
      <c r="E430" t="s">
        <v>9</v>
      </c>
      <c r="F430" t="s">
        <v>14</v>
      </c>
      <c r="G430">
        <v>35</v>
      </c>
      <c r="H430">
        <v>32</v>
      </c>
      <c r="I430">
        <v>5.9</v>
      </c>
      <c r="J430">
        <v>5.42</v>
      </c>
      <c r="K430">
        <v>0.81</v>
      </c>
      <c r="L430">
        <v>0.61799999999999999</v>
      </c>
      <c r="M430">
        <v>0.11600000000000001</v>
      </c>
      <c r="N430" s="21">
        <v>4.5947325102880656</v>
      </c>
      <c r="O430" s="21">
        <v>3.33443072702332</v>
      </c>
      <c r="P430" s="21" t="s">
        <v>547</v>
      </c>
      <c r="Q430" s="21">
        <v>4.5947325102880656</v>
      </c>
      <c r="S430" t="s">
        <v>547</v>
      </c>
    </row>
    <row r="431" spans="1:19" x14ac:dyDescent="0.2">
      <c r="A431">
        <v>430</v>
      </c>
      <c r="B431" t="s">
        <v>175</v>
      </c>
      <c r="C431" t="s">
        <v>175</v>
      </c>
      <c r="D431" t="s">
        <v>5</v>
      </c>
      <c r="E431" t="s">
        <v>9</v>
      </c>
      <c r="F431" t="s">
        <v>10</v>
      </c>
      <c r="G431">
        <v>42</v>
      </c>
      <c r="H431">
        <v>41</v>
      </c>
      <c r="I431">
        <v>7.69</v>
      </c>
      <c r="J431">
        <v>9.11</v>
      </c>
      <c r="K431">
        <v>1.35</v>
      </c>
      <c r="L431">
        <v>0.92</v>
      </c>
      <c r="M431">
        <v>0.18</v>
      </c>
      <c r="N431" s="21">
        <v>6.8981069958847732</v>
      </c>
      <c r="O431" s="21">
        <v>3.8819204389574757</v>
      </c>
      <c r="P431" s="21">
        <v>6.8981069958847732</v>
      </c>
      <c r="Q431" s="21" t="s">
        <v>547</v>
      </c>
      <c r="S431" t="s">
        <v>547</v>
      </c>
    </row>
    <row r="432" spans="1:19" x14ac:dyDescent="0.2">
      <c r="A432">
        <v>431</v>
      </c>
      <c r="B432" t="s">
        <v>175</v>
      </c>
      <c r="C432" t="s">
        <v>175</v>
      </c>
      <c r="D432" t="s">
        <v>5</v>
      </c>
      <c r="E432" t="s">
        <v>9</v>
      </c>
      <c r="F432" t="s">
        <v>11</v>
      </c>
      <c r="G432">
        <v>43</v>
      </c>
      <c r="H432">
        <v>43</v>
      </c>
      <c r="I432">
        <v>7.36</v>
      </c>
      <c r="J432">
        <v>8.74</v>
      </c>
      <c r="K432">
        <v>1.35</v>
      </c>
      <c r="L432">
        <v>0.92</v>
      </c>
      <c r="M432">
        <v>0.18</v>
      </c>
      <c r="N432" s="21">
        <v>6.6179423868312757</v>
      </c>
      <c r="O432" s="21">
        <v>3.7153360768175583</v>
      </c>
      <c r="P432" s="21">
        <v>6.6179423868312757</v>
      </c>
      <c r="Q432" s="21" t="s">
        <v>547</v>
      </c>
      <c r="S432" t="s">
        <v>547</v>
      </c>
    </row>
    <row r="433" spans="1:19" x14ac:dyDescent="0.2">
      <c r="A433">
        <v>432</v>
      </c>
      <c r="B433" t="s">
        <v>175</v>
      </c>
      <c r="C433" t="s">
        <v>175</v>
      </c>
      <c r="D433" t="s">
        <v>5</v>
      </c>
      <c r="E433" t="s">
        <v>9</v>
      </c>
      <c r="F433" t="s">
        <v>12</v>
      </c>
      <c r="G433">
        <v>34</v>
      </c>
      <c r="H433">
        <v>40</v>
      </c>
      <c r="I433">
        <v>6.35</v>
      </c>
      <c r="J433">
        <v>8.01</v>
      </c>
      <c r="K433">
        <v>1.1200000000000001</v>
      </c>
      <c r="L433">
        <v>0.76600000000000001</v>
      </c>
      <c r="N433" s="21">
        <v>6.0869642857142852</v>
      </c>
      <c r="O433" s="21">
        <v>3.2169973544973542</v>
      </c>
      <c r="P433" s="21" t="s">
        <v>547</v>
      </c>
      <c r="Q433" s="21">
        <v>6.0869642857142852</v>
      </c>
      <c r="S433" t="s">
        <v>547</v>
      </c>
    </row>
    <row r="434" spans="1:19" x14ac:dyDescent="0.2">
      <c r="A434">
        <v>433</v>
      </c>
      <c r="B434" t="s">
        <v>175</v>
      </c>
      <c r="C434" t="s">
        <v>175</v>
      </c>
      <c r="D434" t="s">
        <v>5</v>
      </c>
      <c r="E434" t="s">
        <v>9</v>
      </c>
      <c r="F434" t="s">
        <v>14</v>
      </c>
      <c r="G434">
        <v>37</v>
      </c>
      <c r="H434">
        <v>35</v>
      </c>
      <c r="I434">
        <v>5.64</v>
      </c>
      <c r="J434">
        <v>7.28</v>
      </c>
      <c r="K434">
        <v>1.1200000000000001</v>
      </c>
      <c r="L434">
        <v>0.76600000000000001</v>
      </c>
      <c r="N434" s="21">
        <v>5.5322222222222219</v>
      </c>
      <c r="O434" s="21">
        <v>2.857301587301587</v>
      </c>
      <c r="P434" s="21" t="s">
        <v>547</v>
      </c>
      <c r="Q434" s="21">
        <v>5.5322222222222219</v>
      </c>
      <c r="S434" t="s">
        <v>547</v>
      </c>
    </row>
    <row r="435" spans="1:19" x14ac:dyDescent="0.2">
      <c r="A435">
        <v>434</v>
      </c>
      <c r="B435" t="s">
        <v>176</v>
      </c>
      <c r="C435" t="s">
        <v>357</v>
      </c>
      <c r="D435" t="s">
        <v>5</v>
      </c>
      <c r="E435" t="s">
        <v>9</v>
      </c>
      <c r="F435" t="s">
        <v>10</v>
      </c>
      <c r="G435">
        <v>56</v>
      </c>
      <c r="H435">
        <v>50</v>
      </c>
      <c r="I435">
        <v>11.05</v>
      </c>
      <c r="J435">
        <v>8.84</v>
      </c>
      <c r="K435">
        <v>0.74</v>
      </c>
      <c r="L435">
        <v>0.42899999999999999</v>
      </c>
      <c r="M435">
        <v>0.10299999999999999</v>
      </c>
      <c r="N435" s="21">
        <v>5.6942342342342345</v>
      </c>
      <c r="O435" s="21">
        <v>4.7451951951951958</v>
      </c>
      <c r="P435" s="21">
        <v>5.6942342342342345</v>
      </c>
      <c r="Q435" s="21" t="s">
        <v>547</v>
      </c>
      <c r="S435" t="s">
        <v>547</v>
      </c>
    </row>
    <row r="436" spans="1:19" x14ac:dyDescent="0.2">
      <c r="A436">
        <v>435</v>
      </c>
      <c r="B436" t="s">
        <v>176</v>
      </c>
      <c r="C436" t="s">
        <v>357</v>
      </c>
      <c r="D436" t="s">
        <v>5</v>
      </c>
      <c r="E436" t="s">
        <v>9</v>
      </c>
      <c r="F436" t="s">
        <v>11</v>
      </c>
      <c r="G436">
        <v>38</v>
      </c>
      <c r="H436">
        <v>55</v>
      </c>
      <c r="I436">
        <v>5.13</v>
      </c>
      <c r="J436">
        <v>7.43</v>
      </c>
      <c r="K436">
        <v>0.74</v>
      </c>
      <c r="L436">
        <v>0.42899999999999999</v>
      </c>
      <c r="M436">
        <v>0.10299999999999999</v>
      </c>
      <c r="N436" s="21">
        <v>4.7859909909909915</v>
      </c>
      <c r="O436" s="21">
        <v>2.2029729729729732</v>
      </c>
      <c r="P436" s="21">
        <v>4.7859909909909915</v>
      </c>
      <c r="Q436" s="21" t="s">
        <v>547</v>
      </c>
      <c r="S436" t="s">
        <v>547</v>
      </c>
    </row>
    <row r="437" spans="1:19" x14ac:dyDescent="0.2">
      <c r="A437">
        <v>436</v>
      </c>
      <c r="B437" t="s">
        <v>176</v>
      </c>
      <c r="C437" t="s">
        <v>357</v>
      </c>
      <c r="D437" t="s">
        <v>5</v>
      </c>
      <c r="E437" t="s">
        <v>9</v>
      </c>
      <c r="F437" t="s">
        <v>12</v>
      </c>
      <c r="G437">
        <v>59</v>
      </c>
      <c r="H437">
        <v>63</v>
      </c>
      <c r="I437">
        <v>5.76</v>
      </c>
      <c r="J437">
        <v>8.3699999999999992</v>
      </c>
      <c r="K437">
        <v>0.78</v>
      </c>
      <c r="L437">
        <v>0.55300000000000005</v>
      </c>
      <c r="M437">
        <v>8.5000000000000006E-2</v>
      </c>
      <c r="N437" s="21">
        <v>6.593461538461538</v>
      </c>
      <c r="O437" s="21">
        <v>3.0249572649572651</v>
      </c>
      <c r="P437" s="21" t="s">
        <v>547</v>
      </c>
      <c r="Q437" s="21">
        <v>6.593461538461538</v>
      </c>
      <c r="S437" t="s">
        <v>547</v>
      </c>
    </row>
    <row r="438" spans="1:19" x14ac:dyDescent="0.2">
      <c r="A438">
        <v>437</v>
      </c>
      <c r="B438" t="s">
        <v>176</v>
      </c>
      <c r="C438" t="s">
        <v>357</v>
      </c>
      <c r="D438" t="s">
        <v>5</v>
      </c>
      <c r="E438" t="s">
        <v>9</v>
      </c>
      <c r="F438" t="s">
        <v>14</v>
      </c>
      <c r="G438">
        <v>54</v>
      </c>
      <c r="H438">
        <v>53</v>
      </c>
      <c r="I438">
        <v>4.97</v>
      </c>
      <c r="J438">
        <v>8.9499999999999993</v>
      </c>
      <c r="K438">
        <v>0.78</v>
      </c>
      <c r="L438">
        <v>0.55300000000000005</v>
      </c>
      <c r="M438">
        <v>8.5000000000000006E-2</v>
      </c>
      <c r="N438" s="21">
        <v>7.0503561253561253</v>
      </c>
      <c r="O438" s="21">
        <v>2.6100759734093071</v>
      </c>
      <c r="P438" s="21" t="s">
        <v>547</v>
      </c>
      <c r="Q438" s="21">
        <v>7.0503561253561253</v>
      </c>
      <c r="S438" t="s">
        <v>547</v>
      </c>
    </row>
    <row r="439" spans="1:19" x14ac:dyDescent="0.2">
      <c r="A439">
        <v>438</v>
      </c>
      <c r="B439" t="s">
        <v>177</v>
      </c>
      <c r="C439" t="s">
        <v>358</v>
      </c>
      <c r="D439" t="s">
        <v>5</v>
      </c>
      <c r="E439" t="s">
        <v>9</v>
      </c>
      <c r="F439" t="s">
        <v>10</v>
      </c>
      <c r="G439">
        <v>41</v>
      </c>
      <c r="H439">
        <v>41</v>
      </c>
      <c r="I439">
        <v>4.46</v>
      </c>
      <c r="J439">
        <v>4.42</v>
      </c>
      <c r="K439">
        <v>0.69</v>
      </c>
      <c r="L439">
        <v>0.45600000000000002</v>
      </c>
      <c r="M439">
        <v>9.1999999999999998E-2</v>
      </c>
      <c r="N439" s="21">
        <v>3.2456038647342997</v>
      </c>
      <c r="O439" s="21">
        <v>2.1833172302737522</v>
      </c>
      <c r="P439" s="21">
        <v>3.2456038647342997</v>
      </c>
      <c r="Q439" s="21" t="s">
        <v>547</v>
      </c>
      <c r="S439" t="s">
        <v>547</v>
      </c>
    </row>
    <row r="440" spans="1:19" x14ac:dyDescent="0.2">
      <c r="A440">
        <v>439</v>
      </c>
      <c r="B440" t="s">
        <v>177</v>
      </c>
      <c r="C440" t="s">
        <v>358</v>
      </c>
      <c r="D440" t="s">
        <v>5</v>
      </c>
      <c r="E440" t="s">
        <v>9</v>
      </c>
      <c r="F440" t="s">
        <v>11</v>
      </c>
      <c r="G440">
        <v>27</v>
      </c>
      <c r="H440">
        <v>28</v>
      </c>
      <c r="I440">
        <v>3.76</v>
      </c>
      <c r="J440">
        <v>2.27</v>
      </c>
      <c r="K440">
        <v>0.69</v>
      </c>
      <c r="L440">
        <v>0.45600000000000002</v>
      </c>
      <c r="M440">
        <v>9.1999999999999998E-2</v>
      </c>
      <c r="N440" s="21">
        <v>1.6668599033816427</v>
      </c>
      <c r="O440" s="21">
        <v>1.8406441223832528</v>
      </c>
      <c r="P440" s="21">
        <v>1.6668599033816427</v>
      </c>
      <c r="Q440" s="21" t="s">
        <v>547</v>
      </c>
      <c r="S440" t="s">
        <v>547</v>
      </c>
    </row>
    <row r="441" spans="1:19" x14ac:dyDescent="0.2">
      <c r="A441">
        <v>440</v>
      </c>
      <c r="B441" t="s">
        <v>177</v>
      </c>
      <c r="C441" t="s">
        <v>358</v>
      </c>
      <c r="D441" t="s">
        <v>5</v>
      </c>
      <c r="E441" t="s">
        <v>9</v>
      </c>
      <c r="F441" t="s">
        <v>12</v>
      </c>
      <c r="G441">
        <v>51</v>
      </c>
      <c r="H441">
        <v>47</v>
      </c>
      <c r="I441">
        <v>4.62</v>
      </c>
      <c r="J441">
        <v>2.57</v>
      </c>
      <c r="K441">
        <v>0.65</v>
      </c>
      <c r="L441">
        <v>0.378</v>
      </c>
      <c r="M441">
        <v>8.2000000000000003E-2</v>
      </c>
      <c r="N441" s="21">
        <v>1.6606153846153846</v>
      </c>
      <c r="O441" s="21">
        <v>1.9901538461538464</v>
      </c>
      <c r="P441" s="21" t="s">
        <v>547</v>
      </c>
      <c r="Q441" s="21">
        <v>1.6606153846153846</v>
      </c>
      <c r="S441" t="s">
        <v>547</v>
      </c>
    </row>
    <row r="442" spans="1:19" x14ac:dyDescent="0.2">
      <c r="A442">
        <v>441</v>
      </c>
      <c r="B442" t="s">
        <v>177</v>
      </c>
      <c r="C442" t="s">
        <v>358</v>
      </c>
      <c r="D442" t="s">
        <v>5</v>
      </c>
      <c r="E442" t="s">
        <v>9</v>
      </c>
      <c r="F442" t="s">
        <v>14</v>
      </c>
      <c r="G442">
        <v>45</v>
      </c>
      <c r="H442">
        <v>43</v>
      </c>
      <c r="I442">
        <v>5.91</v>
      </c>
      <c r="J442">
        <v>6.64</v>
      </c>
      <c r="K442">
        <v>0.65</v>
      </c>
      <c r="L442">
        <v>0.378</v>
      </c>
      <c r="M442">
        <v>8.2000000000000003E-2</v>
      </c>
      <c r="N442" s="21">
        <v>4.2904615384615381</v>
      </c>
      <c r="O442" s="21">
        <v>2.5458461538461541</v>
      </c>
      <c r="P442" s="21" t="s">
        <v>547</v>
      </c>
      <c r="Q442" s="21">
        <v>4.2904615384615381</v>
      </c>
      <c r="S442" t="s">
        <v>547</v>
      </c>
    </row>
    <row r="443" spans="1:19" x14ac:dyDescent="0.2">
      <c r="A443">
        <v>442</v>
      </c>
      <c r="B443" t="s">
        <v>178</v>
      </c>
      <c r="C443" t="s">
        <v>178</v>
      </c>
      <c r="D443" t="s">
        <v>5</v>
      </c>
      <c r="E443" t="s">
        <v>9</v>
      </c>
      <c r="F443" t="s">
        <v>10</v>
      </c>
      <c r="G443">
        <v>33</v>
      </c>
      <c r="H443">
        <v>31</v>
      </c>
      <c r="I443">
        <v>5.16</v>
      </c>
      <c r="J443">
        <v>4.2</v>
      </c>
      <c r="K443">
        <v>0.71</v>
      </c>
      <c r="L443">
        <v>0.40600000000000003</v>
      </c>
      <c r="M443">
        <v>0.08</v>
      </c>
      <c r="N443" s="21">
        <v>2.6685446009389673</v>
      </c>
      <c r="O443" s="21">
        <v>2.1856651017214399</v>
      </c>
      <c r="P443" s="21">
        <v>2.6685446009389673</v>
      </c>
      <c r="Q443" s="21" t="s">
        <v>547</v>
      </c>
      <c r="S443" t="s">
        <v>547</v>
      </c>
    </row>
    <row r="444" spans="1:19" x14ac:dyDescent="0.2">
      <c r="A444">
        <v>443</v>
      </c>
      <c r="B444" t="s">
        <v>178</v>
      </c>
      <c r="C444" t="s">
        <v>178</v>
      </c>
      <c r="D444" t="s">
        <v>5</v>
      </c>
      <c r="E444" t="s">
        <v>9</v>
      </c>
      <c r="F444" t="s">
        <v>11</v>
      </c>
      <c r="G444">
        <v>57</v>
      </c>
      <c r="H444">
        <v>56</v>
      </c>
      <c r="I444">
        <v>7.9</v>
      </c>
      <c r="J444">
        <v>7.2</v>
      </c>
      <c r="K444">
        <v>0.71</v>
      </c>
      <c r="L444">
        <v>0.40600000000000003</v>
      </c>
      <c r="M444">
        <v>0.08</v>
      </c>
      <c r="N444" s="21">
        <v>4.5746478873239447</v>
      </c>
      <c r="O444" s="21">
        <v>3.3462702138758482</v>
      </c>
      <c r="P444" s="21">
        <v>4.5746478873239447</v>
      </c>
      <c r="Q444" s="21" t="s">
        <v>547</v>
      </c>
      <c r="S444" t="s">
        <v>547</v>
      </c>
    </row>
    <row r="445" spans="1:19" x14ac:dyDescent="0.2">
      <c r="A445">
        <v>444</v>
      </c>
      <c r="B445" t="s">
        <v>178</v>
      </c>
      <c r="C445" t="s">
        <v>178</v>
      </c>
      <c r="D445" t="s">
        <v>5</v>
      </c>
      <c r="E445" t="s">
        <v>9</v>
      </c>
      <c r="F445" t="s">
        <v>12</v>
      </c>
      <c r="G445">
        <v>43</v>
      </c>
      <c r="H445">
        <v>44</v>
      </c>
      <c r="I445">
        <v>8.6300000000000008</v>
      </c>
      <c r="J445">
        <v>8.6300000000000008</v>
      </c>
      <c r="K445">
        <v>0.96</v>
      </c>
      <c r="L445">
        <v>0.54700000000000004</v>
      </c>
      <c r="N445" s="21">
        <v>5.4636689814814829</v>
      </c>
      <c r="O445" s="21">
        <v>3.6424459876543218</v>
      </c>
      <c r="P445" s="21" t="s">
        <v>547</v>
      </c>
      <c r="Q445" s="21">
        <v>5.4636689814814829</v>
      </c>
      <c r="S445" t="s">
        <v>547</v>
      </c>
    </row>
    <row r="446" spans="1:19" x14ac:dyDescent="0.2">
      <c r="A446">
        <v>445</v>
      </c>
      <c r="B446" t="s">
        <v>178</v>
      </c>
      <c r="C446" t="s">
        <v>178</v>
      </c>
      <c r="D446" t="s">
        <v>5</v>
      </c>
      <c r="E446" t="s">
        <v>9</v>
      </c>
      <c r="F446" t="s">
        <v>14</v>
      </c>
      <c r="G446">
        <v>41</v>
      </c>
      <c r="H446">
        <v>39</v>
      </c>
      <c r="I446">
        <v>8.48</v>
      </c>
      <c r="J446">
        <v>7.96</v>
      </c>
      <c r="K446">
        <v>0.96</v>
      </c>
      <c r="L446">
        <v>0.54700000000000004</v>
      </c>
      <c r="N446" s="21">
        <v>5.0394907407407414</v>
      </c>
      <c r="O446" s="21">
        <v>3.5791358024691369</v>
      </c>
      <c r="P446" s="21" t="s">
        <v>547</v>
      </c>
      <c r="Q446" s="21">
        <v>5.0394907407407414</v>
      </c>
      <c r="S446" t="s">
        <v>547</v>
      </c>
    </row>
    <row r="447" spans="1:19" x14ac:dyDescent="0.2">
      <c r="A447">
        <v>446</v>
      </c>
      <c r="B447" t="s">
        <v>179</v>
      </c>
      <c r="C447" t="s">
        <v>179</v>
      </c>
      <c r="D447" t="s">
        <v>5</v>
      </c>
      <c r="E447" t="s">
        <v>9</v>
      </c>
      <c r="F447" t="s">
        <v>10</v>
      </c>
      <c r="G447">
        <v>27</v>
      </c>
      <c r="H447">
        <v>26</v>
      </c>
      <c r="I447">
        <v>5.0999999999999996</v>
      </c>
      <c r="J447">
        <v>6.28</v>
      </c>
      <c r="K447">
        <v>1.22</v>
      </c>
      <c r="L447">
        <v>0.86</v>
      </c>
      <c r="M447">
        <v>0.113</v>
      </c>
      <c r="N447" s="21">
        <v>4.9187613843351556</v>
      </c>
      <c r="O447" s="21">
        <v>2.6630236794171216</v>
      </c>
      <c r="P447" s="21">
        <v>4.9187613843351556</v>
      </c>
      <c r="Q447" s="21" t="s">
        <v>547</v>
      </c>
      <c r="S447" t="s">
        <v>547</v>
      </c>
    </row>
    <row r="448" spans="1:19" x14ac:dyDescent="0.2">
      <c r="A448">
        <v>447</v>
      </c>
      <c r="B448" t="s">
        <v>179</v>
      </c>
      <c r="C448" t="s">
        <v>179</v>
      </c>
      <c r="D448" t="s">
        <v>5</v>
      </c>
      <c r="E448" t="s">
        <v>9</v>
      </c>
      <c r="F448" t="s">
        <v>11</v>
      </c>
      <c r="G448">
        <v>23</v>
      </c>
      <c r="H448">
        <v>28</v>
      </c>
      <c r="I448">
        <v>5.48</v>
      </c>
      <c r="J448">
        <v>6.5</v>
      </c>
      <c r="K448">
        <v>1.22</v>
      </c>
      <c r="L448">
        <v>0.86</v>
      </c>
      <c r="M448">
        <v>0.113</v>
      </c>
      <c r="N448" s="21">
        <v>5.0910746812386156</v>
      </c>
      <c r="O448" s="21">
        <v>2.8614450516089862</v>
      </c>
      <c r="P448" s="21">
        <v>5.0910746812386156</v>
      </c>
      <c r="Q448" s="21" t="s">
        <v>547</v>
      </c>
      <c r="S448" t="s">
        <v>547</v>
      </c>
    </row>
    <row r="449" spans="1:19" x14ac:dyDescent="0.2">
      <c r="A449">
        <v>448</v>
      </c>
      <c r="B449" t="s">
        <v>179</v>
      </c>
      <c r="C449" t="s">
        <v>179</v>
      </c>
      <c r="D449" t="s">
        <v>5</v>
      </c>
      <c r="E449" t="s">
        <v>9</v>
      </c>
      <c r="F449" t="s">
        <v>12</v>
      </c>
      <c r="G449">
        <v>24</v>
      </c>
      <c r="H449">
        <v>28</v>
      </c>
      <c r="I449">
        <v>2.2599999999999998</v>
      </c>
      <c r="J449">
        <v>2.34</v>
      </c>
      <c r="K449">
        <v>0.64</v>
      </c>
      <c r="L449">
        <v>0.45</v>
      </c>
      <c r="N449" s="21">
        <v>1.828125</v>
      </c>
      <c r="O449" s="21">
        <v>1.1770833333333333</v>
      </c>
      <c r="P449" s="21" t="s">
        <v>547</v>
      </c>
      <c r="Q449" s="21">
        <v>1.828125</v>
      </c>
      <c r="S449" t="s">
        <v>547</v>
      </c>
    </row>
    <row r="450" spans="1:19" x14ac:dyDescent="0.2">
      <c r="A450">
        <v>449</v>
      </c>
      <c r="B450" t="s">
        <v>179</v>
      </c>
      <c r="C450" t="s">
        <v>179</v>
      </c>
      <c r="D450" t="s">
        <v>5</v>
      </c>
      <c r="E450" t="s">
        <v>9</v>
      </c>
      <c r="F450" t="s">
        <v>14</v>
      </c>
      <c r="G450">
        <v>21</v>
      </c>
      <c r="H450">
        <v>23</v>
      </c>
      <c r="I450">
        <v>1.98</v>
      </c>
      <c r="J450">
        <v>2.1</v>
      </c>
      <c r="K450">
        <v>0.64</v>
      </c>
      <c r="L450">
        <v>0.45</v>
      </c>
      <c r="N450" s="21">
        <v>1.640625</v>
      </c>
      <c r="O450" s="21">
        <v>1.0312500000000002</v>
      </c>
      <c r="P450" s="21" t="s">
        <v>547</v>
      </c>
      <c r="Q450" s="21">
        <v>1.640625</v>
      </c>
      <c r="S450" t="s">
        <v>547</v>
      </c>
    </row>
    <row r="451" spans="1:19" x14ac:dyDescent="0.2">
      <c r="A451">
        <v>450</v>
      </c>
      <c r="B451" t="s">
        <v>180</v>
      </c>
      <c r="C451" t="s">
        <v>180</v>
      </c>
      <c r="D451" t="s">
        <v>5</v>
      </c>
      <c r="E451" t="s">
        <v>9</v>
      </c>
      <c r="F451" t="s">
        <v>11</v>
      </c>
      <c r="G451">
        <v>23</v>
      </c>
      <c r="H451">
        <v>27</v>
      </c>
      <c r="I451">
        <v>6.62</v>
      </c>
      <c r="J451">
        <v>4.55</v>
      </c>
      <c r="K451">
        <v>0.67</v>
      </c>
      <c r="L451">
        <v>0.46500000000000002</v>
      </c>
      <c r="M451">
        <v>0.13200000000000001</v>
      </c>
      <c r="N451" s="21">
        <v>3.5087064676616913</v>
      </c>
      <c r="O451" s="21">
        <v>3.403316749585406</v>
      </c>
      <c r="P451" s="21">
        <v>3.5087064676616913</v>
      </c>
      <c r="Q451" s="21" t="s">
        <v>547</v>
      </c>
      <c r="S451" t="s">
        <v>547</v>
      </c>
    </row>
    <row r="452" spans="1:19" x14ac:dyDescent="0.2">
      <c r="A452">
        <v>451</v>
      </c>
      <c r="B452" t="s">
        <v>180</v>
      </c>
      <c r="C452" t="s">
        <v>180</v>
      </c>
      <c r="D452" t="s">
        <v>5</v>
      </c>
      <c r="E452" t="s">
        <v>9</v>
      </c>
      <c r="F452" t="s">
        <v>10</v>
      </c>
      <c r="G452">
        <v>33</v>
      </c>
      <c r="H452">
        <v>33</v>
      </c>
      <c r="I452">
        <v>6.94</v>
      </c>
      <c r="J452">
        <v>5.8</v>
      </c>
      <c r="K452">
        <v>0.67</v>
      </c>
      <c r="L452">
        <v>0.46500000000000002</v>
      </c>
      <c r="M452">
        <v>0.13200000000000001</v>
      </c>
      <c r="N452" s="21">
        <v>4.4726368159203984</v>
      </c>
      <c r="O452" s="21">
        <v>3.5678275290215589</v>
      </c>
      <c r="P452" s="21">
        <v>4.4726368159203984</v>
      </c>
      <c r="Q452" s="21" t="s">
        <v>547</v>
      </c>
      <c r="S452" t="s">
        <v>547</v>
      </c>
    </row>
    <row r="453" spans="1:19" x14ac:dyDescent="0.2">
      <c r="A453">
        <v>452</v>
      </c>
      <c r="B453" t="s">
        <v>180</v>
      </c>
      <c r="C453" t="s">
        <v>180</v>
      </c>
      <c r="D453" t="s">
        <v>5</v>
      </c>
      <c r="E453" t="s">
        <v>9</v>
      </c>
      <c r="F453" t="s">
        <v>14</v>
      </c>
      <c r="G453">
        <v>27</v>
      </c>
      <c r="H453">
        <v>25</v>
      </c>
      <c r="I453">
        <v>4.95</v>
      </c>
      <c r="J453">
        <v>5.81</v>
      </c>
      <c r="K453">
        <v>1.33</v>
      </c>
      <c r="L453">
        <v>0.85</v>
      </c>
      <c r="M453">
        <v>0.14299999999999999</v>
      </c>
      <c r="N453" s="21">
        <v>4.1257309941520459</v>
      </c>
      <c r="O453" s="21">
        <v>2.3433583959899749</v>
      </c>
      <c r="P453" s="21" t="s">
        <v>547</v>
      </c>
      <c r="Q453" s="21">
        <v>4.1257309941520459</v>
      </c>
      <c r="S453" t="s">
        <v>547</v>
      </c>
    </row>
    <row r="454" spans="1:19" x14ac:dyDescent="0.2">
      <c r="A454">
        <v>453</v>
      </c>
      <c r="B454" t="s">
        <v>180</v>
      </c>
      <c r="C454" t="s">
        <v>180</v>
      </c>
      <c r="D454" t="s">
        <v>5</v>
      </c>
      <c r="E454" t="s">
        <v>9</v>
      </c>
      <c r="F454" t="s">
        <v>12</v>
      </c>
      <c r="G454">
        <v>26</v>
      </c>
      <c r="H454">
        <v>26</v>
      </c>
      <c r="I454">
        <v>5.2</v>
      </c>
      <c r="J454">
        <v>5.91</v>
      </c>
      <c r="K454">
        <v>1.33</v>
      </c>
      <c r="L454">
        <v>0.85</v>
      </c>
      <c r="M454">
        <v>0.14299999999999999</v>
      </c>
      <c r="N454" s="21">
        <v>4.1967418546365911</v>
      </c>
      <c r="O454" s="21">
        <v>2.4617098301308831</v>
      </c>
      <c r="P454" s="21" t="s">
        <v>547</v>
      </c>
      <c r="Q454" s="21">
        <v>4.1967418546365911</v>
      </c>
      <c r="S454" t="s">
        <v>547</v>
      </c>
    </row>
    <row r="455" spans="1:19" x14ac:dyDescent="0.2">
      <c r="A455">
        <v>454</v>
      </c>
      <c r="B455" t="s">
        <v>181</v>
      </c>
      <c r="C455" t="s">
        <v>181</v>
      </c>
      <c r="D455" t="s">
        <v>5</v>
      </c>
      <c r="E455" t="s">
        <v>9</v>
      </c>
      <c r="F455" t="s">
        <v>10</v>
      </c>
      <c r="G455">
        <v>43</v>
      </c>
      <c r="H455">
        <v>43</v>
      </c>
      <c r="I455">
        <v>6.04</v>
      </c>
      <c r="J455">
        <v>7.76</v>
      </c>
      <c r="K455">
        <v>0.99</v>
      </c>
      <c r="L455">
        <v>0.60199999999999998</v>
      </c>
      <c r="M455">
        <v>0.105</v>
      </c>
      <c r="N455" s="21">
        <v>5.2430078563411895</v>
      </c>
      <c r="O455" s="21">
        <v>2.7205985783763564</v>
      </c>
      <c r="P455" s="21">
        <v>5.2430078563411895</v>
      </c>
      <c r="Q455" s="21" t="s">
        <v>547</v>
      </c>
      <c r="S455" t="s">
        <v>547</v>
      </c>
    </row>
    <row r="456" spans="1:19" x14ac:dyDescent="0.2">
      <c r="A456">
        <v>455</v>
      </c>
      <c r="B456" t="s">
        <v>181</v>
      </c>
      <c r="C456" t="s">
        <v>181</v>
      </c>
      <c r="D456" t="s">
        <v>5</v>
      </c>
      <c r="E456" t="s">
        <v>9</v>
      </c>
      <c r="F456" t="s">
        <v>11</v>
      </c>
      <c r="G456">
        <v>40</v>
      </c>
      <c r="H456">
        <v>41</v>
      </c>
      <c r="I456">
        <v>5.91</v>
      </c>
      <c r="J456">
        <v>7.09</v>
      </c>
      <c r="K456">
        <v>0.99</v>
      </c>
      <c r="L456">
        <v>0.60199999999999998</v>
      </c>
      <c r="M456">
        <v>0.105</v>
      </c>
      <c r="N456" s="21">
        <v>4.7903254769921446</v>
      </c>
      <c r="O456" s="21">
        <v>2.6620426487093156</v>
      </c>
      <c r="P456" s="21">
        <v>4.7903254769921446</v>
      </c>
      <c r="Q456" s="21" t="s">
        <v>547</v>
      </c>
      <c r="S456" t="s">
        <v>547</v>
      </c>
    </row>
    <row r="457" spans="1:19" x14ac:dyDescent="0.2">
      <c r="A457">
        <v>456</v>
      </c>
      <c r="B457" t="s">
        <v>181</v>
      </c>
      <c r="C457" t="s">
        <v>181</v>
      </c>
      <c r="D457" t="s">
        <v>5</v>
      </c>
      <c r="E457" t="s">
        <v>9</v>
      </c>
      <c r="F457" t="s">
        <v>12</v>
      </c>
      <c r="G457">
        <v>36</v>
      </c>
      <c r="H457">
        <v>37</v>
      </c>
      <c r="I457">
        <v>6.54</v>
      </c>
      <c r="J457">
        <v>7.18</v>
      </c>
      <c r="K457">
        <v>0.9</v>
      </c>
      <c r="L457">
        <v>0.55200000000000005</v>
      </c>
      <c r="M457">
        <v>0.127</v>
      </c>
      <c r="N457" s="21">
        <v>4.8930370370370371</v>
      </c>
      <c r="O457" s="21">
        <v>2.9712592592592597</v>
      </c>
      <c r="P457" s="21" t="s">
        <v>547</v>
      </c>
      <c r="Q457" s="21">
        <v>4.8930370370370371</v>
      </c>
      <c r="S457" t="s">
        <v>547</v>
      </c>
    </row>
    <row r="458" spans="1:19" x14ac:dyDescent="0.2">
      <c r="A458">
        <v>457</v>
      </c>
      <c r="B458" t="s">
        <v>181</v>
      </c>
      <c r="C458" t="s">
        <v>181</v>
      </c>
      <c r="D458" t="s">
        <v>5</v>
      </c>
      <c r="E458" t="s">
        <v>9</v>
      </c>
      <c r="F458" t="s">
        <v>14</v>
      </c>
      <c r="G458">
        <v>37</v>
      </c>
      <c r="H458">
        <v>45</v>
      </c>
      <c r="I458">
        <v>8.24</v>
      </c>
      <c r="J458">
        <v>9.07</v>
      </c>
      <c r="K458">
        <v>0.9</v>
      </c>
      <c r="L458">
        <v>0.55200000000000005</v>
      </c>
      <c r="M458">
        <v>0.127</v>
      </c>
      <c r="N458" s="21">
        <v>6.1810370370370382</v>
      </c>
      <c r="O458" s="21">
        <v>3.7436049382716057</v>
      </c>
      <c r="P458" s="21" t="s">
        <v>547</v>
      </c>
      <c r="Q458" s="21">
        <v>6.1810370370370382</v>
      </c>
      <c r="S458" t="s">
        <v>547</v>
      </c>
    </row>
    <row r="459" spans="1:19" x14ac:dyDescent="0.2">
      <c r="A459">
        <v>458</v>
      </c>
      <c r="B459" t="s">
        <v>182</v>
      </c>
      <c r="C459" t="s">
        <v>359</v>
      </c>
      <c r="D459" t="s">
        <v>5</v>
      </c>
      <c r="E459" t="s">
        <v>9</v>
      </c>
      <c r="F459" t="s">
        <v>10</v>
      </c>
      <c r="G459">
        <v>29</v>
      </c>
      <c r="H459">
        <v>30</v>
      </c>
      <c r="I459">
        <v>4.2300000000000004</v>
      </c>
      <c r="J459">
        <v>4.08</v>
      </c>
      <c r="K459">
        <v>0.78</v>
      </c>
      <c r="L459">
        <v>0.38200000000000001</v>
      </c>
      <c r="M459">
        <v>0.111</v>
      </c>
      <c r="N459" s="21">
        <v>2.2201709401709402</v>
      </c>
      <c r="O459" s="21">
        <v>1.5345299145299149</v>
      </c>
      <c r="P459" s="21">
        <v>2.2201709401709402</v>
      </c>
      <c r="Q459" s="21" t="s">
        <v>547</v>
      </c>
      <c r="S459" t="s">
        <v>547</v>
      </c>
    </row>
    <row r="460" spans="1:19" x14ac:dyDescent="0.2">
      <c r="A460">
        <v>459</v>
      </c>
      <c r="B460" t="s">
        <v>182</v>
      </c>
      <c r="C460" t="s">
        <v>359</v>
      </c>
      <c r="D460" t="s">
        <v>5</v>
      </c>
      <c r="E460" t="s">
        <v>9</v>
      </c>
      <c r="F460" t="s">
        <v>11</v>
      </c>
      <c r="G460">
        <v>21</v>
      </c>
      <c r="H460">
        <v>22</v>
      </c>
      <c r="I460">
        <v>3.16</v>
      </c>
      <c r="J460">
        <v>3.21</v>
      </c>
      <c r="K460">
        <v>0.78</v>
      </c>
      <c r="L460">
        <v>0.38200000000000001</v>
      </c>
      <c r="M460">
        <v>0.111</v>
      </c>
      <c r="N460" s="21">
        <v>1.7467521367521366</v>
      </c>
      <c r="O460" s="21">
        <v>1.1463627730294399</v>
      </c>
      <c r="P460" s="21">
        <v>1.7467521367521366</v>
      </c>
      <c r="Q460" s="21" t="s">
        <v>547</v>
      </c>
      <c r="S460" t="s">
        <v>547</v>
      </c>
    </row>
    <row r="461" spans="1:19" x14ac:dyDescent="0.2">
      <c r="A461">
        <v>460</v>
      </c>
      <c r="B461" t="s">
        <v>182</v>
      </c>
      <c r="C461" t="s">
        <v>359</v>
      </c>
      <c r="D461" t="s">
        <v>5</v>
      </c>
      <c r="E461" t="s">
        <v>9</v>
      </c>
      <c r="F461" t="s">
        <v>12</v>
      </c>
      <c r="G461">
        <v>36</v>
      </c>
      <c r="H461">
        <v>36</v>
      </c>
      <c r="I461">
        <v>4.67</v>
      </c>
      <c r="J461">
        <v>5.3</v>
      </c>
      <c r="K461">
        <v>0.63</v>
      </c>
      <c r="L461">
        <v>0.308</v>
      </c>
      <c r="N461" s="21">
        <v>2.8790123456790124</v>
      </c>
      <c r="O461" s="21">
        <v>1.6911934156378601</v>
      </c>
      <c r="P461" s="21" t="s">
        <v>547</v>
      </c>
      <c r="Q461" s="21">
        <v>2.8790123456790124</v>
      </c>
      <c r="S461" t="s">
        <v>547</v>
      </c>
    </row>
    <row r="462" spans="1:19" x14ac:dyDescent="0.2">
      <c r="A462">
        <v>461</v>
      </c>
      <c r="B462" t="s">
        <v>182</v>
      </c>
      <c r="C462" t="s">
        <v>359</v>
      </c>
      <c r="D462" t="s">
        <v>5</v>
      </c>
      <c r="E462" t="s">
        <v>9</v>
      </c>
      <c r="F462" t="s">
        <v>14</v>
      </c>
      <c r="K462">
        <v>0.63</v>
      </c>
      <c r="N462" s="21"/>
      <c r="O462" s="21"/>
      <c r="P462" s="21" t="s">
        <v>547</v>
      </c>
      <c r="Q462" s="21">
        <v>0</v>
      </c>
      <c r="S462" t="s">
        <v>547</v>
      </c>
    </row>
    <row r="463" spans="1:19" x14ac:dyDescent="0.2">
      <c r="A463">
        <v>462</v>
      </c>
      <c r="B463" t="s">
        <v>183</v>
      </c>
      <c r="C463" t="s">
        <v>183</v>
      </c>
      <c r="D463" t="s">
        <v>5</v>
      </c>
      <c r="E463" t="s">
        <v>9</v>
      </c>
      <c r="F463" t="s">
        <v>10</v>
      </c>
      <c r="G463">
        <v>38</v>
      </c>
      <c r="H463">
        <v>41</v>
      </c>
      <c r="I463">
        <v>7.62</v>
      </c>
      <c r="J463">
        <v>7.87</v>
      </c>
      <c r="K463">
        <v>0.91</v>
      </c>
      <c r="L463">
        <v>0.54200000000000004</v>
      </c>
      <c r="M463">
        <v>0.111</v>
      </c>
      <c r="N463" s="21">
        <v>5.2082295482295482</v>
      </c>
      <c r="O463" s="21">
        <v>3.3618559218559225</v>
      </c>
      <c r="P463" s="21">
        <v>5.2082295482295482</v>
      </c>
      <c r="Q463" s="21" t="s">
        <v>547</v>
      </c>
      <c r="S463" t="s">
        <v>547</v>
      </c>
    </row>
    <row r="464" spans="1:19" x14ac:dyDescent="0.2">
      <c r="A464">
        <v>463</v>
      </c>
      <c r="B464" t="s">
        <v>183</v>
      </c>
      <c r="C464" t="s">
        <v>183</v>
      </c>
      <c r="D464" t="s">
        <v>5</v>
      </c>
      <c r="E464" t="s">
        <v>9</v>
      </c>
      <c r="F464" t="s">
        <v>11</v>
      </c>
      <c r="G464">
        <v>43</v>
      </c>
      <c r="H464">
        <v>44</v>
      </c>
      <c r="I464">
        <v>8.3699999999999992</v>
      </c>
      <c r="J464">
        <v>5.93</v>
      </c>
      <c r="K464">
        <v>0.91</v>
      </c>
      <c r="L464">
        <v>0.54200000000000004</v>
      </c>
      <c r="M464">
        <v>0.111</v>
      </c>
      <c r="N464" s="21">
        <v>3.9243711843711844</v>
      </c>
      <c r="O464" s="21">
        <v>3.6927472527472531</v>
      </c>
      <c r="P464" s="21">
        <v>3.9243711843711844</v>
      </c>
      <c r="Q464" s="21" t="s">
        <v>547</v>
      </c>
      <c r="S464" t="s">
        <v>547</v>
      </c>
    </row>
    <row r="465" spans="1:19" x14ac:dyDescent="0.2">
      <c r="A465">
        <v>464</v>
      </c>
      <c r="B465" t="s">
        <v>183</v>
      </c>
      <c r="C465" t="s">
        <v>183</v>
      </c>
      <c r="D465" t="s">
        <v>5</v>
      </c>
      <c r="E465" t="s">
        <v>9</v>
      </c>
      <c r="F465" t="s">
        <v>12</v>
      </c>
      <c r="G465">
        <v>31</v>
      </c>
      <c r="H465">
        <v>30</v>
      </c>
      <c r="I465">
        <v>6.86</v>
      </c>
      <c r="J465">
        <v>7.47</v>
      </c>
      <c r="K465">
        <v>1.1000000000000001</v>
      </c>
      <c r="L465">
        <v>0.38400000000000001</v>
      </c>
      <c r="M465">
        <v>6.5000000000000002E-2</v>
      </c>
      <c r="N465" s="21">
        <v>2.8974545454545453</v>
      </c>
      <c r="O465" s="21">
        <v>1.7738989898989899</v>
      </c>
      <c r="P465" s="21" t="s">
        <v>547</v>
      </c>
      <c r="Q465" s="21">
        <v>2.8974545454545453</v>
      </c>
      <c r="S465" t="s">
        <v>547</v>
      </c>
    </row>
    <row r="466" spans="1:19" x14ac:dyDescent="0.2">
      <c r="A466">
        <v>465</v>
      </c>
      <c r="B466" t="s">
        <v>183</v>
      </c>
      <c r="C466" t="s">
        <v>183</v>
      </c>
      <c r="D466" t="s">
        <v>5</v>
      </c>
      <c r="E466" t="s">
        <v>9</v>
      </c>
      <c r="F466" t="s">
        <v>14</v>
      </c>
      <c r="G466">
        <v>41</v>
      </c>
      <c r="H466">
        <v>42</v>
      </c>
      <c r="I466">
        <v>8.5500000000000007</v>
      </c>
      <c r="J466">
        <v>8.26</v>
      </c>
      <c r="K466">
        <v>1.1000000000000001</v>
      </c>
      <c r="L466">
        <v>0.38400000000000001</v>
      </c>
      <c r="M466">
        <v>6.5000000000000002E-2</v>
      </c>
      <c r="N466" s="21">
        <v>3.203878787878788</v>
      </c>
      <c r="O466" s="21">
        <v>2.2109090909090909</v>
      </c>
      <c r="P466" s="21" t="s">
        <v>547</v>
      </c>
      <c r="Q466" s="21">
        <v>3.203878787878788</v>
      </c>
      <c r="S466" t="s">
        <v>547</v>
      </c>
    </row>
    <row r="467" spans="1:19" x14ac:dyDescent="0.2">
      <c r="A467">
        <v>466</v>
      </c>
      <c r="B467" t="s">
        <v>184</v>
      </c>
      <c r="C467" t="s">
        <v>184</v>
      </c>
      <c r="D467" t="s">
        <v>5</v>
      </c>
      <c r="E467" t="s">
        <v>9</v>
      </c>
      <c r="F467" t="s">
        <v>10</v>
      </c>
      <c r="G467">
        <v>49</v>
      </c>
      <c r="H467">
        <v>50</v>
      </c>
      <c r="I467">
        <v>20.03</v>
      </c>
      <c r="J467">
        <v>11.75</v>
      </c>
      <c r="K467">
        <v>1.4</v>
      </c>
      <c r="L467">
        <v>0.67100000000000004</v>
      </c>
      <c r="M467">
        <v>0.14099999999999999</v>
      </c>
      <c r="N467" s="21">
        <v>6.2573412698412714</v>
      </c>
      <c r="O467" s="21">
        <v>7.1111798941798963</v>
      </c>
      <c r="P467" s="21">
        <v>6.2573412698412714</v>
      </c>
      <c r="Q467" s="21" t="s">
        <v>547</v>
      </c>
      <c r="S467" t="s">
        <v>547</v>
      </c>
    </row>
    <row r="468" spans="1:19" x14ac:dyDescent="0.2">
      <c r="A468">
        <v>467</v>
      </c>
      <c r="B468" t="s">
        <v>184</v>
      </c>
      <c r="C468" t="s">
        <v>184</v>
      </c>
      <c r="D468" t="s">
        <v>5</v>
      </c>
      <c r="E468" t="s">
        <v>9</v>
      </c>
      <c r="F468" t="s">
        <v>11</v>
      </c>
      <c r="G468">
        <v>38</v>
      </c>
      <c r="H468">
        <v>37</v>
      </c>
      <c r="I468">
        <v>14.2</v>
      </c>
      <c r="J468">
        <v>9.1</v>
      </c>
      <c r="K468">
        <v>1.4</v>
      </c>
      <c r="L468">
        <v>0.67100000000000004</v>
      </c>
      <c r="M468">
        <v>0.14099999999999999</v>
      </c>
      <c r="N468" s="21">
        <v>4.8461111111111119</v>
      </c>
      <c r="O468" s="21">
        <v>5.0413756613756622</v>
      </c>
      <c r="P468" s="21">
        <v>4.8461111111111119</v>
      </c>
      <c r="Q468" s="21" t="s">
        <v>547</v>
      </c>
      <c r="S468" t="s">
        <v>547</v>
      </c>
    </row>
    <row r="469" spans="1:19" x14ac:dyDescent="0.2">
      <c r="A469">
        <v>468</v>
      </c>
      <c r="B469" t="s">
        <v>184</v>
      </c>
      <c r="C469" t="s">
        <v>184</v>
      </c>
      <c r="D469" t="s">
        <v>5</v>
      </c>
      <c r="E469" t="s">
        <v>9</v>
      </c>
      <c r="F469" t="s">
        <v>12</v>
      </c>
      <c r="G469">
        <v>44</v>
      </c>
      <c r="H469">
        <v>44</v>
      </c>
      <c r="I469">
        <v>28.09</v>
      </c>
      <c r="J469">
        <v>9.27</v>
      </c>
      <c r="K469">
        <v>0.96</v>
      </c>
      <c r="L469">
        <v>0.47899999999999998</v>
      </c>
      <c r="M469">
        <v>0.11600000000000001</v>
      </c>
      <c r="N469" s="21">
        <v>5.1392708333333337</v>
      </c>
      <c r="O469" s="21">
        <v>10.382029320987655</v>
      </c>
      <c r="P469" s="21" t="s">
        <v>547</v>
      </c>
      <c r="Q469" s="21">
        <v>5.1392708333333337</v>
      </c>
      <c r="S469" t="s">
        <v>547</v>
      </c>
    </row>
    <row r="470" spans="1:19" x14ac:dyDescent="0.2">
      <c r="A470">
        <v>469</v>
      </c>
      <c r="B470" t="s">
        <v>184</v>
      </c>
      <c r="C470" t="s">
        <v>184</v>
      </c>
      <c r="D470" t="s">
        <v>5</v>
      </c>
      <c r="E470" t="s">
        <v>9</v>
      </c>
      <c r="F470" t="s">
        <v>14</v>
      </c>
      <c r="G470">
        <v>30</v>
      </c>
      <c r="H470">
        <v>30</v>
      </c>
      <c r="I470">
        <v>19.09</v>
      </c>
      <c r="J470">
        <v>7.5</v>
      </c>
      <c r="K470">
        <v>0.96</v>
      </c>
      <c r="L470">
        <v>0.47899999999999998</v>
      </c>
      <c r="M470">
        <v>0.11600000000000001</v>
      </c>
      <c r="N470" s="21">
        <v>4.1579861111111116</v>
      </c>
      <c r="O470" s="21">
        <v>7.0556404320987651</v>
      </c>
      <c r="P470" s="21" t="s">
        <v>547</v>
      </c>
      <c r="Q470" s="21">
        <v>4.1579861111111116</v>
      </c>
      <c r="S470" t="s">
        <v>547</v>
      </c>
    </row>
    <row r="471" spans="1:19" x14ac:dyDescent="0.2">
      <c r="A471">
        <v>474</v>
      </c>
      <c r="B471" t="s">
        <v>185</v>
      </c>
      <c r="C471" t="s">
        <v>425</v>
      </c>
      <c r="D471" t="s">
        <v>5</v>
      </c>
      <c r="E471" t="s">
        <v>9</v>
      </c>
      <c r="F471" t="s">
        <v>10</v>
      </c>
      <c r="G471">
        <v>26</v>
      </c>
      <c r="H471">
        <v>32</v>
      </c>
      <c r="I471">
        <v>7.57</v>
      </c>
      <c r="K471">
        <v>1.21</v>
      </c>
      <c r="N471" s="21"/>
      <c r="O471" s="21">
        <v>3.1992469648071316</v>
      </c>
      <c r="P471" s="21">
        <v>0</v>
      </c>
      <c r="Q471" s="21" t="s">
        <v>547</v>
      </c>
      <c r="R471" t="s">
        <v>54</v>
      </c>
      <c r="S471" t="s">
        <v>547</v>
      </c>
    </row>
    <row r="472" spans="1:19" x14ac:dyDescent="0.2">
      <c r="A472">
        <v>475</v>
      </c>
      <c r="B472" t="s">
        <v>185</v>
      </c>
      <c r="C472" t="s">
        <v>425</v>
      </c>
      <c r="D472" t="s">
        <v>5</v>
      </c>
      <c r="E472" t="s">
        <v>9</v>
      </c>
      <c r="F472" t="s">
        <v>11</v>
      </c>
      <c r="G472">
        <v>16</v>
      </c>
      <c r="H472">
        <v>25</v>
      </c>
      <c r="I472">
        <v>5.45</v>
      </c>
      <c r="K472">
        <v>1.21</v>
      </c>
      <c r="N472" s="21"/>
      <c r="O472" s="21">
        <v>2.3032887659443677</v>
      </c>
      <c r="P472" s="21">
        <v>0</v>
      </c>
      <c r="Q472" s="21" t="s">
        <v>547</v>
      </c>
      <c r="S472" t="s">
        <v>547</v>
      </c>
    </row>
    <row r="473" spans="1:19" x14ac:dyDescent="0.2">
      <c r="A473">
        <v>476</v>
      </c>
      <c r="B473" t="s">
        <v>185</v>
      </c>
      <c r="C473" t="s">
        <v>425</v>
      </c>
      <c r="D473" t="s">
        <v>5</v>
      </c>
      <c r="E473" t="s">
        <v>9</v>
      </c>
      <c r="F473" t="s">
        <v>12</v>
      </c>
      <c r="G473">
        <v>36</v>
      </c>
      <c r="H473">
        <v>36</v>
      </c>
      <c r="I473">
        <v>5.3</v>
      </c>
      <c r="K473">
        <v>0.53</v>
      </c>
      <c r="N473" s="21"/>
      <c r="O473" s="21">
        <v>2.2398954971569078</v>
      </c>
      <c r="P473" s="21" t="s">
        <v>547</v>
      </c>
      <c r="Q473" s="21">
        <v>0</v>
      </c>
      <c r="S473" t="s">
        <v>547</v>
      </c>
    </row>
    <row r="474" spans="1:19" x14ac:dyDescent="0.2">
      <c r="A474">
        <v>477</v>
      </c>
      <c r="B474" t="s">
        <v>186</v>
      </c>
      <c r="C474" t="s">
        <v>186</v>
      </c>
      <c r="D474" t="s">
        <v>5</v>
      </c>
      <c r="E474" t="s">
        <v>9</v>
      </c>
      <c r="F474" t="s">
        <v>10</v>
      </c>
      <c r="G474">
        <v>36</v>
      </c>
      <c r="H474">
        <v>37</v>
      </c>
      <c r="I474">
        <v>8.31</v>
      </c>
      <c r="J474">
        <v>6.29</v>
      </c>
      <c r="K474">
        <v>0.9</v>
      </c>
      <c r="L474">
        <v>0.45800000000000002</v>
      </c>
      <c r="M474">
        <v>0.107</v>
      </c>
      <c r="N474" s="21">
        <v>3.5565679012345686</v>
      </c>
      <c r="O474" s="21">
        <v>3.1324938271604941</v>
      </c>
      <c r="P474" s="21">
        <v>3.5565679012345686</v>
      </c>
      <c r="Q474" s="21" t="s">
        <v>547</v>
      </c>
      <c r="S474" t="s">
        <v>547</v>
      </c>
    </row>
    <row r="475" spans="1:19" x14ac:dyDescent="0.2">
      <c r="A475">
        <v>478</v>
      </c>
      <c r="B475" t="s">
        <v>186</v>
      </c>
      <c r="C475" t="s">
        <v>186</v>
      </c>
      <c r="D475" t="s">
        <v>5</v>
      </c>
      <c r="E475" t="s">
        <v>9</v>
      </c>
      <c r="F475" t="s">
        <v>11</v>
      </c>
      <c r="G475">
        <v>35</v>
      </c>
      <c r="H475">
        <v>46</v>
      </c>
      <c r="I475">
        <v>14.17</v>
      </c>
      <c r="J475">
        <v>10.44</v>
      </c>
      <c r="K475">
        <v>0.9</v>
      </c>
      <c r="L475">
        <v>0.45800000000000002</v>
      </c>
      <c r="M475">
        <v>0.107</v>
      </c>
      <c r="N475" s="21">
        <v>5.9031111111111114</v>
      </c>
      <c r="O475" s="21">
        <v>5.3414485596707815</v>
      </c>
      <c r="P475" s="21">
        <v>5.9031111111111114</v>
      </c>
      <c r="Q475" s="21" t="s">
        <v>547</v>
      </c>
      <c r="S475" t="s">
        <v>547</v>
      </c>
    </row>
    <row r="476" spans="1:19" x14ac:dyDescent="0.2">
      <c r="A476">
        <v>479</v>
      </c>
      <c r="B476" t="s">
        <v>186</v>
      </c>
      <c r="C476" t="s">
        <v>186</v>
      </c>
      <c r="D476" t="s">
        <v>5</v>
      </c>
      <c r="E476" t="s">
        <v>9</v>
      </c>
      <c r="F476" t="s">
        <v>12</v>
      </c>
      <c r="G476">
        <v>44</v>
      </c>
      <c r="H476">
        <v>44</v>
      </c>
      <c r="I476">
        <v>7.7</v>
      </c>
      <c r="J476">
        <v>6.01</v>
      </c>
      <c r="K476">
        <v>0.8</v>
      </c>
      <c r="L476">
        <v>0.47299999999999998</v>
      </c>
      <c r="M476">
        <v>8.2000000000000003E-2</v>
      </c>
      <c r="N476" s="21">
        <v>3.9482361111111106</v>
      </c>
      <c r="O476" s="21">
        <v>3.3723148148148145</v>
      </c>
      <c r="P476" s="21" t="s">
        <v>547</v>
      </c>
      <c r="Q476" s="21">
        <v>3.9482361111111106</v>
      </c>
      <c r="S476" t="s">
        <v>547</v>
      </c>
    </row>
    <row r="477" spans="1:19" x14ac:dyDescent="0.2">
      <c r="A477">
        <v>480</v>
      </c>
      <c r="B477" t="s">
        <v>186</v>
      </c>
      <c r="C477" t="s">
        <v>186</v>
      </c>
      <c r="D477" t="s">
        <v>5</v>
      </c>
      <c r="E477" t="s">
        <v>9</v>
      </c>
      <c r="F477" t="s">
        <v>14</v>
      </c>
      <c r="G477">
        <v>45</v>
      </c>
      <c r="H477">
        <v>46</v>
      </c>
      <c r="I477">
        <v>7.9</v>
      </c>
      <c r="J477">
        <v>6.5</v>
      </c>
      <c r="K477">
        <v>0.8</v>
      </c>
      <c r="L477">
        <v>0.47299999999999998</v>
      </c>
      <c r="M477">
        <v>8.2000000000000003E-2</v>
      </c>
      <c r="N477" s="21">
        <v>4.2701388888888889</v>
      </c>
      <c r="O477" s="21">
        <v>3.4599074074074072</v>
      </c>
      <c r="P477" s="21" t="s">
        <v>547</v>
      </c>
      <c r="Q477" s="21">
        <v>4.2701388888888889</v>
      </c>
      <c r="S477" t="s">
        <v>547</v>
      </c>
    </row>
    <row r="478" spans="1:19" x14ac:dyDescent="0.2">
      <c r="A478">
        <v>481</v>
      </c>
      <c r="B478" t="s">
        <v>187</v>
      </c>
      <c r="C478" t="s">
        <v>360</v>
      </c>
      <c r="D478" t="s">
        <v>5</v>
      </c>
      <c r="E478" t="s">
        <v>9</v>
      </c>
      <c r="F478" t="s">
        <v>10</v>
      </c>
      <c r="G478">
        <v>30</v>
      </c>
      <c r="H478">
        <v>33</v>
      </c>
      <c r="I478">
        <v>5.58</v>
      </c>
      <c r="J478">
        <v>5.81</v>
      </c>
      <c r="K478">
        <v>0.54</v>
      </c>
      <c r="L478">
        <v>0.57999999999999996</v>
      </c>
      <c r="M478">
        <v>0.127</v>
      </c>
      <c r="N478" s="21">
        <v>6.9337448559670776</v>
      </c>
      <c r="O478" s="21">
        <v>4.439506172839506</v>
      </c>
      <c r="P478" s="21">
        <v>6.9337448559670776</v>
      </c>
      <c r="Q478" s="21" t="s">
        <v>547</v>
      </c>
      <c r="S478" t="s">
        <v>547</v>
      </c>
    </row>
    <row r="479" spans="1:19" x14ac:dyDescent="0.2">
      <c r="A479">
        <v>482</v>
      </c>
      <c r="B479" t="s">
        <v>187</v>
      </c>
      <c r="C479" t="s">
        <v>360</v>
      </c>
      <c r="D479" t="s">
        <v>5</v>
      </c>
      <c r="E479" t="s">
        <v>9</v>
      </c>
      <c r="F479" t="s">
        <v>11</v>
      </c>
      <c r="G479">
        <v>32</v>
      </c>
      <c r="H479">
        <v>40</v>
      </c>
      <c r="I479">
        <v>8.84</v>
      </c>
      <c r="J479">
        <v>9.1199999999999992</v>
      </c>
      <c r="K479">
        <v>0.54</v>
      </c>
      <c r="L479">
        <v>0.57999999999999996</v>
      </c>
      <c r="M479">
        <v>0.127</v>
      </c>
      <c r="N479" s="21">
        <v>10.883950617283949</v>
      </c>
      <c r="O479" s="21">
        <v>7.0331961591220837</v>
      </c>
      <c r="P479" s="21">
        <v>10.883950617283949</v>
      </c>
      <c r="Q479" s="21" t="s">
        <v>547</v>
      </c>
      <c r="S479" t="s">
        <v>547</v>
      </c>
    </row>
    <row r="480" spans="1:19" x14ac:dyDescent="0.2">
      <c r="A480">
        <v>483</v>
      </c>
      <c r="B480" t="s">
        <v>187</v>
      </c>
      <c r="C480" t="s">
        <v>360</v>
      </c>
      <c r="D480" t="s">
        <v>5</v>
      </c>
      <c r="E480" t="s">
        <v>9</v>
      </c>
      <c r="F480" t="s">
        <v>12</v>
      </c>
      <c r="G480">
        <v>37</v>
      </c>
      <c r="H480">
        <v>35</v>
      </c>
      <c r="I480">
        <v>3.83</v>
      </c>
      <c r="J480">
        <v>3.87</v>
      </c>
      <c r="K480">
        <v>0.31</v>
      </c>
      <c r="L480">
        <v>0.35699999999999998</v>
      </c>
      <c r="M480">
        <v>6.2E-2</v>
      </c>
      <c r="N480" s="21">
        <v>4.9519354838709679</v>
      </c>
      <c r="O480" s="21">
        <v>3.2671684587813621</v>
      </c>
      <c r="P480" s="21" t="s">
        <v>547</v>
      </c>
      <c r="Q480" s="21">
        <v>4.9519354838709679</v>
      </c>
      <c r="S480" t="s">
        <v>547</v>
      </c>
    </row>
    <row r="481" spans="1:19" x14ac:dyDescent="0.2">
      <c r="A481">
        <v>484</v>
      </c>
      <c r="B481" t="s">
        <v>187</v>
      </c>
      <c r="C481" t="s">
        <v>360</v>
      </c>
      <c r="D481" t="s">
        <v>5</v>
      </c>
      <c r="E481" t="s">
        <v>9</v>
      </c>
      <c r="F481" t="s">
        <v>14</v>
      </c>
      <c r="G481">
        <v>42</v>
      </c>
      <c r="H481">
        <v>39</v>
      </c>
      <c r="I481">
        <v>3.75</v>
      </c>
      <c r="J481">
        <v>3.75</v>
      </c>
      <c r="K481">
        <v>0.31</v>
      </c>
      <c r="L481">
        <v>0.35699999999999998</v>
      </c>
      <c r="M481">
        <v>6.2E-2</v>
      </c>
      <c r="N481" s="21">
        <v>4.7983870967741939</v>
      </c>
      <c r="O481" s="21">
        <v>3.1989247311827955</v>
      </c>
      <c r="P481" s="21" t="s">
        <v>547</v>
      </c>
      <c r="Q481" s="21">
        <v>4.7983870967741939</v>
      </c>
      <c r="S481" t="s">
        <v>547</v>
      </c>
    </row>
    <row r="482" spans="1:19" x14ac:dyDescent="0.2">
      <c r="A482">
        <v>485</v>
      </c>
      <c r="B482" t="s">
        <v>188</v>
      </c>
      <c r="C482" t="s">
        <v>361</v>
      </c>
      <c r="D482" t="s">
        <v>5</v>
      </c>
      <c r="E482" t="s">
        <v>9</v>
      </c>
      <c r="F482" t="s">
        <v>10</v>
      </c>
      <c r="G482">
        <v>46</v>
      </c>
      <c r="H482">
        <v>47</v>
      </c>
      <c r="I482">
        <v>6.22</v>
      </c>
      <c r="J482">
        <v>5.57</v>
      </c>
      <c r="K482">
        <v>0.71</v>
      </c>
      <c r="L482">
        <v>0.56000000000000005</v>
      </c>
      <c r="M482">
        <v>0.153</v>
      </c>
      <c r="N482" s="21">
        <v>4.8813771517996871</v>
      </c>
      <c r="O482" s="21">
        <v>3.6340114762649978</v>
      </c>
      <c r="P482" s="21">
        <v>4.8813771517996871</v>
      </c>
      <c r="Q482" s="21" t="s">
        <v>547</v>
      </c>
      <c r="S482" t="s">
        <v>547</v>
      </c>
    </row>
    <row r="483" spans="1:19" x14ac:dyDescent="0.2">
      <c r="A483">
        <v>486</v>
      </c>
      <c r="B483" t="s">
        <v>188</v>
      </c>
      <c r="C483" t="s">
        <v>361</v>
      </c>
      <c r="D483" t="s">
        <v>5</v>
      </c>
      <c r="E483" t="s">
        <v>9</v>
      </c>
      <c r="F483" t="s">
        <v>11</v>
      </c>
      <c r="G483">
        <v>48</v>
      </c>
      <c r="H483">
        <v>50</v>
      </c>
      <c r="I483">
        <v>5.84</v>
      </c>
      <c r="J483">
        <v>5.75</v>
      </c>
      <c r="K483">
        <v>0.71</v>
      </c>
      <c r="L483">
        <v>0.56000000000000005</v>
      </c>
      <c r="M483">
        <v>0.153</v>
      </c>
      <c r="N483" s="21">
        <v>5.0391236306729272</v>
      </c>
      <c r="O483" s="21">
        <v>3.4119979134063643</v>
      </c>
      <c r="P483" s="21">
        <v>5.0391236306729272</v>
      </c>
      <c r="Q483" s="21" t="s">
        <v>547</v>
      </c>
      <c r="S483" t="s">
        <v>547</v>
      </c>
    </row>
    <row r="484" spans="1:19" x14ac:dyDescent="0.2">
      <c r="A484">
        <v>487</v>
      </c>
      <c r="B484" t="s">
        <v>188</v>
      </c>
      <c r="C484" t="s">
        <v>361</v>
      </c>
      <c r="D484" t="s">
        <v>5</v>
      </c>
      <c r="E484" t="s">
        <v>9</v>
      </c>
      <c r="F484" t="s">
        <v>12</v>
      </c>
      <c r="G484">
        <v>37</v>
      </c>
      <c r="H484">
        <v>37</v>
      </c>
      <c r="I484">
        <v>9.5</v>
      </c>
      <c r="J484">
        <v>6.21</v>
      </c>
      <c r="K484">
        <v>0.91</v>
      </c>
      <c r="L484">
        <v>0.496</v>
      </c>
      <c r="M484">
        <v>9.1999999999999998E-2</v>
      </c>
      <c r="N484" s="21">
        <v>3.760879120879121</v>
      </c>
      <c r="O484" s="21">
        <v>3.8355718355718356</v>
      </c>
      <c r="P484" s="21" t="s">
        <v>547</v>
      </c>
      <c r="Q484" s="21">
        <v>3.760879120879121</v>
      </c>
      <c r="S484" t="s">
        <v>547</v>
      </c>
    </row>
    <row r="485" spans="1:19" x14ac:dyDescent="0.2">
      <c r="A485">
        <v>488</v>
      </c>
      <c r="B485" t="s">
        <v>188</v>
      </c>
      <c r="C485" t="s">
        <v>361</v>
      </c>
      <c r="D485" t="s">
        <v>5</v>
      </c>
      <c r="E485" t="s">
        <v>9</v>
      </c>
      <c r="F485" t="s">
        <v>14</v>
      </c>
      <c r="G485">
        <v>39</v>
      </c>
      <c r="H485">
        <v>36</v>
      </c>
      <c r="I485">
        <v>9.02</v>
      </c>
      <c r="J485">
        <v>6.01</v>
      </c>
      <c r="K485">
        <v>0.91</v>
      </c>
      <c r="L485">
        <v>0.496</v>
      </c>
      <c r="M485">
        <v>9.1999999999999998E-2</v>
      </c>
      <c r="N485" s="21">
        <v>3.6397557997557994</v>
      </c>
      <c r="O485" s="21">
        <v>3.6417745217745217</v>
      </c>
      <c r="P485" s="21" t="s">
        <v>547</v>
      </c>
      <c r="Q485" s="21">
        <v>3.6397557997557994</v>
      </c>
      <c r="S485" t="s">
        <v>547</v>
      </c>
    </row>
    <row r="486" spans="1:19" x14ac:dyDescent="0.2">
      <c r="A486">
        <v>489</v>
      </c>
      <c r="B486" t="s">
        <v>189</v>
      </c>
      <c r="D486" t="s">
        <v>5</v>
      </c>
      <c r="E486" t="s">
        <v>9</v>
      </c>
      <c r="F486" t="s">
        <v>10</v>
      </c>
      <c r="G486">
        <v>58</v>
      </c>
      <c r="H486">
        <v>60</v>
      </c>
      <c r="I486">
        <v>8.0399999999999991</v>
      </c>
      <c r="J486">
        <v>8.68</v>
      </c>
      <c r="K486">
        <v>0.88</v>
      </c>
      <c r="N486" s="21">
        <v>5.5025357307514984</v>
      </c>
      <c r="O486" s="21">
        <v>3.3978792070078376</v>
      </c>
      <c r="P486" s="21">
        <v>5.5025357307514984</v>
      </c>
      <c r="Q486" s="21" t="s">
        <v>547</v>
      </c>
      <c r="S486" t="s">
        <v>547</v>
      </c>
    </row>
    <row r="487" spans="1:19" x14ac:dyDescent="0.2">
      <c r="A487">
        <v>490</v>
      </c>
      <c r="B487" t="s">
        <v>189</v>
      </c>
      <c r="D487" t="s">
        <v>5</v>
      </c>
      <c r="E487" t="s">
        <v>9</v>
      </c>
      <c r="F487" t="s">
        <v>11</v>
      </c>
      <c r="G487">
        <v>56</v>
      </c>
      <c r="H487">
        <v>59</v>
      </c>
      <c r="I487">
        <v>9.5299999999999994</v>
      </c>
      <c r="J487">
        <v>9.6199999999999992</v>
      </c>
      <c r="K487">
        <v>0.88</v>
      </c>
      <c r="N487" s="21">
        <v>6.0984324573536197</v>
      </c>
      <c r="O487" s="21">
        <v>4.0275856769632705</v>
      </c>
      <c r="P487" s="21">
        <v>6.0984324573536197</v>
      </c>
      <c r="Q487" s="21" t="s">
        <v>547</v>
      </c>
      <c r="S487" t="s">
        <v>547</v>
      </c>
    </row>
    <row r="488" spans="1:19" x14ac:dyDescent="0.2">
      <c r="A488">
        <v>491</v>
      </c>
      <c r="B488" t="s">
        <v>189</v>
      </c>
      <c r="D488" t="s">
        <v>5</v>
      </c>
      <c r="E488" t="s">
        <v>9</v>
      </c>
      <c r="F488" t="s">
        <v>12</v>
      </c>
      <c r="G488">
        <v>17</v>
      </c>
      <c r="H488">
        <v>16</v>
      </c>
      <c r="I488">
        <v>2.9</v>
      </c>
      <c r="J488">
        <v>2.64</v>
      </c>
      <c r="K488">
        <v>0.86</v>
      </c>
      <c r="N488" s="21">
        <v>1.6735822959889353</v>
      </c>
      <c r="O488" s="21">
        <v>1.2256031965575536</v>
      </c>
      <c r="P488" s="21" t="s">
        <v>547</v>
      </c>
      <c r="Q488" s="21">
        <v>1.6735822959889353</v>
      </c>
      <c r="S488" t="s">
        <v>547</v>
      </c>
    </row>
    <row r="489" spans="1:19" x14ac:dyDescent="0.2">
      <c r="A489">
        <v>492</v>
      </c>
      <c r="B489" t="s">
        <v>189</v>
      </c>
      <c r="D489" t="s">
        <v>5</v>
      </c>
      <c r="E489" t="s">
        <v>9</v>
      </c>
      <c r="F489" t="s">
        <v>14</v>
      </c>
      <c r="G489">
        <v>36</v>
      </c>
      <c r="H489">
        <v>37</v>
      </c>
      <c r="I489">
        <v>4.46</v>
      </c>
      <c r="J489">
        <v>5.46</v>
      </c>
      <c r="K489">
        <v>0.86</v>
      </c>
      <c r="N489" s="21">
        <v>3.461272475795298</v>
      </c>
      <c r="O489" s="21">
        <v>1.8848931919471341</v>
      </c>
      <c r="P489" s="21" t="s">
        <v>547</v>
      </c>
      <c r="Q489" s="21">
        <v>3.461272475795298</v>
      </c>
      <c r="S489" t="s">
        <v>547</v>
      </c>
    </row>
    <row r="490" spans="1:19" x14ac:dyDescent="0.2">
      <c r="A490">
        <v>493</v>
      </c>
      <c r="B490" t="s">
        <v>190</v>
      </c>
      <c r="C490" t="s">
        <v>190</v>
      </c>
      <c r="D490" t="s">
        <v>5</v>
      </c>
      <c r="E490" t="s">
        <v>9</v>
      </c>
      <c r="F490" t="s">
        <v>10</v>
      </c>
      <c r="G490">
        <v>39</v>
      </c>
      <c r="H490">
        <v>34</v>
      </c>
      <c r="I490">
        <v>10.27</v>
      </c>
      <c r="J490">
        <v>6.6</v>
      </c>
      <c r="K490">
        <v>1.17</v>
      </c>
      <c r="L490">
        <v>0.55000000000000004</v>
      </c>
      <c r="M490">
        <v>0.13</v>
      </c>
      <c r="N490" s="21">
        <v>3.4472934472934473</v>
      </c>
      <c r="O490" s="21">
        <v>3.5761316872427988</v>
      </c>
      <c r="P490" s="21">
        <v>3.4472934472934473</v>
      </c>
      <c r="Q490" s="21" t="s">
        <v>547</v>
      </c>
      <c r="S490" t="s">
        <v>547</v>
      </c>
    </row>
    <row r="491" spans="1:19" x14ac:dyDescent="0.2">
      <c r="A491">
        <v>494</v>
      </c>
      <c r="B491" t="s">
        <v>190</v>
      </c>
      <c r="C491" t="s">
        <v>190</v>
      </c>
      <c r="D491" t="s">
        <v>5</v>
      </c>
      <c r="E491" t="s">
        <v>9</v>
      </c>
      <c r="F491" t="s">
        <v>11</v>
      </c>
      <c r="G491">
        <v>33</v>
      </c>
      <c r="H491">
        <v>36</v>
      </c>
      <c r="I491">
        <v>12.21</v>
      </c>
      <c r="J491">
        <v>8.01</v>
      </c>
      <c r="K491">
        <v>1.17</v>
      </c>
      <c r="L491">
        <v>0.55000000000000004</v>
      </c>
      <c r="M491">
        <v>0.13</v>
      </c>
      <c r="N491" s="21">
        <v>4.183760683760684</v>
      </c>
      <c r="O491" s="21">
        <v>4.251661918328586</v>
      </c>
      <c r="P491" s="21">
        <v>4.183760683760684</v>
      </c>
      <c r="Q491" s="21" t="s">
        <v>547</v>
      </c>
      <c r="S491" t="s">
        <v>547</v>
      </c>
    </row>
    <row r="492" spans="1:19" x14ac:dyDescent="0.2">
      <c r="A492">
        <v>495</v>
      </c>
      <c r="B492" t="s">
        <v>190</v>
      </c>
      <c r="C492" t="s">
        <v>190</v>
      </c>
      <c r="D492" t="s">
        <v>5</v>
      </c>
      <c r="E492" t="s">
        <v>9</v>
      </c>
      <c r="F492" t="s">
        <v>12</v>
      </c>
      <c r="G492">
        <v>26</v>
      </c>
      <c r="H492">
        <v>26</v>
      </c>
      <c r="I492">
        <v>9.07</v>
      </c>
      <c r="J492">
        <v>5.78</v>
      </c>
      <c r="K492">
        <v>1.08</v>
      </c>
      <c r="L492">
        <v>0.51</v>
      </c>
      <c r="N492" s="21">
        <v>3.0327160493827159</v>
      </c>
      <c r="O492" s="21">
        <v>3.1726337448559674</v>
      </c>
      <c r="P492" s="21" t="s">
        <v>547</v>
      </c>
      <c r="Q492" s="21">
        <v>3.0327160493827159</v>
      </c>
      <c r="S492" t="s">
        <v>547</v>
      </c>
    </row>
    <row r="493" spans="1:19" x14ac:dyDescent="0.2">
      <c r="A493">
        <v>496</v>
      </c>
      <c r="B493" t="s">
        <v>190</v>
      </c>
      <c r="C493" t="s">
        <v>190</v>
      </c>
      <c r="D493" t="s">
        <v>5</v>
      </c>
      <c r="E493" t="s">
        <v>9</v>
      </c>
      <c r="F493" t="s">
        <v>14</v>
      </c>
      <c r="G493">
        <v>28</v>
      </c>
      <c r="H493">
        <v>25</v>
      </c>
      <c r="I493">
        <v>6.25</v>
      </c>
      <c r="J493">
        <v>4.5</v>
      </c>
      <c r="K493">
        <v>1.08</v>
      </c>
      <c r="L493">
        <v>0.51</v>
      </c>
      <c r="N493" s="21">
        <v>2.3611111111111112</v>
      </c>
      <c r="O493" s="21">
        <v>2.1862139917695473</v>
      </c>
      <c r="P493" s="21" t="s">
        <v>547</v>
      </c>
      <c r="Q493" s="21">
        <v>2.3611111111111112</v>
      </c>
      <c r="S493" t="s">
        <v>547</v>
      </c>
    </row>
    <row r="494" spans="1:19" x14ac:dyDescent="0.2">
      <c r="A494">
        <v>497</v>
      </c>
      <c r="B494" t="s">
        <v>191</v>
      </c>
      <c r="C494" s="14" t="s">
        <v>191</v>
      </c>
      <c r="D494" t="s">
        <v>5</v>
      </c>
      <c r="E494" t="s">
        <v>9</v>
      </c>
      <c r="F494" t="s">
        <v>10</v>
      </c>
      <c r="G494">
        <v>41</v>
      </c>
      <c r="H494">
        <v>43</v>
      </c>
      <c r="I494">
        <v>11.03</v>
      </c>
      <c r="J494">
        <v>8.25</v>
      </c>
      <c r="K494">
        <v>0.97</v>
      </c>
      <c r="N494" s="21">
        <v>5.2299446749654228</v>
      </c>
      <c r="O494" s="21">
        <v>4.6615183648378675</v>
      </c>
      <c r="P494" s="21">
        <v>5.2299446749654228</v>
      </c>
      <c r="Q494" s="21" t="s">
        <v>547</v>
      </c>
      <c r="S494" t="s">
        <v>547</v>
      </c>
    </row>
    <row r="495" spans="1:19" x14ac:dyDescent="0.2">
      <c r="A495">
        <v>498</v>
      </c>
      <c r="B495" t="s">
        <v>191</v>
      </c>
      <c r="C495" s="14" t="s">
        <v>191</v>
      </c>
      <c r="D495" t="s">
        <v>5</v>
      </c>
      <c r="E495" t="s">
        <v>9</v>
      </c>
      <c r="F495" t="s">
        <v>11</v>
      </c>
      <c r="G495">
        <v>38</v>
      </c>
      <c r="H495">
        <v>38</v>
      </c>
      <c r="I495">
        <v>9.86</v>
      </c>
      <c r="J495">
        <v>8.57</v>
      </c>
      <c r="K495">
        <v>0.97</v>
      </c>
      <c r="N495" s="21">
        <v>5.4328031350852939</v>
      </c>
      <c r="O495" s="21">
        <v>4.1670508682956822</v>
      </c>
      <c r="P495" s="21">
        <v>5.4328031350852939</v>
      </c>
      <c r="Q495" s="21" t="s">
        <v>547</v>
      </c>
      <c r="S495" t="s">
        <v>547</v>
      </c>
    </row>
    <row r="496" spans="1:19" x14ac:dyDescent="0.2">
      <c r="A496">
        <v>499</v>
      </c>
      <c r="B496" t="s">
        <v>191</v>
      </c>
      <c r="C496" s="14" t="s">
        <v>191</v>
      </c>
      <c r="D496" t="s">
        <v>5</v>
      </c>
      <c r="E496" t="s">
        <v>9</v>
      </c>
      <c r="F496" t="s">
        <v>12</v>
      </c>
      <c r="G496">
        <v>20</v>
      </c>
      <c r="H496">
        <v>20</v>
      </c>
      <c r="I496">
        <v>4.12</v>
      </c>
      <c r="J496">
        <v>5.54</v>
      </c>
      <c r="K496">
        <v>1.22</v>
      </c>
      <c r="N496" s="21">
        <v>3.5119870908252655</v>
      </c>
      <c r="O496" s="21">
        <v>1.741201782695559</v>
      </c>
      <c r="P496" s="21" t="s">
        <v>547</v>
      </c>
      <c r="Q496" s="21">
        <v>3.5119870908252655</v>
      </c>
      <c r="S496" t="s">
        <v>547</v>
      </c>
    </row>
    <row r="497" spans="1:19" x14ac:dyDescent="0.2">
      <c r="A497">
        <v>500</v>
      </c>
      <c r="B497" t="s">
        <v>191</v>
      </c>
      <c r="C497" s="14" t="s">
        <v>191</v>
      </c>
      <c r="D497" t="s">
        <v>5</v>
      </c>
      <c r="E497" t="s">
        <v>9</v>
      </c>
      <c r="F497" t="s">
        <v>14</v>
      </c>
      <c r="G497">
        <v>25</v>
      </c>
      <c r="H497">
        <v>25</v>
      </c>
      <c r="I497">
        <v>4.47</v>
      </c>
      <c r="J497">
        <v>6.33</v>
      </c>
      <c r="K497">
        <v>1.22</v>
      </c>
      <c r="N497" s="21">
        <v>4.0127939142461972</v>
      </c>
      <c r="O497" s="21">
        <v>1.889119409866298</v>
      </c>
      <c r="P497" s="21" t="s">
        <v>547</v>
      </c>
      <c r="Q497" s="21">
        <v>4.0127939142461972</v>
      </c>
      <c r="S497" t="s">
        <v>547</v>
      </c>
    </row>
    <row r="498" spans="1:19" x14ac:dyDescent="0.2">
      <c r="A498">
        <v>501</v>
      </c>
      <c r="B498" t="s">
        <v>192</v>
      </c>
      <c r="C498" t="s">
        <v>362</v>
      </c>
      <c r="D498" t="s">
        <v>5</v>
      </c>
      <c r="E498" t="s">
        <v>9</v>
      </c>
      <c r="F498" t="s">
        <v>10</v>
      </c>
      <c r="G498">
        <v>28</v>
      </c>
      <c r="H498">
        <v>29</v>
      </c>
      <c r="I498">
        <v>10.65</v>
      </c>
      <c r="J498">
        <v>6.51</v>
      </c>
      <c r="K498">
        <v>1.22</v>
      </c>
      <c r="L498">
        <v>0.69299999999999995</v>
      </c>
      <c r="M498">
        <v>0.13500000000000001</v>
      </c>
      <c r="N498" s="21">
        <v>4.1087704918032788</v>
      </c>
      <c r="O498" s="21">
        <v>4.4811475409836063</v>
      </c>
      <c r="P498" s="21">
        <v>4.1087704918032788</v>
      </c>
      <c r="Q498" s="21" t="s">
        <v>547</v>
      </c>
      <c r="S498" t="s">
        <v>547</v>
      </c>
    </row>
    <row r="499" spans="1:19" x14ac:dyDescent="0.2">
      <c r="A499">
        <v>502</v>
      </c>
      <c r="B499" t="s">
        <v>192</v>
      </c>
      <c r="C499" t="s">
        <v>362</v>
      </c>
      <c r="D499" t="s">
        <v>5</v>
      </c>
      <c r="E499" t="s">
        <v>9</v>
      </c>
      <c r="F499" t="s">
        <v>11</v>
      </c>
      <c r="G499">
        <v>36</v>
      </c>
      <c r="H499">
        <v>35</v>
      </c>
      <c r="I499">
        <v>11.23</v>
      </c>
      <c r="J499">
        <v>8.0299999999999994</v>
      </c>
      <c r="K499">
        <v>1.22</v>
      </c>
      <c r="L499">
        <v>0.69299999999999995</v>
      </c>
      <c r="M499">
        <v>0.13500000000000001</v>
      </c>
      <c r="N499" s="21">
        <v>5.0681147540983593</v>
      </c>
      <c r="O499" s="21">
        <v>4.7251912568306009</v>
      </c>
      <c r="P499" s="21">
        <v>5.0681147540983593</v>
      </c>
      <c r="Q499" s="21" t="s">
        <v>547</v>
      </c>
      <c r="S499" t="s">
        <v>547</v>
      </c>
    </row>
    <row r="500" spans="1:19" x14ac:dyDescent="0.2">
      <c r="A500">
        <v>503</v>
      </c>
      <c r="B500" t="s">
        <v>192</v>
      </c>
      <c r="C500" t="s">
        <v>362</v>
      </c>
      <c r="D500" t="s">
        <v>5</v>
      </c>
      <c r="E500" t="s">
        <v>9</v>
      </c>
      <c r="F500" t="s">
        <v>12</v>
      </c>
      <c r="G500">
        <v>26</v>
      </c>
      <c r="H500">
        <v>27</v>
      </c>
      <c r="I500">
        <v>5.82</v>
      </c>
      <c r="J500">
        <v>4.9000000000000004</v>
      </c>
      <c r="K500">
        <v>1.08</v>
      </c>
      <c r="L500">
        <v>0.40699999999999997</v>
      </c>
      <c r="M500">
        <v>0.107</v>
      </c>
      <c r="N500" s="21">
        <v>2.0517489711934158</v>
      </c>
      <c r="O500" s="21">
        <v>1.624650205761317</v>
      </c>
      <c r="P500" s="21" t="s">
        <v>547</v>
      </c>
      <c r="Q500" s="21">
        <v>2.0517489711934158</v>
      </c>
      <c r="S500" t="s">
        <v>547</v>
      </c>
    </row>
    <row r="501" spans="1:19" x14ac:dyDescent="0.2">
      <c r="A501">
        <v>504</v>
      </c>
      <c r="B501" t="s">
        <v>192</v>
      </c>
      <c r="C501" t="s">
        <v>362</v>
      </c>
      <c r="D501" t="s">
        <v>5</v>
      </c>
      <c r="E501" t="s">
        <v>9</v>
      </c>
      <c r="F501" t="s">
        <v>14</v>
      </c>
      <c r="G501">
        <v>25</v>
      </c>
      <c r="H501">
        <v>26</v>
      </c>
      <c r="I501">
        <v>5.72</v>
      </c>
      <c r="J501">
        <v>4.5</v>
      </c>
      <c r="K501">
        <v>1.08</v>
      </c>
      <c r="L501">
        <v>0.40699999999999997</v>
      </c>
      <c r="M501">
        <v>0.107</v>
      </c>
      <c r="N501" s="21">
        <v>1.8842592592592593</v>
      </c>
      <c r="O501" s="21">
        <v>1.5967352537722908</v>
      </c>
      <c r="P501" s="21" t="s">
        <v>547</v>
      </c>
      <c r="Q501" s="21">
        <v>1.8842592592592593</v>
      </c>
      <c r="S501" t="s">
        <v>547</v>
      </c>
    </row>
    <row r="502" spans="1:19" x14ac:dyDescent="0.2">
      <c r="A502">
        <v>505</v>
      </c>
      <c r="B502" t="s">
        <v>193</v>
      </c>
      <c r="C502" t="s">
        <v>193</v>
      </c>
      <c r="D502" t="s">
        <v>15</v>
      </c>
      <c r="E502" t="s">
        <v>9</v>
      </c>
      <c r="F502" t="s">
        <v>10</v>
      </c>
      <c r="G502">
        <v>19</v>
      </c>
      <c r="H502">
        <v>22</v>
      </c>
      <c r="I502">
        <v>7.5</v>
      </c>
      <c r="J502">
        <v>3.6</v>
      </c>
      <c r="K502">
        <v>0.7</v>
      </c>
      <c r="L502">
        <v>0.41299999999999998</v>
      </c>
      <c r="M502">
        <v>0.10299999999999999</v>
      </c>
      <c r="N502" s="21">
        <v>2.3600000000000003</v>
      </c>
      <c r="O502" s="21">
        <v>3.2777777777777781</v>
      </c>
      <c r="P502" s="21">
        <v>2.3600000000000003</v>
      </c>
      <c r="Q502" s="21" t="s">
        <v>547</v>
      </c>
      <c r="S502" t="s">
        <v>547</v>
      </c>
    </row>
    <row r="503" spans="1:19" x14ac:dyDescent="0.2">
      <c r="A503">
        <v>506</v>
      </c>
      <c r="B503" t="s">
        <v>193</v>
      </c>
      <c r="C503" t="s">
        <v>193</v>
      </c>
      <c r="D503" t="s">
        <v>15</v>
      </c>
      <c r="E503" t="s">
        <v>9</v>
      </c>
      <c r="F503" t="s">
        <v>11</v>
      </c>
      <c r="G503">
        <v>17</v>
      </c>
      <c r="H503">
        <v>18</v>
      </c>
      <c r="I503">
        <v>9.4</v>
      </c>
      <c r="J503">
        <v>3.55</v>
      </c>
      <c r="K503">
        <v>0.7</v>
      </c>
      <c r="L503">
        <v>0.41299999999999998</v>
      </c>
      <c r="M503">
        <v>0.10299999999999999</v>
      </c>
      <c r="N503" s="21">
        <v>2.3272222222222219</v>
      </c>
      <c r="O503" s="21">
        <v>4.1081481481481488</v>
      </c>
      <c r="P503" s="21">
        <v>2.3272222222222219</v>
      </c>
      <c r="Q503" s="21" t="s">
        <v>547</v>
      </c>
      <c r="S503" t="s">
        <v>547</v>
      </c>
    </row>
    <row r="504" spans="1:19" x14ac:dyDescent="0.2">
      <c r="A504">
        <v>507</v>
      </c>
      <c r="B504" t="s">
        <v>193</v>
      </c>
      <c r="C504" t="s">
        <v>193</v>
      </c>
      <c r="D504" t="s">
        <v>15</v>
      </c>
      <c r="E504" t="s">
        <v>9</v>
      </c>
      <c r="F504" t="s">
        <v>12</v>
      </c>
      <c r="G504">
        <v>24</v>
      </c>
      <c r="H504">
        <v>22</v>
      </c>
      <c r="I504">
        <v>5.4</v>
      </c>
      <c r="J504">
        <v>2.2999999999999998</v>
      </c>
      <c r="K504">
        <v>0.7</v>
      </c>
      <c r="L504">
        <v>0.40100000000000002</v>
      </c>
      <c r="M504">
        <v>7.9000000000000001E-2</v>
      </c>
      <c r="N504" s="21">
        <v>1.4639682539682541</v>
      </c>
      <c r="O504" s="21">
        <v>2.2914285714285718</v>
      </c>
      <c r="P504" s="21" t="s">
        <v>547</v>
      </c>
      <c r="Q504" s="21">
        <v>1.4639682539682541</v>
      </c>
      <c r="S504" t="s">
        <v>547</v>
      </c>
    </row>
    <row r="505" spans="1:19" x14ac:dyDescent="0.2">
      <c r="A505">
        <v>508</v>
      </c>
      <c r="B505" t="s">
        <v>193</v>
      </c>
      <c r="C505" t="s">
        <v>193</v>
      </c>
      <c r="D505" t="s">
        <v>15</v>
      </c>
      <c r="E505" t="s">
        <v>9</v>
      </c>
      <c r="F505" t="s">
        <v>14</v>
      </c>
      <c r="G505">
        <v>27</v>
      </c>
      <c r="H505">
        <v>22</v>
      </c>
      <c r="I505">
        <v>4.05</v>
      </c>
      <c r="J505">
        <v>3.03</v>
      </c>
      <c r="K505">
        <v>0.7</v>
      </c>
      <c r="L505">
        <v>0.40100000000000002</v>
      </c>
      <c r="M505">
        <v>7.9000000000000001E-2</v>
      </c>
      <c r="N505" s="21">
        <v>1.9286190476190479</v>
      </c>
      <c r="O505" s="21">
        <v>1.7185714285714289</v>
      </c>
      <c r="P505" s="21" t="s">
        <v>547</v>
      </c>
      <c r="Q505" s="21">
        <v>1.9286190476190479</v>
      </c>
      <c r="S505" t="s">
        <v>547</v>
      </c>
    </row>
    <row r="506" spans="1:19" x14ac:dyDescent="0.2">
      <c r="A506">
        <v>509</v>
      </c>
      <c r="B506" t="s">
        <v>194</v>
      </c>
      <c r="C506" t="s">
        <v>194</v>
      </c>
      <c r="D506" t="s">
        <v>15</v>
      </c>
      <c r="E506" t="s">
        <v>9</v>
      </c>
      <c r="F506" t="s">
        <v>10</v>
      </c>
      <c r="G506">
        <v>21</v>
      </c>
      <c r="H506">
        <v>26</v>
      </c>
      <c r="I506">
        <v>7.55</v>
      </c>
      <c r="J506">
        <v>5.2</v>
      </c>
      <c r="K506">
        <v>1.05</v>
      </c>
      <c r="L506">
        <v>0.63300000000000001</v>
      </c>
      <c r="M506">
        <v>0.14199999999999999</v>
      </c>
      <c r="N506" s="21">
        <v>3.4831746031746036</v>
      </c>
      <c r="O506" s="21">
        <v>3.3715343915343912</v>
      </c>
      <c r="P506" s="21">
        <v>3.4831746031746036</v>
      </c>
      <c r="Q506" s="21" t="s">
        <v>547</v>
      </c>
      <c r="S506" t="s">
        <v>547</v>
      </c>
    </row>
    <row r="507" spans="1:19" x14ac:dyDescent="0.2">
      <c r="A507">
        <v>510</v>
      </c>
      <c r="B507" t="s">
        <v>194</v>
      </c>
      <c r="C507" t="s">
        <v>194</v>
      </c>
      <c r="D507" t="s">
        <v>15</v>
      </c>
      <c r="E507" t="s">
        <v>9</v>
      </c>
      <c r="F507" t="s">
        <v>11</v>
      </c>
      <c r="G507">
        <v>25</v>
      </c>
      <c r="H507">
        <v>22</v>
      </c>
      <c r="I507">
        <v>6.11</v>
      </c>
      <c r="J507">
        <v>3.75</v>
      </c>
      <c r="K507">
        <v>1.05</v>
      </c>
      <c r="L507">
        <v>0.63300000000000001</v>
      </c>
      <c r="M507">
        <v>0.14199999999999999</v>
      </c>
      <c r="N507" s="21">
        <v>2.5119047619047619</v>
      </c>
      <c r="O507" s="21">
        <v>2.7284867724867725</v>
      </c>
      <c r="P507" s="21">
        <v>2.5119047619047619</v>
      </c>
      <c r="Q507" s="21" t="s">
        <v>547</v>
      </c>
      <c r="S507" t="s">
        <v>547</v>
      </c>
    </row>
    <row r="508" spans="1:19" x14ac:dyDescent="0.2">
      <c r="A508">
        <v>511</v>
      </c>
      <c r="B508" t="s">
        <v>194</v>
      </c>
      <c r="C508" t="s">
        <v>194</v>
      </c>
      <c r="D508" t="s">
        <v>15</v>
      </c>
      <c r="E508" t="s">
        <v>9</v>
      </c>
      <c r="F508" t="s">
        <v>12</v>
      </c>
      <c r="G508">
        <v>46</v>
      </c>
      <c r="H508">
        <v>31</v>
      </c>
      <c r="I508">
        <v>10.55</v>
      </c>
      <c r="J508">
        <v>3.9</v>
      </c>
      <c r="K508">
        <v>0.7</v>
      </c>
      <c r="L508">
        <v>0.38700000000000001</v>
      </c>
      <c r="M508">
        <v>9.9000000000000005E-2</v>
      </c>
      <c r="N508" s="21">
        <v>2.3957142857142864</v>
      </c>
      <c r="O508" s="21">
        <v>4.3204761904761924</v>
      </c>
      <c r="P508" s="21" t="s">
        <v>547</v>
      </c>
      <c r="Q508" s="21">
        <v>2.3957142857142864</v>
      </c>
      <c r="S508" t="s">
        <v>547</v>
      </c>
    </row>
    <row r="509" spans="1:19" x14ac:dyDescent="0.2">
      <c r="A509">
        <v>512</v>
      </c>
      <c r="B509" t="s">
        <v>194</v>
      </c>
      <c r="C509" t="s">
        <v>194</v>
      </c>
      <c r="D509" t="s">
        <v>15</v>
      </c>
      <c r="E509" t="s">
        <v>9</v>
      </c>
      <c r="F509" t="s">
        <v>14</v>
      </c>
      <c r="G509">
        <v>56</v>
      </c>
      <c r="H509">
        <v>35</v>
      </c>
      <c r="I509">
        <v>10.55</v>
      </c>
      <c r="J509">
        <v>3.55</v>
      </c>
      <c r="K509">
        <v>0.7</v>
      </c>
      <c r="L509">
        <v>0.38700000000000001</v>
      </c>
      <c r="M509">
        <v>9.9000000000000005E-2</v>
      </c>
      <c r="N509" s="21">
        <v>2.180714285714286</v>
      </c>
      <c r="O509" s="21">
        <v>4.3204761904761924</v>
      </c>
      <c r="P509" s="21" t="s">
        <v>547</v>
      </c>
      <c r="Q509" s="21">
        <v>2.180714285714286</v>
      </c>
      <c r="S509" t="s">
        <v>547</v>
      </c>
    </row>
    <row r="510" spans="1:19" x14ac:dyDescent="0.2">
      <c r="A510">
        <v>513</v>
      </c>
      <c r="B510" t="s">
        <v>195</v>
      </c>
      <c r="C510" t="s">
        <v>195</v>
      </c>
      <c r="D510" t="s">
        <v>15</v>
      </c>
      <c r="E510" t="s">
        <v>9</v>
      </c>
      <c r="F510" t="s">
        <v>10</v>
      </c>
      <c r="G510">
        <v>36</v>
      </c>
      <c r="H510">
        <v>34</v>
      </c>
      <c r="I510">
        <v>10.25</v>
      </c>
      <c r="J510">
        <v>5.4</v>
      </c>
      <c r="K510">
        <v>0.9</v>
      </c>
      <c r="L510">
        <v>0.48099999999999998</v>
      </c>
      <c r="M510">
        <v>0.122</v>
      </c>
      <c r="N510" s="21">
        <v>3.2066666666666666</v>
      </c>
      <c r="O510" s="21">
        <v>4.0578189300411527</v>
      </c>
      <c r="P510" s="21">
        <v>3.2066666666666666</v>
      </c>
      <c r="Q510" s="21" t="s">
        <v>547</v>
      </c>
      <c r="S510" t="s">
        <v>547</v>
      </c>
    </row>
    <row r="511" spans="1:19" x14ac:dyDescent="0.2">
      <c r="A511">
        <v>514</v>
      </c>
      <c r="B511" t="s">
        <v>195</v>
      </c>
      <c r="C511" t="s">
        <v>195</v>
      </c>
      <c r="D511" t="s">
        <v>15</v>
      </c>
      <c r="E511" t="s">
        <v>9</v>
      </c>
      <c r="F511" t="s">
        <v>11</v>
      </c>
      <c r="G511">
        <v>36</v>
      </c>
      <c r="H511">
        <v>29</v>
      </c>
      <c r="I511">
        <v>9.5500000000000007</v>
      </c>
      <c r="J511">
        <v>3.85</v>
      </c>
      <c r="K511">
        <v>0.9</v>
      </c>
      <c r="L511">
        <v>0.48099999999999998</v>
      </c>
      <c r="M511">
        <v>0.122</v>
      </c>
      <c r="N511" s="21">
        <v>2.2862345679012348</v>
      </c>
      <c r="O511" s="21">
        <v>3.7806995884773666</v>
      </c>
      <c r="P511" s="21">
        <v>2.2862345679012348</v>
      </c>
      <c r="Q511" s="21" t="s">
        <v>547</v>
      </c>
      <c r="S511" t="s">
        <v>547</v>
      </c>
    </row>
    <row r="512" spans="1:19" x14ac:dyDescent="0.2">
      <c r="A512">
        <v>515</v>
      </c>
      <c r="B512" t="s">
        <v>195</v>
      </c>
      <c r="C512" t="s">
        <v>195</v>
      </c>
      <c r="D512" t="s">
        <v>15</v>
      </c>
      <c r="E512" t="s">
        <v>9</v>
      </c>
      <c r="F512" t="s">
        <v>12</v>
      </c>
      <c r="G512">
        <v>26</v>
      </c>
      <c r="H512">
        <v>22</v>
      </c>
      <c r="I512">
        <v>6.15</v>
      </c>
      <c r="J512">
        <v>5.95</v>
      </c>
      <c r="K512">
        <v>1.4</v>
      </c>
      <c r="L512">
        <v>0.84099999999999997</v>
      </c>
      <c r="M512">
        <v>0.158</v>
      </c>
      <c r="N512" s="21">
        <v>3.9713888888888893</v>
      </c>
      <c r="O512" s="21">
        <v>2.7365873015873019</v>
      </c>
      <c r="P512" s="21" t="s">
        <v>547</v>
      </c>
      <c r="Q512" s="21">
        <v>3.9713888888888893</v>
      </c>
      <c r="S512" t="s">
        <v>547</v>
      </c>
    </row>
    <row r="513" spans="1:19" x14ac:dyDescent="0.2">
      <c r="A513">
        <v>516</v>
      </c>
      <c r="B513" t="s">
        <v>195</v>
      </c>
      <c r="C513" t="s">
        <v>195</v>
      </c>
      <c r="D513" t="s">
        <v>15</v>
      </c>
      <c r="E513" t="s">
        <v>9</v>
      </c>
      <c r="F513" t="s">
        <v>14</v>
      </c>
      <c r="G513">
        <v>23</v>
      </c>
      <c r="H513">
        <v>23</v>
      </c>
      <c r="I513">
        <v>4.3</v>
      </c>
      <c r="J513">
        <v>3.9</v>
      </c>
      <c r="K513">
        <v>1.4</v>
      </c>
      <c r="L513">
        <v>0.84099999999999997</v>
      </c>
      <c r="M513">
        <v>0.158</v>
      </c>
      <c r="N513" s="21">
        <v>2.6030952380952384</v>
      </c>
      <c r="O513" s="21">
        <v>1.9133862433862436</v>
      </c>
      <c r="P513" s="21" t="s">
        <v>547</v>
      </c>
      <c r="Q513" s="21">
        <v>2.6030952380952384</v>
      </c>
      <c r="S513" t="s">
        <v>547</v>
      </c>
    </row>
    <row r="514" spans="1:19" x14ac:dyDescent="0.2">
      <c r="A514">
        <v>517</v>
      </c>
      <c r="B514" t="s">
        <v>196</v>
      </c>
      <c r="D514" t="s">
        <v>15</v>
      </c>
      <c r="E514" t="s">
        <v>9</v>
      </c>
      <c r="F514" t="s">
        <v>10</v>
      </c>
      <c r="G514">
        <v>27</v>
      </c>
      <c r="H514">
        <v>25</v>
      </c>
      <c r="I514">
        <v>4.55</v>
      </c>
      <c r="J514">
        <v>5.3</v>
      </c>
      <c r="K514">
        <v>0.6</v>
      </c>
      <c r="N514" s="21">
        <v>0</v>
      </c>
      <c r="O514" s="21">
        <v>0</v>
      </c>
      <c r="P514" s="21">
        <v>0</v>
      </c>
      <c r="Q514" s="21" t="s">
        <v>547</v>
      </c>
      <c r="S514" t="s">
        <v>547</v>
      </c>
    </row>
    <row r="515" spans="1:19" x14ac:dyDescent="0.2">
      <c r="A515">
        <v>518</v>
      </c>
      <c r="B515" t="s">
        <v>196</v>
      </c>
      <c r="D515" t="s">
        <v>15</v>
      </c>
      <c r="E515" t="s">
        <v>9</v>
      </c>
      <c r="F515" t="s">
        <v>10</v>
      </c>
      <c r="G515">
        <v>27</v>
      </c>
      <c r="H515">
        <v>25</v>
      </c>
      <c r="I515">
        <v>4.55</v>
      </c>
      <c r="J515">
        <v>5.3</v>
      </c>
      <c r="K515">
        <v>0.6</v>
      </c>
      <c r="L515">
        <v>0.58199999999999996</v>
      </c>
      <c r="M515">
        <v>0.09</v>
      </c>
      <c r="N515" s="21">
        <v>5.7122222222222225</v>
      </c>
      <c r="O515" s="21">
        <v>3.2692592592592598</v>
      </c>
      <c r="P515" s="21">
        <v>5.7122222222222225</v>
      </c>
      <c r="Q515" s="21" t="s">
        <v>547</v>
      </c>
      <c r="S515" t="s">
        <v>547</v>
      </c>
    </row>
    <row r="516" spans="1:19" x14ac:dyDescent="0.2">
      <c r="A516">
        <v>519</v>
      </c>
      <c r="B516" t="s">
        <v>197</v>
      </c>
      <c r="C516" t="s">
        <v>363</v>
      </c>
      <c r="D516" t="s">
        <v>15</v>
      </c>
      <c r="E516" t="s">
        <v>9</v>
      </c>
      <c r="F516" t="s">
        <v>10</v>
      </c>
      <c r="G516">
        <v>30</v>
      </c>
      <c r="H516">
        <v>34</v>
      </c>
      <c r="I516">
        <v>7.3</v>
      </c>
      <c r="J516">
        <v>5.0999999999999996</v>
      </c>
      <c r="K516">
        <v>1.05</v>
      </c>
      <c r="L516">
        <v>0.56200000000000006</v>
      </c>
      <c r="M516">
        <v>0.09</v>
      </c>
      <c r="N516" s="21">
        <v>3.0330158730158736</v>
      </c>
      <c r="O516" s="21">
        <v>2.8942504409171077</v>
      </c>
      <c r="P516" s="21">
        <v>3.0330158730158736</v>
      </c>
      <c r="Q516" s="21" t="s">
        <v>547</v>
      </c>
      <c r="S516" t="s">
        <v>547</v>
      </c>
    </row>
    <row r="517" spans="1:19" x14ac:dyDescent="0.2">
      <c r="A517">
        <v>520</v>
      </c>
      <c r="B517" t="s">
        <v>197</v>
      </c>
      <c r="C517" t="s">
        <v>363</v>
      </c>
      <c r="D517" t="s">
        <v>15</v>
      </c>
      <c r="E517" t="s">
        <v>9</v>
      </c>
      <c r="F517" t="s">
        <v>11</v>
      </c>
      <c r="G517">
        <v>24</v>
      </c>
      <c r="H517">
        <v>35</v>
      </c>
      <c r="I517">
        <v>6.65</v>
      </c>
      <c r="J517">
        <v>5.25</v>
      </c>
      <c r="K517">
        <v>1.05</v>
      </c>
      <c r="L517">
        <v>0.56200000000000006</v>
      </c>
      <c r="M517">
        <v>0.09</v>
      </c>
      <c r="N517" s="21">
        <v>3.1222222222222231</v>
      </c>
      <c r="O517" s="21">
        <v>2.6365432098765433</v>
      </c>
      <c r="P517" s="21">
        <v>3.1222222222222231</v>
      </c>
      <c r="Q517" s="21" t="s">
        <v>547</v>
      </c>
      <c r="S517" t="s">
        <v>547</v>
      </c>
    </row>
    <row r="518" spans="1:19" x14ac:dyDescent="0.2">
      <c r="A518">
        <v>521</v>
      </c>
      <c r="B518" t="s">
        <v>197</v>
      </c>
      <c r="C518" t="s">
        <v>363</v>
      </c>
      <c r="D518" t="s">
        <v>15</v>
      </c>
      <c r="E518" t="s">
        <v>9</v>
      </c>
      <c r="F518" t="s">
        <v>12</v>
      </c>
      <c r="G518">
        <v>36</v>
      </c>
      <c r="H518">
        <v>34</v>
      </c>
      <c r="I518">
        <v>8.5</v>
      </c>
      <c r="J518">
        <v>5</v>
      </c>
      <c r="K518">
        <v>0.75</v>
      </c>
      <c r="L518">
        <v>0.43</v>
      </c>
      <c r="M518">
        <v>8.1000000000000003E-2</v>
      </c>
      <c r="N518" s="21">
        <v>3.1851851851851856</v>
      </c>
      <c r="O518" s="21">
        <v>3.6098765432098769</v>
      </c>
      <c r="P518" s="21" t="s">
        <v>547</v>
      </c>
      <c r="Q518" s="21">
        <v>3.1851851851851856</v>
      </c>
      <c r="S518" t="s">
        <v>547</v>
      </c>
    </row>
    <row r="519" spans="1:19" x14ac:dyDescent="0.2">
      <c r="A519">
        <v>522</v>
      </c>
      <c r="B519" t="s">
        <v>197</v>
      </c>
      <c r="C519" t="s">
        <v>363</v>
      </c>
      <c r="D519" t="s">
        <v>15</v>
      </c>
      <c r="E519" t="s">
        <v>9</v>
      </c>
      <c r="F519" t="s">
        <v>14</v>
      </c>
      <c r="G519">
        <v>38</v>
      </c>
      <c r="H519">
        <v>35</v>
      </c>
      <c r="I519">
        <v>6.35</v>
      </c>
      <c r="J519">
        <v>4.8</v>
      </c>
      <c r="K519">
        <v>0.75</v>
      </c>
      <c r="L519">
        <v>0.43</v>
      </c>
      <c r="M519">
        <v>8.1000000000000003E-2</v>
      </c>
      <c r="N519" s="21">
        <v>3.0577777777777784</v>
      </c>
      <c r="O519" s="21">
        <v>2.6967901234567901</v>
      </c>
      <c r="P519" s="21" t="s">
        <v>547</v>
      </c>
      <c r="Q519" s="21">
        <v>3.0577777777777784</v>
      </c>
      <c r="S519" t="s">
        <v>547</v>
      </c>
    </row>
    <row r="520" spans="1:19" x14ac:dyDescent="0.2">
      <c r="A520">
        <v>523</v>
      </c>
      <c r="B520" t="s">
        <v>198</v>
      </c>
      <c r="C520" t="s">
        <v>198</v>
      </c>
      <c r="D520" t="s">
        <v>15</v>
      </c>
      <c r="E520" t="s">
        <v>9</v>
      </c>
      <c r="F520" t="s">
        <v>10</v>
      </c>
      <c r="G520">
        <v>47</v>
      </c>
      <c r="H520">
        <v>49</v>
      </c>
      <c r="I520">
        <v>14.45</v>
      </c>
      <c r="J520">
        <v>7.6</v>
      </c>
      <c r="K520">
        <v>1</v>
      </c>
      <c r="L520">
        <v>0.57899999999999996</v>
      </c>
      <c r="M520">
        <v>8.8999999999999996E-2</v>
      </c>
      <c r="N520" s="21">
        <v>4.8893333333333331</v>
      </c>
      <c r="O520" s="21">
        <v>6.1974444444444439</v>
      </c>
      <c r="P520" s="21">
        <v>4.8893333333333331</v>
      </c>
      <c r="Q520" s="21" t="s">
        <v>547</v>
      </c>
      <c r="S520" t="s">
        <v>547</v>
      </c>
    </row>
    <row r="521" spans="1:19" x14ac:dyDescent="0.2">
      <c r="A521">
        <v>524</v>
      </c>
      <c r="B521" t="s">
        <v>198</v>
      </c>
      <c r="C521" t="s">
        <v>198</v>
      </c>
      <c r="D521" t="s">
        <v>15</v>
      </c>
      <c r="E521" t="s">
        <v>9</v>
      </c>
      <c r="F521" t="s">
        <v>11</v>
      </c>
      <c r="G521">
        <v>32</v>
      </c>
      <c r="H521">
        <v>26</v>
      </c>
      <c r="I521">
        <v>12.65</v>
      </c>
      <c r="J521">
        <v>4.3</v>
      </c>
      <c r="K521">
        <v>1</v>
      </c>
      <c r="L521">
        <v>0.57899999999999996</v>
      </c>
      <c r="M521">
        <v>8.8999999999999996E-2</v>
      </c>
      <c r="N521" s="21">
        <v>2.7663333333333329</v>
      </c>
      <c r="O521" s="21">
        <v>5.4254444444444436</v>
      </c>
      <c r="P521" s="21">
        <v>2.7663333333333329</v>
      </c>
      <c r="Q521" s="21" t="s">
        <v>547</v>
      </c>
      <c r="S521" t="s">
        <v>547</v>
      </c>
    </row>
    <row r="522" spans="1:19" x14ac:dyDescent="0.2">
      <c r="A522">
        <v>525</v>
      </c>
      <c r="B522" t="s">
        <v>198</v>
      </c>
      <c r="C522" t="s">
        <v>198</v>
      </c>
      <c r="D522" t="s">
        <v>15</v>
      </c>
      <c r="E522" t="s">
        <v>9</v>
      </c>
      <c r="F522" t="s">
        <v>12</v>
      </c>
      <c r="G522">
        <v>44</v>
      </c>
      <c r="H522">
        <v>14</v>
      </c>
      <c r="I522">
        <v>13.5</v>
      </c>
      <c r="J522">
        <v>1.55</v>
      </c>
      <c r="K522">
        <v>0.45</v>
      </c>
      <c r="L522">
        <v>0.307</v>
      </c>
      <c r="M522">
        <v>4.9000000000000002E-2</v>
      </c>
      <c r="N522" s="21">
        <v>1.1749382716049384</v>
      </c>
      <c r="O522" s="21">
        <v>6.822222222222222</v>
      </c>
      <c r="P522" s="21" t="s">
        <v>547</v>
      </c>
      <c r="Q522" s="21">
        <v>1.1749382716049384</v>
      </c>
      <c r="S522" t="s">
        <v>547</v>
      </c>
    </row>
    <row r="523" spans="1:19" x14ac:dyDescent="0.2">
      <c r="A523">
        <v>526</v>
      </c>
      <c r="B523" t="s">
        <v>198</v>
      </c>
      <c r="C523" t="s">
        <v>198</v>
      </c>
      <c r="D523" t="s">
        <v>15</v>
      </c>
      <c r="E523" t="s">
        <v>9</v>
      </c>
      <c r="F523" t="s">
        <v>14</v>
      </c>
      <c r="G523">
        <v>34</v>
      </c>
      <c r="H523">
        <v>22</v>
      </c>
      <c r="I523">
        <v>6.8</v>
      </c>
      <c r="J523">
        <v>1.75</v>
      </c>
      <c r="K523">
        <v>0.45</v>
      </c>
      <c r="L523">
        <v>0.307</v>
      </c>
      <c r="M523">
        <v>4.9000000000000002E-2</v>
      </c>
      <c r="N523" s="21">
        <v>1.3265432098765431</v>
      </c>
      <c r="O523" s="21">
        <v>3.436378600823045</v>
      </c>
      <c r="P523" s="21" t="s">
        <v>547</v>
      </c>
      <c r="Q523" s="21">
        <v>1.3265432098765431</v>
      </c>
      <c r="S523" t="s">
        <v>547</v>
      </c>
    </row>
    <row r="524" spans="1:19" x14ac:dyDescent="0.2">
      <c r="A524">
        <v>527</v>
      </c>
      <c r="B524" t="s">
        <v>199</v>
      </c>
      <c r="C524" t="s">
        <v>199</v>
      </c>
      <c r="D524" t="s">
        <v>15</v>
      </c>
      <c r="E524" t="s">
        <v>9</v>
      </c>
      <c r="F524" t="s">
        <v>10</v>
      </c>
      <c r="G524">
        <v>24</v>
      </c>
      <c r="H524">
        <v>22</v>
      </c>
      <c r="I524">
        <v>7.5</v>
      </c>
      <c r="J524">
        <v>4.05</v>
      </c>
      <c r="K524">
        <v>1</v>
      </c>
      <c r="L524">
        <v>0.58599999999999997</v>
      </c>
      <c r="M524">
        <v>0.113</v>
      </c>
      <c r="N524" s="21">
        <v>2.637</v>
      </c>
      <c r="O524" s="21">
        <v>3.255555555555556</v>
      </c>
      <c r="P524" s="21">
        <v>2.637</v>
      </c>
      <c r="Q524" s="21" t="s">
        <v>547</v>
      </c>
      <c r="S524" t="s">
        <v>547</v>
      </c>
    </row>
    <row r="525" spans="1:19" x14ac:dyDescent="0.2">
      <c r="A525">
        <v>528</v>
      </c>
      <c r="B525" t="s">
        <v>199</v>
      </c>
      <c r="C525" t="s">
        <v>199</v>
      </c>
      <c r="D525" t="s">
        <v>15</v>
      </c>
      <c r="E525" t="s">
        <v>9</v>
      </c>
      <c r="F525" t="s">
        <v>11</v>
      </c>
      <c r="G525">
        <v>22</v>
      </c>
      <c r="H525">
        <v>22</v>
      </c>
      <c r="I525">
        <v>6.6</v>
      </c>
      <c r="J525">
        <v>4.2</v>
      </c>
      <c r="K525">
        <v>1</v>
      </c>
      <c r="L525">
        <v>0.58599999999999997</v>
      </c>
      <c r="M525">
        <v>0.113</v>
      </c>
      <c r="N525" s="21">
        <v>2.7346666666666666</v>
      </c>
      <c r="O525" s="21">
        <v>2.8648888888888888</v>
      </c>
      <c r="P525" s="21">
        <v>2.7346666666666666</v>
      </c>
      <c r="Q525" s="21" t="s">
        <v>547</v>
      </c>
      <c r="S525" t="s">
        <v>547</v>
      </c>
    </row>
    <row r="526" spans="1:19" x14ac:dyDescent="0.2">
      <c r="A526">
        <v>529</v>
      </c>
      <c r="B526" t="s">
        <v>199</v>
      </c>
      <c r="C526" t="s">
        <v>199</v>
      </c>
      <c r="D526" t="s">
        <v>15</v>
      </c>
      <c r="E526" t="s">
        <v>9</v>
      </c>
      <c r="F526" t="s">
        <v>12</v>
      </c>
      <c r="G526">
        <v>23</v>
      </c>
      <c r="H526">
        <v>23</v>
      </c>
      <c r="I526">
        <v>6.35</v>
      </c>
      <c r="J526">
        <v>4</v>
      </c>
      <c r="K526">
        <v>0.85</v>
      </c>
      <c r="L526">
        <v>0.55900000000000005</v>
      </c>
      <c r="M526">
        <v>0.10199999999999999</v>
      </c>
      <c r="N526" s="21">
        <v>2.9228758169934643</v>
      </c>
      <c r="O526" s="21">
        <v>3.0933769063180834</v>
      </c>
      <c r="P526" s="21" t="s">
        <v>547</v>
      </c>
      <c r="Q526" s="21">
        <v>2.9228758169934643</v>
      </c>
      <c r="S526" t="s">
        <v>547</v>
      </c>
    </row>
    <row r="527" spans="1:19" x14ac:dyDescent="0.2">
      <c r="A527">
        <v>530</v>
      </c>
      <c r="B527" t="s">
        <v>199</v>
      </c>
      <c r="C527" t="s">
        <v>199</v>
      </c>
      <c r="D527" t="s">
        <v>15</v>
      </c>
      <c r="E527" t="s">
        <v>9</v>
      </c>
      <c r="F527" t="s">
        <v>14</v>
      </c>
      <c r="G527">
        <v>31</v>
      </c>
      <c r="H527">
        <v>30</v>
      </c>
      <c r="I527">
        <v>7.65</v>
      </c>
      <c r="J527">
        <v>5.7</v>
      </c>
      <c r="K527">
        <v>0.85</v>
      </c>
      <c r="L527">
        <v>0.55900000000000005</v>
      </c>
      <c r="M527">
        <v>0.10199999999999999</v>
      </c>
      <c r="N527" s="21">
        <v>4.1650980392156871</v>
      </c>
      <c r="O527" s="21">
        <v>3.7266666666666679</v>
      </c>
      <c r="P527" s="21" t="s">
        <v>547</v>
      </c>
      <c r="Q527" s="21">
        <v>4.1650980392156871</v>
      </c>
      <c r="S527" t="s">
        <v>547</v>
      </c>
    </row>
    <row r="528" spans="1:19" x14ac:dyDescent="0.2">
      <c r="A528">
        <v>531</v>
      </c>
      <c r="B528" t="s">
        <v>200</v>
      </c>
      <c r="C528" t="s">
        <v>200</v>
      </c>
      <c r="D528" t="s">
        <v>15</v>
      </c>
      <c r="E528" t="s">
        <v>9</v>
      </c>
      <c r="F528" t="s">
        <v>11</v>
      </c>
      <c r="G528">
        <v>38</v>
      </c>
      <c r="H528">
        <v>28</v>
      </c>
      <c r="I528">
        <v>4.3499999999999996</v>
      </c>
      <c r="J528">
        <v>5.05</v>
      </c>
      <c r="K528">
        <v>0.88</v>
      </c>
      <c r="L528">
        <v>0.58199999999999996</v>
      </c>
      <c r="M528">
        <v>0.09</v>
      </c>
      <c r="N528" s="21">
        <v>3.710984848484848</v>
      </c>
      <c r="O528" s="21">
        <v>2.1310606060606059</v>
      </c>
      <c r="P528" s="21">
        <v>3.710984848484848</v>
      </c>
      <c r="Q528" s="21" t="s">
        <v>547</v>
      </c>
      <c r="R528" t="s">
        <v>1532</v>
      </c>
      <c r="S528" t="s">
        <v>547</v>
      </c>
    </row>
    <row r="529" spans="1:19" x14ac:dyDescent="0.2">
      <c r="A529">
        <v>532</v>
      </c>
      <c r="B529" t="s">
        <v>200</v>
      </c>
      <c r="C529" t="s">
        <v>200</v>
      </c>
      <c r="D529" t="s">
        <v>15</v>
      </c>
      <c r="E529" t="s">
        <v>9</v>
      </c>
      <c r="F529" t="s">
        <v>11</v>
      </c>
      <c r="G529">
        <v>38</v>
      </c>
      <c r="H529">
        <v>28</v>
      </c>
      <c r="I529">
        <v>4.3499999999999996</v>
      </c>
      <c r="J529">
        <v>5.05</v>
      </c>
      <c r="K529">
        <v>0.88</v>
      </c>
      <c r="L529">
        <v>0.58199999999999996</v>
      </c>
      <c r="M529">
        <v>0.09</v>
      </c>
      <c r="N529" s="21">
        <v>3.710984848484848</v>
      </c>
      <c r="O529" s="21">
        <v>2.1310606060606059</v>
      </c>
      <c r="P529" s="21">
        <v>3.710984848484848</v>
      </c>
      <c r="Q529" s="21" t="s">
        <v>547</v>
      </c>
      <c r="S529" t="s">
        <v>547</v>
      </c>
    </row>
    <row r="530" spans="1:19" x14ac:dyDescent="0.2">
      <c r="A530">
        <v>533</v>
      </c>
      <c r="B530" t="s">
        <v>200</v>
      </c>
      <c r="C530" t="s">
        <v>200</v>
      </c>
      <c r="D530" t="s">
        <v>15</v>
      </c>
      <c r="E530" t="s">
        <v>9</v>
      </c>
      <c r="F530" t="s">
        <v>12</v>
      </c>
      <c r="G530">
        <v>24</v>
      </c>
      <c r="H530">
        <v>25</v>
      </c>
      <c r="I530">
        <v>4.7</v>
      </c>
      <c r="J530">
        <v>2.5499999999999998</v>
      </c>
      <c r="K530">
        <v>0.9</v>
      </c>
      <c r="L530">
        <v>0.58899999999999997</v>
      </c>
      <c r="M530">
        <v>0.129</v>
      </c>
      <c r="N530" s="21">
        <v>1.8542592592592591</v>
      </c>
      <c r="O530" s="21">
        <v>2.2784362139917693</v>
      </c>
      <c r="P530" s="21" t="s">
        <v>547</v>
      </c>
      <c r="Q530" s="21">
        <v>1.8542592592592591</v>
      </c>
      <c r="S530" t="s">
        <v>547</v>
      </c>
    </row>
    <row r="531" spans="1:19" x14ac:dyDescent="0.2">
      <c r="A531">
        <v>534</v>
      </c>
      <c r="B531" t="s">
        <v>200</v>
      </c>
      <c r="C531" t="s">
        <v>200</v>
      </c>
      <c r="D531" t="s">
        <v>15</v>
      </c>
      <c r="E531" t="s">
        <v>9</v>
      </c>
      <c r="F531" t="s">
        <v>14</v>
      </c>
      <c r="G531">
        <v>31</v>
      </c>
      <c r="H531">
        <v>29</v>
      </c>
      <c r="I531">
        <v>3.05</v>
      </c>
      <c r="J531">
        <v>2.35</v>
      </c>
      <c r="K531">
        <v>0.9</v>
      </c>
      <c r="L531">
        <v>0.58899999999999997</v>
      </c>
      <c r="M531">
        <v>0.129</v>
      </c>
      <c r="N531" s="21">
        <v>1.7088271604938272</v>
      </c>
      <c r="O531" s="21">
        <v>1.4785596707818929</v>
      </c>
      <c r="P531" s="21" t="s">
        <v>547</v>
      </c>
      <c r="Q531" s="21">
        <v>1.7088271604938272</v>
      </c>
      <c r="S531" t="s">
        <v>547</v>
      </c>
    </row>
    <row r="532" spans="1:19" x14ac:dyDescent="0.2">
      <c r="A532">
        <v>535</v>
      </c>
      <c r="B532" t="s">
        <v>201</v>
      </c>
      <c r="C532" t="s">
        <v>201</v>
      </c>
      <c r="D532" t="s">
        <v>15</v>
      </c>
      <c r="E532" t="s">
        <v>9</v>
      </c>
      <c r="F532" t="s">
        <v>10</v>
      </c>
      <c r="G532">
        <v>38</v>
      </c>
      <c r="H532">
        <v>34</v>
      </c>
      <c r="I532">
        <v>10.65</v>
      </c>
      <c r="J532">
        <v>5.3</v>
      </c>
      <c r="K532">
        <v>0.85</v>
      </c>
      <c r="L532">
        <v>0.41699999999999998</v>
      </c>
      <c r="M532">
        <v>9.4E-2</v>
      </c>
      <c r="N532" s="21">
        <v>2.8890196078431374</v>
      </c>
      <c r="O532" s="21">
        <v>3.8701960784313734</v>
      </c>
      <c r="P532" s="21">
        <v>2.8890196078431374</v>
      </c>
      <c r="Q532" s="21" t="s">
        <v>547</v>
      </c>
      <c r="S532" t="s">
        <v>547</v>
      </c>
    </row>
    <row r="533" spans="1:19" x14ac:dyDescent="0.2">
      <c r="A533">
        <v>536</v>
      </c>
      <c r="B533" t="s">
        <v>201</v>
      </c>
      <c r="C533" t="s">
        <v>201</v>
      </c>
      <c r="D533" t="s">
        <v>15</v>
      </c>
      <c r="E533" t="s">
        <v>9</v>
      </c>
      <c r="F533" t="s">
        <v>11</v>
      </c>
      <c r="G533">
        <v>27</v>
      </c>
      <c r="H533">
        <v>23</v>
      </c>
      <c r="I533">
        <v>9.4</v>
      </c>
      <c r="J533">
        <v>2.75</v>
      </c>
      <c r="K533">
        <v>0.85</v>
      </c>
      <c r="L533">
        <v>0.41699999999999998</v>
      </c>
      <c r="M533">
        <v>9.4E-2</v>
      </c>
      <c r="N533" s="21">
        <v>1.4990196078431373</v>
      </c>
      <c r="O533" s="21">
        <v>3.4159477124183009</v>
      </c>
      <c r="P533" s="21">
        <v>1.4990196078431373</v>
      </c>
      <c r="Q533" s="21" t="s">
        <v>547</v>
      </c>
      <c r="S533" t="s">
        <v>547</v>
      </c>
    </row>
    <row r="534" spans="1:19" x14ac:dyDescent="0.2">
      <c r="A534">
        <v>537</v>
      </c>
      <c r="B534" t="s">
        <v>201</v>
      </c>
      <c r="C534" t="s">
        <v>201</v>
      </c>
      <c r="D534" t="s">
        <v>15</v>
      </c>
      <c r="E534" t="s">
        <v>9</v>
      </c>
      <c r="F534" t="s">
        <v>12</v>
      </c>
      <c r="G534">
        <v>38</v>
      </c>
      <c r="H534">
        <v>18</v>
      </c>
      <c r="I534">
        <v>12.35</v>
      </c>
      <c r="J534">
        <v>2.85</v>
      </c>
      <c r="K534">
        <v>0.8</v>
      </c>
      <c r="L534">
        <v>0.46200000000000002</v>
      </c>
      <c r="M534">
        <v>7.5999999999999998E-2</v>
      </c>
      <c r="N534" s="21">
        <v>1.8287500000000003</v>
      </c>
      <c r="O534" s="21">
        <v>5.2830555555555554</v>
      </c>
      <c r="P534" s="21" t="s">
        <v>547</v>
      </c>
      <c r="Q534" s="21">
        <v>1.8287500000000003</v>
      </c>
      <c r="S534" t="s">
        <v>547</v>
      </c>
    </row>
    <row r="535" spans="1:19" x14ac:dyDescent="0.2">
      <c r="A535">
        <v>538</v>
      </c>
      <c r="B535" t="s">
        <v>201</v>
      </c>
      <c r="C535" t="s">
        <v>201</v>
      </c>
      <c r="D535" t="s">
        <v>15</v>
      </c>
      <c r="E535" t="s">
        <v>9</v>
      </c>
      <c r="F535" t="s">
        <v>14</v>
      </c>
      <c r="G535">
        <v>32</v>
      </c>
      <c r="H535">
        <v>24</v>
      </c>
      <c r="I535">
        <v>7.25</v>
      </c>
      <c r="J535">
        <v>4.4000000000000004</v>
      </c>
      <c r="K535">
        <v>0.8</v>
      </c>
      <c r="L535">
        <v>0.46200000000000002</v>
      </c>
      <c r="M535">
        <v>7.5999999999999998E-2</v>
      </c>
      <c r="N535" s="21">
        <v>2.8233333333333337</v>
      </c>
      <c r="O535" s="21">
        <v>3.1013888888888888</v>
      </c>
      <c r="P535" s="21" t="s">
        <v>547</v>
      </c>
      <c r="Q535" s="21">
        <v>2.8233333333333337</v>
      </c>
      <c r="S535" t="s">
        <v>547</v>
      </c>
    </row>
    <row r="536" spans="1:19" x14ac:dyDescent="0.2">
      <c r="A536">
        <v>539</v>
      </c>
      <c r="B536" t="s">
        <v>202</v>
      </c>
      <c r="C536" t="s">
        <v>364</v>
      </c>
      <c r="D536" t="s">
        <v>15</v>
      </c>
      <c r="E536" t="s">
        <v>9</v>
      </c>
      <c r="F536" t="s">
        <v>10</v>
      </c>
      <c r="G536">
        <v>24</v>
      </c>
      <c r="H536">
        <v>24</v>
      </c>
      <c r="I536">
        <v>4.2</v>
      </c>
      <c r="J536">
        <v>3.3</v>
      </c>
      <c r="K536">
        <v>0.8</v>
      </c>
      <c r="L536">
        <v>0.495</v>
      </c>
      <c r="M536">
        <v>0.10199999999999999</v>
      </c>
      <c r="N536" s="21">
        <v>2.2687499999999998</v>
      </c>
      <c r="O536" s="21">
        <v>1.9249999999999998</v>
      </c>
      <c r="P536" s="21">
        <v>2.2687499999999998</v>
      </c>
      <c r="Q536" s="21" t="s">
        <v>547</v>
      </c>
      <c r="S536" t="s">
        <v>547</v>
      </c>
    </row>
    <row r="537" spans="1:19" x14ac:dyDescent="0.2">
      <c r="A537">
        <v>540</v>
      </c>
      <c r="B537" t="s">
        <v>202</v>
      </c>
      <c r="C537" t="s">
        <v>364</v>
      </c>
      <c r="D537" t="s">
        <v>15</v>
      </c>
      <c r="E537" t="s">
        <v>9</v>
      </c>
      <c r="F537" t="s">
        <v>11</v>
      </c>
      <c r="G537">
        <v>38</v>
      </c>
      <c r="H537">
        <v>21</v>
      </c>
      <c r="I537">
        <v>6.15</v>
      </c>
      <c r="J537">
        <v>4.8</v>
      </c>
      <c r="K537">
        <v>0.8</v>
      </c>
      <c r="L537">
        <v>0.495</v>
      </c>
      <c r="M537">
        <v>0.10199999999999999</v>
      </c>
      <c r="N537" s="21">
        <v>3.2999999999999994</v>
      </c>
      <c r="O537" s="21">
        <v>2.8187500000000001</v>
      </c>
      <c r="P537" s="21">
        <v>3.2999999999999994</v>
      </c>
      <c r="Q537" s="21" t="s">
        <v>547</v>
      </c>
      <c r="S537" t="s">
        <v>547</v>
      </c>
    </row>
    <row r="538" spans="1:19" x14ac:dyDescent="0.2">
      <c r="A538">
        <v>541</v>
      </c>
      <c r="B538" t="s">
        <v>202</v>
      </c>
      <c r="C538" t="s">
        <v>364</v>
      </c>
      <c r="D538" t="s">
        <v>15</v>
      </c>
      <c r="E538" t="s">
        <v>9</v>
      </c>
      <c r="F538" t="s">
        <v>12</v>
      </c>
      <c r="G538">
        <v>30</v>
      </c>
      <c r="H538">
        <v>28</v>
      </c>
      <c r="I538">
        <v>4.76</v>
      </c>
      <c r="J538">
        <v>3.9</v>
      </c>
      <c r="K538">
        <v>0.8</v>
      </c>
      <c r="L538">
        <v>0.495</v>
      </c>
      <c r="N538" s="21">
        <v>2.6812499999999995</v>
      </c>
      <c r="O538" s="21">
        <v>2.1816666666666662</v>
      </c>
      <c r="P538" s="21" t="s">
        <v>547</v>
      </c>
      <c r="Q538" s="21">
        <v>2.6812499999999995</v>
      </c>
      <c r="S538" t="s">
        <v>547</v>
      </c>
    </row>
    <row r="539" spans="1:19" x14ac:dyDescent="0.2">
      <c r="A539">
        <v>542</v>
      </c>
      <c r="B539" t="s">
        <v>202</v>
      </c>
      <c r="C539" t="s">
        <v>364</v>
      </c>
      <c r="D539" t="s">
        <v>15</v>
      </c>
      <c r="E539" t="s">
        <v>9</v>
      </c>
      <c r="F539" t="s">
        <v>14</v>
      </c>
      <c r="G539">
        <v>27</v>
      </c>
      <c r="H539">
        <v>28</v>
      </c>
      <c r="I539">
        <v>4.7</v>
      </c>
      <c r="J539">
        <v>4.45</v>
      </c>
      <c r="K539">
        <v>0.8</v>
      </c>
      <c r="L539">
        <v>0.495</v>
      </c>
      <c r="N539" s="21">
        <v>3.0593749999999997</v>
      </c>
      <c r="O539" s="21">
        <v>2.1541666666666663</v>
      </c>
      <c r="P539" s="21" t="s">
        <v>547</v>
      </c>
      <c r="Q539" s="21">
        <v>3.0593749999999997</v>
      </c>
      <c r="S539" t="s">
        <v>547</v>
      </c>
    </row>
    <row r="540" spans="1:19" x14ac:dyDescent="0.2">
      <c r="A540">
        <v>543</v>
      </c>
      <c r="B540" t="s">
        <v>203</v>
      </c>
      <c r="C540" t="s">
        <v>203</v>
      </c>
      <c r="D540" t="s">
        <v>15</v>
      </c>
      <c r="E540" t="s">
        <v>9</v>
      </c>
      <c r="F540" t="s">
        <v>10</v>
      </c>
      <c r="G540">
        <v>36</v>
      </c>
      <c r="H540">
        <v>32</v>
      </c>
      <c r="I540">
        <v>7.95</v>
      </c>
      <c r="J540">
        <v>4.5999999999999996</v>
      </c>
      <c r="K540">
        <v>0.95</v>
      </c>
      <c r="L540">
        <v>0.47599999999999998</v>
      </c>
      <c r="M540">
        <v>0.09</v>
      </c>
      <c r="N540" s="21">
        <v>2.5609356725146202</v>
      </c>
      <c r="O540" s="21">
        <v>2.9506432748538018</v>
      </c>
      <c r="P540" s="21">
        <v>2.5609356725146202</v>
      </c>
      <c r="Q540" s="21" t="s">
        <v>547</v>
      </c>
      <c r="S540" t="s">
        <v>547</v>
      </c>
    </row>
    <row r="541" spans="1:19" x14ac:dyDescent="0.2">
      <c r="A541">
        <v>544</v>
      </c>
      <c r="B541" t="s">
        <v>203</v>
      </c>
      <c r="C541" t="s">
        <v>203</v>
      </c>
      <c r="D541" t="s">
        <v>15</v>
      </c>
      <c r="E541" t="s">
        <v>9</v>
      </c>
      <c r="F541" t="s">
        <v>11</v>
      </c>
      <c r="G541">
        <v>28</v>
      </c>
      <c r="H541">
        <v>28</v>
      </c>
      <c r="I541">
        <v>7.55</v>
      </c>
      <c r="J541">
        <v>4.8499999999999996</v>
      </c>
      <c r="K541">
        <v>0.95</v>
      </c>
      <c r="L541">
        <v>0.47599999999999998</v>
      </c>
      <c r="M541">
        <v>0.09</v>
      </c>
      <c r="N541" s="21">
        <v>2.7001169590643275</v>
      </c>
      <c r="O541" s="21">
        <v>2.8021832358674472</v>
      </c>
      <c r="P541" s="21">
        <v>2.7001169590643275</v>
      </c>
      <c r="Q541" s="21" t="s">
        <v>547</v>
      </c>
      <c r="S541" t="s">
        <v>547</v>
      </c>
    </row>
    <row r="542" spans="1:19" x14ac:dyDescent="0.2">
      <c r="A542">
        <v>545</v>
      </c>
      <c r="B542" t="s">
        <v>203</v>
      </c>
      <c r="C542" t="s">
        <v>203</v>
      </c>
      <c r="D542" t="s">
        <v>15</v>
      </c>
      <c r="E542" t="s">
        <v>9</v>
      </c>
      <c r="F542" t="s">
        <v>12</v>
      </c>
      <c r="G542">
        <v>26</v>
      </c>
      <c r="H542">
        <v>22</v>
      </c>
      <c r="I542">
        <v>6.6</v>
      </c>
      <c r="J542">
        <v>4.95</v>
      </c>
      <c r="K542">
        <v>1.1000000000000001</v>
      </c>
      <c r="L542">
        <v>0.58299999999999996</v>
      </c>
      <c r="M542">
        <v>0.114</v>
      </c>
      <c r="N542" s="21">
        <v>2.9149999999999996</v>
      </c>
      <c r="O542" s="21">
        <v>2.5911111111111107</v>
      </c>
      <c r="P542" s="21" t="s">
        <v>547</v>
      </c>
      <c r="Q542" s="21">
        <v>2.9149999999999996</v>
      </c>
      <c r="S542" t="s">
        <v>547</v>
      </c>
    </row>
    <row r="543" spans="1:19" x14ac:dyDescent="0.2">
      <c r="A543">
        <v>546</v>
      </c>
      <c r="B543" t="s">
        <v>203</v>
      </c>
      <c r="C543" t="s">
        <v>203</v>
      </c>
      <c r="D543" t="s">
        <v>15</v>
      </c>
      <c r="E543" t="s">
        <v>9</v>
      </c>
      <c r="F543" t="s">
        <v>14</v>
      </c>
      <c r="G543">
        <v>30</v>
      </c>
      <c r="H543">
        <v>26</v>
      </c>
      <c r="I543">
        <v>6.1</v>
      </c>
      <c r="J543">
        <v>5.4</v>
      </c>
      <c r="K543">
        <v>1.1000000000000001</v>
      </c>
      <c r="L543">
        <v>0.58299999999999996</v>
      </c>
      <c r="M543">
        <v>0.114</v>
      </c>
      <c r="N543" s="21">
        <v>3.1799999999999997</v>
      </c>
      <c r="O543" s="21">
        <v>2.3948148148148141</v>
      </c>
      <c r="P543" s="21" t="s">
        <v>547</v>
      </c>
      <c r="Q543" s="21">
        <v>3.1799999999999997</v>
      </c>
      <c r="S543" t="s">
        <v>547</v>
      </c>
    </row>
    <row r="544" spans="1:19" x14ac:dyDescent="0.2">
      <c r="A544">
        <v>547</v>
      </c>
      <c r="B544" t="s">
        <v>204</v>
      </c>
      <c r="C544" t="s">
        <v>204</v>
      </c>
      <c r="D544" t="s">
        <v>15</v>
      </c>
      <c r="E544" t="s">
        <v>9</v>
      </c>
      <c r="F544" t="s">
        <v>10</v>
      </c>
      <c r="G544">
        <v>26</v>
      </c>
      <c r="H544">
        <v>24</v>
      </c>
      <c r="I544">
        <v>5.2</v>
      </c>
      <c r="J544">
        <v>3.9</v>
      </c>
      <c r="K544">
        <v>1</v>
      </c>
      <c r="L544">
        <v>0.60599999999999998</v>
      </c>
      <c r="M544">
        <v>9.5000000000000001E-2</v>
      </c>
      <c r="N544" s="21">
        <v>2.6259999999999999</v>
      </c>
      <c r="O544" s="21">
        <v>2.3342222222222224</v>
      </c>
      <c r="P544" s="21">
        <v>2.6259999999999999</v>
      </c>
      <c r="Q544" s="21" t="s">
        <v>547</v>
      </c>
      <c r="S544" t="s">
        <v>547</v>
      </c>
    </row>
    <row r="545" spans="1:19" x14ac:dyDescent="0.2">
      <c r="A545">
        <v>548</v>
      </c>
      <c r="B545" t="s">
        <v>204</v>
      </c>
      <c r="C545" t="s">
        <v>204</v>
      </c>
      <c r="D545" t="s">
        <v>15</v>
      </c>
      <c r="E545" t="s">
        <v>9</v>
      </c>
      <c r="F545" t="s">
        <v>11</v>
      </c>
      <c r="G545">
        <v>18</v>
      </c>
      <c r="H545">
        <v>18</v>
      </c>
      <c r="I545">
        <v>3.2</v>
      </c>
      <c r="J545">
        <v>2.65</v>
      </c>
      <c r="K545">
        <v>1</v>
      </c>
      <c r="L545">
        <v>0.60599999999999998</v>
      </c>
      <c r="M545">
        <v>9.5000000000000001E-2</v>
      </c>
      <c r="N545" s="21">
        <v>1.7843333333333333</v>
      </c>
      <c r="O545" s="21">
        <v>1.4364444444444444</v>
      </c>
      <c r="P545" s="21">
        <v>1.7843333333333333</v>
      </c>
      <c r="Q545" s="21" t="s">
        <v>547</v>
      </c>
      <c r="S545" t="s">
        <v>547</v>
      </c>
    </row>
    <row r="546" spans="1:19" x14ac:dyDescent="0.2">
      <c r="A546">
        <v>549</v>
      </c>
      <c r="B546" t="s">
        <v>204</v>
      </c>
      <c r="C546" t="s">
        <v>204</v>
      </c>
      <c r="D546" t="s">
        <v>15</v>
      </c>
      <c r="E546" t="s">
        <v>9</v>
      </c>
      <c r="F546" t="s">
        <v>12</v>
      </c>
      <c r="G546">
        <v>30</v>
      </c>
      <c r="H546">
        <v>29</v>
      </c>
      <c r="I546">
        <v>3.75</v>
      </c>
      <c r="J546">
        <v>3.95</v>
      </c>
      <c r="K546">
        <v>0.7</v>
      </c>
      <c r="L546">
        <v>0.41399999999999998</v>
      </c>
      <c r="M546">
        <v>7.1999999999999995E-2</v>
      </c>
      <c r="N546" s="21">
        <v>2.5957142857142861</v>
      </c>
      <c r="O546" s="21">
        <v>1.6428571428571432</v>
      </c>
      <c r="P546" s="21" t="s">
        <v>547</v>
      </c>
      <c r="Q546" s="21">
        <v>2.5957142857142861</v>
      </c>
      <c r="S546" t="s">
        <v>547</v>
      </c>
    </row>
    <row r="547" spans="1:19" x14ac:dyDescent="0.2">
      <c r="A547">
        <v>550</v>
      </c>
      <c r="B547" t="s">
        <v>204</v>
      </c>
      <c r="C547" t="s">
        <v>204</v>
      </c>
      <c r="D547" t="s">
        <v>15</v>
      </c>
      <c r="E547" t="s">
        <v>9</v>
      </c>
      <c r="F547" t="s">
        <v>14</v>
      </c>
      <c r="G547">
        <v>49</v>
      </c>
      <c r="H547">
        <v>29</v>
      </c>
      <c r="I547">
        <v>10.6</v>
      </c>
      <c r="J547">
        <v>4.4000000000000004</v>
      </c>
      <c r="K547">
        <v>0.7</v>
      </c>
      <c r="L547">
        <v>0.41399999999999998</v>
      </c>
      <c r="M547">
        <v>7.1999999999999995E-2</v>
      </c>
      <c r="N547" s="21">
        <v>2.8914285714285715</v>
      </c>
      <c r="O547" s="21">
        <v>4.6438095238095247</v>
      </c>
      <c r="P547" s="21" t="s">
        <v>547</v>
      </c>
      <c r="Q547" s="21">
        <v>2.8914285714285715</v>
      </c>
      <c r="S547" t="s">
        <v>547</v>
      </c>
    </row>
    <row r="548" spans="1:19" x14ac:dyDescent="0.2">
      <c r="A548">
        <v>551</v>
      </c>
      <c r="B548" t="s">
        <v>205</v>
      </c>
      <c r="C548" t="s">
        <v>205</v>
      </c>
      <c r="D548" t="s">
        <v>15</v>
      </c>
      <c r="E548" t="s">
        <v>9</v>
      </c>
      <c r="F548" t="s">
        <v>10</v>
      </c>
      <c r="G548">
        <v>35</v>
      </c>
      <c r="H548">
        <v>35</v>
      </c>
      <c r="I548">
        <v>6.3</v>
      </c>
      <c r="J548">
        <v>5.35</v>
      </c>
      <c r="K548">
        <v>0.85</v>
      </c>
      <c r="L548">
        <v>0.52</v>
      </c>
      <c r="M548">
        <v>7.5999999999999998E-2</v>
      </c>
      <c r="N548" s="21">
        <v>3.6366013071895424</v>
      </c>
      <c r="O548" s="21">
        <v>2.8549019607843142</v>
      </c>
      <c r="P548" s="21">
        <v>3.6366013071895424</v>
      </c>
      <c r="Q548" s="21" t="s">
        <v>547</v>
      </c>
      <c r="S548" t="s">
        <v>547</v>
      </c>
    </row>
    <row r="549" spans="1:19" x14ac:dyDescent="0.2">
      <c r="A549">
        <v>552</v>
      </c>
      <c r="B549" t="s">
        <v>205</v>
      </c>
      <c r="C549" t="s">
        <v>205</v>
      </c>
      <c r="D549" t="s">
        <v>15</v>
      </c>
      <c r="E549" t="s">
        <v>9</v>
      </c>
      <c r="F549" t="s">
        <v>11</v>
      </c>
      <c r="G549">
        <v>31</v>
      </c>
      <c r="H549">
        <v>30</v>
      </c>
      <c r="I549">
        <v>5.3</v>
      </c>
      <c r="J549">
        <v>4.3499999999999996</v>
      </c>
      <c r="K549">
        <v>0.85</v>
      </c>
      <c r="L549">
        <v>0.52</v>
      </c>
      <c r="M549">
        <v>7.5999999999999998E-2</v>
      </c>
      <c r="N549" s="21">
        <v>2.9568627450980394</v>
      </c>
      <c r="O549" s="21">
        <v>2.4017429193899784</v>
      </c>
      <c r="P549" s="21">
        <v>2.9568627450980394</v>
      </c>
      <c r="Q549" s="21" t="s">
        <v>547</v>
      </c>
      <c r="S549" t="s">
        <v>547</v>
      </c>
    </row>
    <row r="550" spans="1:19" x14ac:dyDescent="0.2">
      <c r="A550">
        <v>553</v>
      </c>
      <c r="B550" t="s">
        <v>205</v>
      </c>
      <c r="C550" t="s">
        <v>205</v>
      </c>
      <c r="D550" t="s">
        <v>15</v>
      </c>
      <c r="E550" t="s">
        <v>9</v>
      </c>
      <c r="F550" t="s">
        <v>12</v>
      </c>
      <c r="G550">
        <v>35</v>
      </c>
      <c r="H550">
        <v>30</v>
      </c>
      <c r="I550">
        <v>6</v>
      </c>
      <c r="J550">
        <v>3.6</v>
      </c>
      <c r="K550">
        <v>0.8</v>
      </c>
      <c r="L550">
        <v>0.48199999999999998</v>
      </c>
      <c r="M550">
        <v>0.112</v>
      </c>
      <c r="N550" s="21">
        <v>2.4099999999999997</v>
      </c>
      <c r="O550" s="21">
        <v>2.6777777777777776</v>
      </c>
      <c r="P550" s="21" t="s">
        <v>547</v>
      </c>
      <c r="Q550" s="21">
        <v>2.4099999999999997</v>
      </c>
      <c r="S550" t="s">
        <v>547</v>
      </c>
    </row>
    <row r="551" spans="1:19" x14ac:dyDescent="0.2">
      <c r="A551">
        <v>554</v>
      </c>
      <c r="B551" t="s">
        <v>205</v>
      </c>
      <c r="C551" t="s">
        <v>205</v>
      </c>
      <c r="D551" t="s">
        <v>15</v>
      </c>
      <c r="E551" t="s">
        <v>9</v>
      </c>
      <c r="F551" t="s">
        <v>14</v>
      </c>
      <c r="G551">
        <v>30</v>
      </c>
      <c r="H551">
        <v>23</v>
      </c>
      <c r="I551">
        <v>5.45</v>
      </c>
      <c r="J551">
        <v>2.95</v>
      </c>
      <c r="K551">
        <v>0.8</v>
      </c>
      <c r="L551">
        <v>0.48199999999999998</v>
      </c>
      <c r="M551">
        <v>0.112</v>
      </c>
      <c r="N551" s="21">
        <v>1.9748611111111112</v>
      </c>
      <c r="O551" s="21">
        <v>2.4323148148148146</v>
      </c>
      <c r="P551" s="21" t="s">
        <v>547</v>
      </c>
      <c r="Q551" s="21">
        <v>1.9748611111111112</v>
      </c>
      <c r="S551" t="s">
        <v>547</v>
      </c>
    </row>
    <row r="552" spans="1:19" x14ac:dyDescent="0.2">
      <c r="A552">
        <v>555</v>
      </c>
      <c r="B552" t="s">
        <v>206</v>
      </c>
      <c r="C552" t="s">
        <v>365</v>
      </c>
      <c r="D552" t="s">
        <v>15</v>
      </c>
      <c r="E552" t="s">
        <v>9</v>
      </c>
      <c r="F552" t="s">
        <v>10</v>
      </c>
      <c r="G552">
        <v>29</v>
      </c>
      <c r="H552">
        <v>22</v>
      </c>
      <c r="I552">
        <v>10.15</v>
      </c>
      <c r="J552">
        <v>4.3499999999999996</v>
      </c>
      <c r="K552">
        <v>1.1000000000000001</v>
      </c>
      <c r="L552">
        <v>0.67200000000000004</v>
      </c>
      <c r="M552">
        <v>0.85</v>
      </c>
      <c r="N552" s="21">
        <v>2.9527272727272726</v>
      </c>
      <c r="O552" s="21">
        <v>4.5931313131313143</v>
      </c>
      <c r="P552" s="21">
        <v>2.9527272727272726</v>
      </c>
      <c r="Q552" s="21" t="s">
        <v>547</v>
      </c>
      <c r="S552" t="s">
        <v>547</v>
      </c>
    </row>
    <row r="553" spans="1:19" x14ac:dyDescent="0.2">
      <c r="A553">
        <v>556</v>
      </c>
      <c r="B553" t="s">
        <v>206</v>
      </c>
      <c r="C553" t="s">
        <v>365</v>
      </c>
      <c r="D553" t="s">
        <v>15</v>
      </c>
      <c r="E553" t="s">
        <v>9</v>
      </c>
      <c r="F553" t="s">
        <v>11</v>
      </c>
      <c r="G553">
        <v>28</v>
      </c>
      <c r="H553">
        <v>28</v>
      </c>
      <c r="I553">
        <v>10.6</v>
      </c>
      <c r="J553">
        <v>6.8</v>
      </c>
      <c r="K553">
        <v>1.1000000000000001</v>
      </c>
      <c r="L553">
        <v>0.67200000000000004</v>
      </c>
      <c r="M553">
        <v>0.85</v>
      </c>
      <c r="N553" s="21">
        <v>4.6157575757575753</v>
      </c>
      <c r="O553" s="21">
        <v>4.7967676767676766</v>
      </c>
      <c r="P553" s="21">
        <v>4.6157575757575753</v>
      </c>
      <c r="Q553" s="21" t="s">
        <v>547</v>
      </c>
      <c r="S553" t="s">
        <v>547</v>
      </c>
    </row>
    <row r="554" spans="1:19" x14ac:dyDescent="0.2">
      <c r="A554">
        <v>557</v>
      </c>
      <c r="B554" t="s">
        <v>206</v>
      </c>
      <c r="C554" t="s">
        <v>365</v>
      </c>
      <c r="D554" t="s">
        <v>15</v>
      </c>
      <c r="E554" t="s">
        <v>9</v>
      </c>
      <c r="F554" t="s">
        <v>12</v>
      </c>
      <c r="G554">
        <v>34</v>
      </c>
      <c r="H554">
        <v>19</v>
      </c>
      <c r="I554">
        <v>12.2</v>
      </c>
      <c r="J554">
        <v>2.1</v>
      </c>
      <c r="K554">
        <v>0.65</v>
      </c>
      <c r="L554">
        <v>0.47499999999999998</v>
      </c>
      <c r="M554">
        <v>6.5000000000000002E-2</v>
      </c>
      <c r="N554" s="21">
        <v>1.7051282051282051</v>
      </c>
      <c r="O554" s="21">
        <v>6.6039886039886024</v>
      </c>
      <c r="P554" s="21" t="s">
        <v>547</v>
      </c>
      <c r="Q554" s="21">
        <v>1.7051282051282051</v>
      </c>
      <c r="S554" t="s">
        <v>547</v>
      </c>
    </row>
    <row r="555" spans="1:19" x14ac:dyDescent="0.2">
      <c r="A555">
        <v>558</v>
      </c>
      <c r="B555" t="s">
        <v>206</v>
      </c>
      <c r="C555" t="s">
        <v>365</v>
      </c>
      <c r="D555" t="s">
        <v>15</v>
      </c>
      <c r="E555" t="s">
        <v>9</v>
      </c>
      <c r="F555" t="s">
        <v>14</v>
      </c>
      <c r="G555">
        <v>25</v>
      </c>
      <c r="H555">
        <v>14</v>
      </c>
      <c r="I555">
        <v>8.1999999999999993</v>
      </c>
      <c r="J555">
        <v>2</v>
      </c>
      <c r="K555">
        <v>0.65</v>
      </c>
      <c r="L555">
        <v>0.47499999999999998</v>
      </c>
      <c r="M555">
        <v>6.5000000000000002E-2</v>
      </c>
      <c r="N555" s="21">
        <v>1.6239316239316239</v>
      </c>
      <c r="O555" s="21">
        <v>4.4387464387464384</v>
      </c>
      <c r="P555" s="21" t="s">
        <v>547</v>
      </c>
      <c r="Q555" s="21">
        <v>1.6239316239316239</v>
      </c>
      <c r="S555" t="s">
        <v>547</v>
      </c>
    </row>
    <row r="556" spans="1:19" x14ac:dyDescent="0.2">
      <c r="A556">
        <v>559</v>
      </c>
      <c r="B556" t="s">
        <v>207</v>
      </c>
      <c r="C556" t="s">
        <v>366</v>
      </c>
      <c r="D556" t="s">
        <v>15</v>
      </c>
      <c r="E556" t="s">
        <v>9</v>
      </c>
      <c r="F556" t="s">
        <v>10</v>
      </c>
      <c r="G556">
        <v>40</v>
      </c>
      <c r="H556">
        <v>17</v>
      </c>
      <c r="I556">
        <v>7.1</v>
      </c>
      <c r="J556">
        <v>1.45</v>
      </c>
      <c r="K556">
        <v>0.7</v>
      </c>
      <c r="L556">
        <v>0.38500000000000001</v>
      </c>
      <c r="M556">
        <v>6.8000000000000005E-2</v>
      </c>
      <c r="N556" s="21">
        <v>0.88611111111111118</v>
      </c>
      <c r="O556" s="21">
        <v>2.8925925925925933</v>
      </c>
      <c r="P556" s="21">
        <v>0.88611111111111118</v>
      </c>
      <c r="Q556" s="21" t="s">
        <v>547</v>
      </c>
      <c r="S556" t="s">
        <v>547</v>
      </c>
    </row>
    <row r="557" spans="1:19" x14ac:dyDescent="0.2">
      <c r="A557">
        <v>560</v>
      </c>
      <c r="B557" t="s">
        <v>207</v>
      </c>
      <c r="C557" t="s">
        <v>366</v>
      </c>
      <c r="D557" t="s">
        <v>15</v>
      </c>
      <c r="E557" t="s">
        <v>9</v>
      </c>
      <c r="F557" t="s">
        <v>11</v>
      </c>
      <c r="G557">
        <v>42</v>
      </c>
      <c r="H557">
        <v>21</v>
      </c>
      <c r="I557">
        <v>7.45</v>
      </c>
      <c r="J557">
        <v>1.45</v>
      </c>
      <c r="K557">
        <v>0.7</v>
      </c>
      <c r="L557">
        <v>0.38500000000000001</v>
      </c>
      <c r="M557">
        <v>6.8000000000000005E-2</v>
      </c>
      <c r="N557" s="21">
        <v>0.88611111111111118</v>
      </c>
      <c r="O557" s="21">
        <v>3.0351851851851861</v>
      </c>
      <c r="P557" s="21">
        <v>0.88611111111111118</v>
      </c>
      <c r="Q557" s="21" t="s">
        <v>547</v>
      </c>
      <c r="S557" t="s">
        <v>547</v>
      </c>
    </row>
    <row r="558" spans="1:19" x14ac:dyDescent="0.2">
      <c r="A558">
        <v>561</v>
      </c>
      <c r="B558" t="s">
        <v>207</v>
      </c>
      <c r="C558" t="s">
        <v>366</v>
      </c>
      <c r="D558" t="s">
        <v>15</v>
      </c>
      <c r="E558" t="s">
        <v>9</v>
      </c>
      <c r="F558" t="s">
        <v>12</v>
      </c>
      <c r="G558">
        <v>20</v>
      </c>
      <c r="H558">
        <v>14</v>
      </c>
      <c r="I558">
        <v>5.8</v>
      </c>
      <c r="J558">
        <v>1.9</v>
      </c>
      <c r="K558">
        <v>0.6</v>
      </c>
      <c r="L558">
        <v>0.626</v>
      </c>
      <c r="M558">
        <v>0.11700000000000001</v>
      </c>
      <c r="N558" s="21">
        <v>2.2025925925925929</v>
      </c>
      <c r="O558" s="21">
        <v>4.4824691358024698</v>
      </c>
      <c r="P558" s="21" t="s">
        <v>547</v>
      </c>
      <c r="Q558" s="21">
        <v>2.2025925925925929</v>
      </c>
      <c r="S558" t="s">
        <v>547</v>
      </c>
    </row>
    <row r="559" spans="1:19" x14ac:dyDescent="0.2">
      <c r="A559">
        <v>562</v>
      </c>
      <c r="B559" t="s">
        <v>207</v>
      </c>
      <c r="C559" t="s">
        <v>366</v>
      </c>
      <c r="D559" t="s">
        <v>15</v>
      </c>
      <c r="E559" t="s">
        <v>9</v>
      </c>
      <c r="F559" t="s">
        <v>14</v>
      </c>
      <c r="G559">
        <v>22</v>
      </c>
      <c r="H559">
        <v>11</v>
      </c>
      <c r="I559">
        <v>5.0999999999999996</v>
      </c>
      <c r="J559">
        <v>1.6</v>
      </c>
      <c r="K559">
        <v>0.6</v>
      </c>
      <c r="L559">
        <v>0.626</v>
      </c>
      <c r="M559">
        <v>0.11700000000000001</v>
      </c>
      <c r="N559" s="21">
        <v>1.8548148148148151</v>
      </c>
      <c r="O559" s="21">
        <v>3.9414814814814818</v>
      </c>
      <c r="P559" s="21" t="s">
        <v>547</v>
      </c>
      <c r="Q559" s="21">
        <v>1.8548148148148151</v>
      </c>
      <c r="S559" t="s">
        <v>547</v>
      </c>
    </row>
    <row r="560" spans="1:19" x14ac:dyDescent="0.2">
      <c r="A560">
        <v>563</v>
      </c>
      <c r="B560" t="s">
        <v>208</v>
      </c>
      <c r="C560" s="14" t="s">
        <v>208</v>
      </c>
      <c r="D560" t="s">
        <v>15</v>
      </c>
      <c r="E560" t="s">
        <v>9</v>
      </c>
      <c r="F560" t="s">
        <v>10</v>
      </c>
      <c r="G560">
        <v>27</v>
      </c>
      <c r="H560">
        <v>20</v>
      </c>
      <c r="I560">
        <v>9.75</v>
      </c>
      <c r="J560">
        <v>1.25</v>
      </c>
      <c r="K560">
        <v>1</v>
      </c>
      <c r="L560">
        <v>0.41</v>
      </c>
      <c r="M560">
        <v>0.14699999999999999</v>
      </c>
      <c r="N560" s="21">
        <v>0.56944444444444442</v>
      </c>
      <c r="O560" s="21">
        <v>2.9611111111111112</v>
      </c>
      <c r="P560" s="21">
        <v>0.56944444444444442</v>
      </c>
      <c r="Q560" s="21" t="s">
        <v>547</v>
      </c>
      <c r="S560" t="s">
        <v>547</v>
      </c>
    </row>
    <row r="561" spans="1:19" x14ac:dyDescent="0.2">
      <c r="A561">
        <v>564</v>
      </c>
      <c r="B561" t="s">
        <v>208</v>
      </c>
      <c r="C561" s="14" t="s">
        <v>208</v>
      </c>
      <c r="D561" t="s">
        <v>15</v>
      </c>
      <c r="E561" t="s">
        <v>9</v>
      </c>
      <c r="F561" t="s">
        <v>11</v>
      </c>
      <c r="G561">
        <v>26</v>
      </c>
      <c r="H561">
        <v>44</v>
      </c>
      <c r="I561">
        <v>4.9000000000000004</v>
      </c>
      <c r="J561">
        <v>4.5999999999999996</v>
      </c>
      <c r="K561">
        <v>1</v>
      </c>
      <c r="L561">
        <v>0.41</v>
      </c>
      <c r="M561">
        <v>0.14699999999999999</v>
      </c>
      <c r="N561" s="21">
        <v>2.0955555555555554</v>
      </c>
      <c r="O561" s="21">
        <v>1.4881481481481482</v>
      </c>
      <c r="P561" s="21">
        <v>2.0955555555555554</v>
      </c>
      <c r="Q561" s="21" t="s">
        <v>547</v>
      </c>
      <c r="S561" t="s">
        <v>547</v>
      </c>
    </row>
    <row r="562" spans="1:19" x14ac:dyDescent="0.2">
      <c r="A562">
        <v>565</v>
      </c>
      <c r="B562" t="s">
        <v>208</v>
      </c>
      <c r="C562" s="14" t="s">
        <v>208</v>
      </c>
      <c r="D562" t="s">
        <v>15</v>
      </c>
      <c r="E562" t="s">
        <v>9</v>
      </c>
      <c r="F562" t="s">
        <v>12</v>
      </c>
      <c r="G562">
        <v>31</v>
      </c>
      <c r="H562">
        <v>21</v>
      </c>
      <c r="I562">
        <v>4.95</v>
      </c>
      <c r="J562">
        <v>2.1</v>
      </c>
      <c r="K562">
        <v>0.65</v>
      </c>
      <c r="L562">
        <v>0.5</v>
      </c>
      <c r="M562">
        <v>0.115</v>
      </c>
      <c r="N562" s="21">
        <v>1.7948717948717949</v>
      </c>
      <c r="O562" s="21">
        <v>2.8205128205128207</v>
      </c>
      <c r="P562" s="21" t="s">
        <v>547</v>
      </c>
      <c r="Q562" s="21">
        <v>1.7948717948717949</v>
      </c>
      <c r="S562" t="s">
        <v>547</v>
      </c>
    </row>
    <row r="563" spans="1:19" x14ac:dyDescent="0.2">
      <c r="A563">
        <v>566</v>
      </c>
      <c r="B563" t="s">
        <v>208</v>
      </c>
      <c r="C563" s="14" t="s">
        <v>208</v>
      </c>
      <c r="D563" t="s">
        <v>15</v>
      </c>
      <c r="E563" t="s">
        <v>9</v>
      </c>
      <c r="F563" t="s">
        <v>14</v>
      </c>
      <c r="G563">
        <v>33</v>
      </c>
      <c r="H563">
        <v>33</v>
      </c>
      <c r="I563">
        <v>5.7</v>
      </c>
      <c r="J563">
        <v>6.7</v>
      </c>
      <c r="K563">
        <v>0.65</v>
      </c>
      <c r="L563">
        <v>0.5</v>
      </c>
      <c r="M563">
        <v>0.115</v>
      </c>
      <c r="N563" s="21">
        <v>5.7264957264957266</v>
      </c>
      <c r="O563" s="21">
        <v>3.2478632478632479</v>
      </c>
      <c r="P563" s="21" t="s">
        <v>547</v>
      </c>
      <c r="Q563" s="21">
        <v>5.7264957264957266</v>
      </c>
      <c r="S563" t="s">
        <v>547</v>
      </c>
    </row>
    <row r="564" spans="1:19" x14ac:dyDescent="0.2">
      <c r="A564">
        <v>567</v>
      </c>
      <c r="B564" t="s">
        <v>209</v>
      </c>
      <c r="C564" t="s">
        <v>209</v>
      </c>
      <c r="D564" t="s">
        <v>15</v>
      </c>
      <c r="E564" t="s">
        <v>9</v>
      </c>
      <c r="F564" t="s">
        <v>10</v>
      </c>
      <c r="G564">
        <v>34</v>
      </c>
      <c r="H564">
        <v>34</v>
      </c>
      <c r="I564">
        <v>5.65</v>
      </c>
      <c r="J564">
        <v>4.6500000000000004</v>
      </c>
      <c r="K564">
        <v>0.65</v>
      </c>
      <c r="L564">
        <v>0.48</v>
      </c>
      <c r="M564">
        <v>0.114</v>
      </c>
      <c r="N564" s="21">
        <v>3.8153846153846156</v>
      </c>
      <c r="O564" s="21">
        <v>3.0905982905982903</v>
      </c>
      <c r="P564" s="21">
        <v>3.8153846153846156</v>
      </c>
      <c r="Q564" s="21" t="s">
        <v>547</v>
      </c>
      <c r="S564" t="s">
        <v>547</v>
      </c>
    </row>
    <row r="565" spans="1:19" x14ac:dyDescent="0.2">
      <c r="A565">
        <v>568</v>
      </c>
      <c r="B565" t="s">
        <v>209</v>
      </c>
      <c r="C565" t="s">
        <v>209</v>
      </c>
      <c r="D565" t="s">
        <v>15</v>
      </c>
      <c r="E565" t="s">
        <v>9</v>
      </c>
      <c r="F565" t="s">
        <v>11</v>
      </c>
      <c r="G565">
        <v>54</v>
      </c>
      <c r="H565">
        <v>54</v>
      </c>
      <c r="I565">
        <v>11.15</v>
      </c>
      <c r="J565">
        <v>6.55</v>
      </c>
      <c r="K565">
        <v>0.65</v>
      </c>
      <c r="L565">
        <v>0.48</v>
      </c>
      <c r="M565">
        <v>0.114</v>
      </c>
      <c r="N565" s="21">
        <v>5.3743589743589739</v>
      </c>
      <c r="O565" s="21">
        <v>6.0991452991452988</v>
      </c>
      <c r="P565" s="21">
        <v>5.3743589743589739</v>
      </c>
      <c r="Q565" s="21" t="s">
        <v>547</v>
      </c>
      <c r="S565" t="s">
        <v>547</v>
      </c>
    </row>
    <row r="566" spans="1:19" x14ac:dyDescent="0.2">
      <c r="A566">
        <v>569</v>
      </c>
      <c r="B566" t="s">
        <v>209</v>
      </c>
      <c r="C566" t="s">
        <v>209</v>
      </c>
      <c r="D566" t="s">
        <v>15</v>
      </c>
      <c r="E566" t="s">
        <v>9</v>
      </c>
      <c r="F566" t="s">
        <v>12</v>
      </c>
      <c r="G566">
        <v>43</v>
      </c>
      <c r="H566">
        <v>44</v>
      </c>
      <c r="I566">
        <v>9.0500000000000007</v>
      </c>
      <c r="J566">
        <v>6.4</v>
      </c>
      <c r="K566">
        <v>0.8</v>
      </c>
      <c r="L566">
        <v>0.45200000000000001</v>
      </c>
      <c r="M566">
        <v>0.10299999999999999</v>
      </c>
      <c r="N566" s="21">
        <v>4.0177777777777779</v>
      </c>
      <c r="O566" s="21">
        <v>3.7875925925925924</v>
      </c>
      <c r="P566" s="21" t="s">
        <v>547</v>
      </c>
      <c r="Q566" s="21">
        <v>4.0177777777777779</v>
      </c>
      <c r="S566" t="s">
        <v>547</v>
      </c>
    </row>
    <row r="567" spans="1:19" x14ac:dyDescent="0.2">
      <c r="A567">
        <v>570</v>
      </c>
      <c r="B567" t="s">
        <v>209</v>
      </c>
      <c r="C567" t="s">
        <v>209</v>
      </c>
      <c r="D567" t="s">
        <v>15</v>
      </c>
      <c r="E567" t="s">
        <v>9</v>
      </c>
      <c r="F567" t="s">
        <v>14</v>
      </c>
      <c r="G567">
        <v>34</v>
      </c>
      <c r="H567">
        <v>27</v>
      </c>
      <c r="I567">
        <v>6.4</v>
      </c>
      <c r="J567">
        <v>4.45</v>
      </c>
      <c r="K567">
        <v>0.8</v>
      </c>
      <c r="L567">
        <v>0.45200000000000001</v>
      </c>
      <c r="M567">
        <v>0.10299999999999999</v>
      </c>
      <c r="N567" s="21">
        <v>2.7936111111111108</v>
      </c>
      <c r="O567" s="21">
        <v>2.6785185185185183</v>
      </c>
      <c r="P567" s="21" t="s">
        <v>547</v>
      </c>
      <c r="Q567" s="21">
        <v>2.7936111111111108</v>
      </c>
      <c r="S567" t="s">
        <v>547</v>
      </c>
    </row>
    <row r="568" spans="1:19" x14ac:dyDescent="0.2">
      <c r="A568">
        <v>571</v>
      </c>
      <c r="B568" t="s">
        <v>210</v>
      </c>
      <c r="C568" t="s">
        <v>210</v>
      </c>
      <c r="D568" t="s">
        <v>15</v>
      </c>
      <c r="E568" t="s">
        <v>9</v>
      </c>
      <c r="F568" t="s">
        <v>10</v>
      </c>
      <c r="G568">
        <v>46</v>
      </c>
      <c r="H568">
        <v>22</v>
      </c>
      <c r="I568">
        <v>10.45</v>
      </c>
      <c r="J568">
        <v>2.0499999999999998</v>
      </c>
      <c r="K568">
        <v>0.6</v>
      </c>
      <c r="L568">
        <v>0.40899999999999997</v>
      </c>
      <c r="M568">
        <v>7.0000000000000007E-2</v>
      </c>
      <c r="N568" s="21">
        <v>1.5526851851851851</v>
      </c>
      <c r="O568" s="21">
        <v>5.2766049382716051</v>
      </c>
      <c r="P568" s="21">
        <v>1.5526851851851851</v>
      </c>
      <c r="Q568" s="21" t="s">
        <v>547</v>
      </c>
      <c r="S568" t="s">
        <v>547</v>
      </c>
    </row>
    <row r="569" spans="1:19" x14ac:dyDescent="0.2">
      <c r="A569">
        <v>572</v>
      </c>
      <c r="B569" t="s">
        <v>210</v>
      </c>
      <c r="C569" t="s">
        <v>210</v>
      </c>
      <c r="D569" t="s">
        <v>15</v>
      </c>
      <c r="E569" t="s">
        <v>9</v>
      </c>
      <c r="F569" t="s">
        <v>11</v>
      </c>
      <c r="G569">
        <v>34</v>
      </c>
      <c r="H569">
        <v>14</v>
      </c>
      <c r="I569">
        <v>8.15</v>
      </c>
      <c r="J569">
        <v>1.05</v>
      </c>
      <c r="K569">
        <v>0.6</v>
      </c>
      <c r="L569">
        <v>0.40899999999999997</v>
      </c>
      <c r="M569">
        <v>7.0000000000000007E-2</v>
      </c>
      <c r="N569" s="21">
        <v>0.79527777777777786</v>
      </c>
      <c r="O569" s="21">
        <v>4.1152469135802479</v>
      </c>
      <c r="P569" s="21">
        <v>0.79527777777777786</v>
      </c>
      <c r="Q569" s="21" t="s">
        <v>547</v>
      </c>
      <c r="S569" t="s">
        <v>547</v>
      </c>
    </row>
    <row r="570" spans="1:19" x14ac:dyDescent="0.2">
      <c r="A570">
        <v>573</v>
      </c>
      <c r="B570" t="s">
        <v>210</v>
      </c>
      <c r="C570" t="s">
        <v>210</v>
      </c>
      <c r="D570" t="s">
        <v>15</v>
      </c>
      <c r="E570" t="s">
        <v>9</v>
      </c>
      <c r="F570" t="s">
        <v>12</v>
      </c>
      <c r="G570">
        <v>27</v>
      </c>
      <c r="H570">
        <v>10</v>
      </c>
      <c r="I570">
        <v>7.65</v>
      </c>
      <c r="J570">
        <v>0.9</v>
      </c>
      <c r="K570">
        <v>0.55000000000000004</v>
      </c>
      <c r="L570">
        <v>0.37</v>
      </c>
      <c r="N570" s="21">
        <v>0.67272727272727262</v>
      </c>
      <c r="O570" s="21">
        <v>3.812121212121212</v>
      </c>
      <c r="P570" s="21" t="s">
        <v>547</v>
      </c>
      <c r="Q570" s="21">
        <v>0.67272727272727262</v>
      </c>
      <c r="S570" t="s">
        <v>547</v>
      </c>
    </row>
    <row r="571" spans="1:19" x14ac:dyDescent="0.2">
      <c r="A571">
        <v>574</v>
      </c>
      <c r="B571" t="s">
        <v>210</v>
      </c>
      <c r="C571" t="s">
        <v>210</v>
      </c>
      <c r="D571" t="s">
        <v>15</v>
      </c>
      <c r="E571" t="s">
        <v>9</v>
      </c>
      <c r="F571" t="s">
        <v>14</v>
      </c>
      <c r="G571">
        <v>28</v>
      </c>
      <c r="H571">
        <v>17</v>
      </c>
      <c r="I571">
        <v>9.9499999999999993</v>
      </c>
      <c r="J571">
        <v>2.75</v>
      </c>
      <c r="K571">
        <v>0.55000000000000004</v>
      </c>
      <c r="L571">
        <v>0.37</v>
      </c>
      <c r="N571" s="21">
        <v>2.0555555555555554</v>
      </c>
      <c r="O571" s="21">
        <v>4.9582491582491581</v>
      </c>
      <c r="P571" s="21" t="s">
        <v>547</v>
      </c>
      <c r="Q571" s="21">
        <v>2.0555555555555554</v>
      </c>
      <c r="S571" t="s">
        <v>547</v>
      </c>
    </row>
    <row r="572" spans="1:19" x14ac:dyDescent="0.2">
      <c r="A572">
        <v>575</v>
      </c>
      <c r="B572" t="s">
        <v>211</v>
      </c>
      <c r="C572" t="s">
        <v>211</v>
      </c>
      <c r="D572" t="s">
        <v>15</v>
      </c>
      <c r="E572" t="s">
        <v>9</v>
      </c>
      <c r="F572" t="s">
        <v>10</v>
      </c>
      <c r="G572">
        <v>32</v>
      </c>
      <c r="H572">
        <v>27</v>
      </c>
      <c r="I572">
        <v>16.399999999999999</v>
      </c>
      <c r="J572">
        <v>4.9000000000000004</v>
      </c>
      <c r="K572">
        <v>0.95</v>
      </c>
      <c r="L572">
        <v>0.53900000000000003</v>
      </c>
      <c r="M572">
        <v>0.107</v>
      </c>
      <c r="N572" s="21">
        <v>3.0890058479532172</v>
      </c>
      <c r="O572" s="21">
        <v>6.8924756335282655</v>
      </c>
      <c r="P572" s="21">
        <v>3.0890058479532172</v>
      </c>
      <c r="Q572" s="21" t="s">
        <v>547</v>
      </c>
      <c r="S572" t="s">
        <v>547</v>
      </c>
    </row>
    <row r="573" spans="1:19" x14ac:dyDescent="0.2">
      <c r="A573">
        <v>576</v>
      </c>
      <c r="B573" t="s">
        <v>211</v>
      </c>
      <c r="C573" t="s">
        <v>211</v>
      </c>
      <c r="D573" t="s">
        <v>15</v>
      </c>
      <c r="E573" t="s">
        <v>9</v>
      </c>
      <c r="F573" t="s">
        <v>11</v>
      </c>
      <c r="G573">
        <v>33</v>
      </c>
      <c r="H573">
        <v>28</v>
      </c>
      <c r="I573">
        <v>15.35</v>
      </c>
      <c r="J573">
        <v>5.2</v>
      </c>
      <c r="K573">
        <v>0.95</v>
      </c>
      <c r="L573">
        <v>0.53900000000000003</v>
      </c>
      <c r="M573">
        <v>0.107</v>
      </c>
      <c r="N573" s="21">
        <v>3.2781286549707604</v>
      </c>
      <c r="O573" s="21">
        <v>6.4511890838206636</v>
      </c>
      <c r="P573" s="21">
        <v>3.2781286549707604</v>
      </c>
      <c r="Q573" s="21" t="s">
        <v>547</v>
      </c>
      <c r="S573" t="s">
        <v>547</v>
      </c>
    </row>
    <row r="574" spans="1:19" x14ac:dyDescent="0.2">
      <c r="A574">
        <v>577</v>
      </c>
      <c r="B574" t="s">
        <v>211</v>
      </c>
      <c r="C574" t="s">
        <v>211</v>
      </c>
      <c r="D574" t="s">
        <v>15</v>
      </c>
      <c r="E574" t="s">
        <v>9</v>
      </c>
      <c r="F574" t="s">
        <v>12</v>
      </c>
      <c r="G574">
        <v>32</v>
      </c>
      <c r="H574">
        <v>34</v>
      </c>
      <c r="I574">
        <v>14</v>
      </c>
      <c r="J574">
        <v>5.95</v>
      </c>
      <c r="K574">
        <v>0.75</v>
      </c>
      <c r="L574">
        <v>0.39</v>
      </c>
      <c r="M574">
        <v>0.1</v>
      </c>
      <c r="N574" s="21">
        <v>3.4377777777777783</v>
      </c>
      <c r="O574" s="21">
        <v>5.3925925925925933</v>
      </c>
      <c r="P574" s="21" t="s">
        <v>547</v>
      </c>
      <c r="Q574" s="21">
        <v>3.4377777777777783</v>
      </c>
      <c r="S574" t="s">
        <v>547</v>
      </c>
    </row>
    <row r="575" spans="1:19" x14ac:dyDescent="0.2">
      <c r="A575">
        <v>578</v>
      </c>
      <c r="B575" t="s">
        <v>211</v>
      </c>
      <c r="C575" t="s">
        <v>211</v>
      </c>
      <c r="D575" t="s">
        <v>15</v>
      </c>
      <c r="E575" t="s">
        <v>9</v>
      </c>
      <c r="F575" t="s">
        <v>14</v>
      </c>
      <c r="G575">
        <v>28</v>
      </c>
      <c r="H575">
        <v>27</v>
      </c>
      <c r="I575">
        <v>9.8000000000000007</v>
      </c>
      <c r="J575">
        <v>4</v>
      </c>
      <c r="K575">
        <v>0.75</v>
      </c>
      <c r="L575">
        <v>0.39</v>
      </c>
      <c r="M575">
        <v>0.1</v>
      </c>
      <c r="N575" s="21">
        <v>2.3111111111111113</v>
      </c>
      <c r="O575" s="21">
        <v>3.7748148148148153</v>
      </c>
      <c r="P575" s="21" t="s">
        <v>547</v>
      </c>
      <c r="Q575" s="21">
        <v>2.3111111111111113</v>
      </c>
      <c r="S575" t="s">
        <v>547</v>
      </c>
    </row>
    <row r="576" spans="1:19" x14ac:dyDescent="0.2">
      <c r="A576">
        <v>579</v>
      </c>
      <c r="B576" t="s">
        <v>212</v>
      </c>
      <c r="C576" t="s">
        <v>367</v>
      </c>
      <c r="D576" t="s">
        <v>15</v>
      </c>
      <c r="E576" t="s">
        <v>9</v>
      </c>
      <c r="F576" t="s">
        <v>10</v>
      </c>
      <c r="G576">
        <v>35</v>
      </c>
      <c r="H576">
        <v>34</v>
      </c>
      <c r="I576">
        <v>13.05</v>
      </c>
      <c r="J576">
        <v>10</v>
      </c>
      <c r="K576">
        <v>1.2</v>
      </c>
      <c r="L576">
        <v>0.80800000000000005</v>
      </c>
      <c r="M576">
        <v>0.108</v>
      </c>
      <c r="N576" s="21">
        <v>7.4814814814814827</v>
      </c>
      <c r="O576" s="21">
        <v>6.5088888888888912</v>
      </c>
      <c r="P576" s="21">
        <v>7.4814814814814827</v>
      </c>
      <c r="Q576" s="21" t="s">
        <v>547</v>
      </c>
      <c r="S576" t="s">
        <v>547</v>
      </c>
    </row>
    <row r="577" spans="1:19" x14ac:dyDescent="0.2">
      <c r="A577">
        <v>580</v>
      </c>
      <c r="B577" t="s">
        <v>212</v>
      </c>
      <c r="C577" t="s">
        <v>367</v>
      </c>
      <c r="D577" t="s">
        <v>15</v>
      </c>
      <c r="E577" t="s">
        <v>9</v>
      </c>
      <c r="F577" t="s">
        <v>11</v>
      </c>
      <c r="G577">
        <v>31</v>
      </c>
      <c r="H577">
        <v>29</v>
      </c>
      <c r="I577">
        <v>9.15</v>
      </c>
      <c r="J577">
        <v>7.7</v>
      </c>
      <c r="K577">
        <v>1.2</v>
      </c>
      <c r="L577">
        <v>0.80800000000000005</v>
      </c>
      <c r="M577">
        <v>0.108</v>
      </c>
      <c r="N577" s="21">
        <v>5.7607407407407418</v>
      </c>
      <c r="O577" s="21">
        <v>4.5637037037037045</v>
      </c>
      <c r="P577" s="21">
        <v>5.7607407407407418</v>
      </c>
      <c r="Q577" s="21" t="s">
        <v>547</v>
      </c>
      <c r="S577" t="s">
        <v>547</v>
      </c>
    </row>
    <row r="578" spans="1:19" x14ac:dyDescent="0.2">
      <c r="A578">
        <v>581</v>
      </c>
      <c r="B578" t="s">
        <v>212</v>
      </c>
      <c r="C578" t="s">
        <v>367</v>
      </c>
      <c r="D578" t="s">
        <v>15</v>
      </c>
      <c r="E578" t="s">
        <v>9</v>
      </c>
      <c r="F578" t="s">
        <v>12</v>
      </c>
      <c r="G578">
        <v>17</v>
      </c>
      <c r="H578">
        <v>17</v>
      </c>
      <c r="I578">
        <v>6.15</v>
      </c>
      <c r="J578">
        <v>4.3</v>
      </c>
      <c r="K578">
        <v>1</v>
      </c>
      <c r="L578">
        <v>0.69</v>
      </c>
      <c r="M578">
        <v>0.10199999999999999</v>
      </c>
      <c r="N578" s="21">
        <v>3.2966666666666664</v>
      </c>
      <c r="O578" s="21">
        <v>3.1433333333333331</v>
      </c>
      <c r="P578" s="21" t="s">
        <v>547</v>
      </c>
      <c r="Q578" s="21">
        <v>3.2966666666666664</v>
      </c>
      <c r="S578" t="s">
        <v>547</v>
      </c>
    </row>
    <row r="579" spans="1:19" x14ac:dyDescent="0.2">
      <c r="A579">
        <v>582</v>
      </c>
      <c r="B579" t="s">
        <v>212</v>
      </c>
      <c r="C579" t="s">
        <v>367</v>
      </c>
      <c r="D579" t="s">
        <v>15</v>
      </c>
      <c r="E579" t="s">
        <v>9</v>
      </c>
      <c r="F579" t="s">
        <v>14</v>
      </c>
      <c r="G579">
        <v>27</v>
      </c>
      <c r="H579">
        <v>28</v>
      </c>
      <c r="I579">
        <v>9.5500000000000007</v>
      </c>
      <c r="J579">
        <v>7.4</v>
      </c>
      <c r="K579">
        <v>1</v>
      </c>
      <c r="L579">
        <v>0.69</v>
      </c>
      <c r="M579">
        <v>0.10199999999999999</v>
      </c>
      <c r="N579" s="21">
        <v>5.6733333333333338</v>
      </c>
      <c r="O579" s="21">
        <v>4.8811111111111112</v>
      </c>
      <c r="P579" s="21" t="s">
        <v>547</v>
      </c>
      <c r="Q579" s="21">
        <v>5.6733333333333338</v>
      </c>
      <c r="S579" t="s">
        <v>547</v>
      </c>
    </row>
    <row r="580" spans="1:19" x14ac:dyDescent="0.2">
      <c r="A580">
        <v>583</v>
      </c>
      <c r="B580" t="s">
        <v>213</v>
      </c>
      <c r="C580" t="s">
        <v>213</v>
      </c>
      <c r="D580" t="s">
        <v>15</v>
      </c>
      <c r="E580" t="s">
        <v>9</v>
      </c>
      <c r="F580" t="s">
        <v>10</v>
      </c>
      <c r="G580">
        <v>29</v>
      </c>
      <c r="H580">
        <v>31</v>
      </c>
      <c r="I580">
        <v>6.65</v>
      </c>
      <c r="J580">
        <v>6.65</v>
      </c>
      <c r="K580">
        <v>0.85</v>
      </c>
      <c r="L580">
        <v>0.47199999999999998</v>
      </c>
      <c r="M580">
        <v>0.13500000000000001</v>
      </c>
      <c r="N580" s="21">
        <v>4.1030065359477126</v>
      </c>
      <c r="O580" s="21">
        <v>2.7353376906318081</v>
      </c>
      <c r="P580" s="21">
        <v>4.1030065359477126</v>
      </c>
      <c r="Q580" s="21" t="s">
        <v>547</v>
      </c>
      <c r="S580" t="s">
        <v>547</v>
      </c>
    </row>
    <row r="581" spans="1:19" x14ac:dyDescent="0.2">
      <c r="A581">
        <v>584</v>
      </c>
      <c r="B581" t="s">
        <v>213</v>
      </c>
      <c r="C581" t="s">
        <v>213</v>
      </c>
      <c r="D581" t="s">
        <v>15</v>
      </c>
      <c r="E581" t="s">
        <v>9</v>
      </c>
      <c r="F581" t="s">
        <v>11</v>
      </c>
      <c r="G581">
        <v>27</v>
      </c>
      <c r="H581">
        <v>29</v>
      </c>
      <c r="I581">
        <v>4.95</v>
      </c>
      <c r="J581">
        <v>4.05</v>
      </c>
      <c r="K581">
        <v>0.85</v>
      </c>
      <c r="L581">
        <v>0.47199999999999998</v>
      </c>
      <c r="M581">
        <v>0.13500000000000001</v>
      </c>
      <c r="N581" s="21">
        <v>2.4988235294117649</v>
      </c>
      <c r="O581" s="21">
        <v>2.0360784313725491</v>
      </c>
      <c r="P581" s="21">
        <v>2.4988235294117649</v>
      </c>
      <c r="Q581" s="21" t="s">
        <v>547</v>
      </c>
      <c r="S581" t="s">
        <v>547</v>
      </c>
    </row>
    <row r="582" spans="1:19" x14ac:dyDescent="0.2">
      <c r="A582">
        <v>585</v>
      </c>
      <c r="B582" t="s">
        <v>213</v>
      </c>
      <c r="C582" t="s">
        <v>213</v>
      </c>
      <c r="D582" t="s">
        <v>15</v>
      </c>
      <c r="E582" t="s">
        <v>9</v>
      </c>
      <c r="F582" t="s">
        <v>12</v>
      </c>
      <c r="G582">
        <v>36</v>
      </c>
      <c r="H582">
        <v>35</v>
      </c>
      <c r="I582">
        <v>7.05</v>
      </c>
      <c r="J582">
        <v>8.35</v>
      </c>
      <c r="K582">
        <v>0.8</v>
      </c>
      <c r="L582">
        <v>0.47399999999999998</v>
      </c>
      <c r="M582">
        <v>7.8E-2</v>
      </c>
      <c r="N582" s="21">
        <v>5.4970833333333324</v>
      </c>
      <c r="O582" s="21">
        <v>3.0941666666666663</v>
      </c>
      <c r="P582" s="21" t="s">
        <v>547</v>
      </c>
      <c r="Q582" s="21">
        <v>5.4970833333333324</v>
      </c>
      <c r="S582" t="s">
        <v>547</v>
      </c>
    </row>
    <row r="583" spans="1:19" x14ac:dyDescent="0.2">
      <c r="A583">
        <v>586</v>
      </c>
      <c r="B583" t="s">
        <v>213</v>
      </c>
      <c r="C583" t="s">
        <v>213</v>
      </c>
      <c r="D583" t="s">
        <v>15</v>
      </c>
      <c r="E583" t="s">
        <v>9</v>
      </c>
      <c r="F583" t="s">
        <v>14</v>
      </c>
      <c r="G583">
        <v>29</v>
      </c>
      <c r="H583">
        <v>30</v>
      </c>
      <c r="I583">
        <v>3.2</v>
      </c>
      <c r="J583">
        <v>4.1500000000000004</v>
      </c>
      <c r="K583">
        <v>0.8</v>
      </c>
      <c r="L583">
        <v>0.47399999999999998</v>
      </c>
      <c r="M583">
        <v>7.8E-2</v>
      </c>
      <c r="N583" s="21">
        <v>2.7320833333333332</v>
      </c>
      <c r="O583" s="21">
        <v>1.4044444444444444</v>
      </c>
      <c r="P583" s="21" t="s">
        <v>547</v>
      </c>
      <c r="Q583" s="21">
        <v>2.7320833333333332</v>
      </c>
      <c r="S583" t="s">
        <v>547</v>
      </c>
    </row>
    <row r="584" spans="1:19" x14ac:dyDescent="0.2">
      <c r="A584">
        <v>587</v>
      </c>
      <c r="B584" t="s">
        <v>214</v>
      </c>
      <c r="C584" t="s">
        <v>368</v>
      </c>
      <c r="D584" t="s">
        <v>15</v>
      </c>
      <c r="E584" t="s">
        <v>9</v>
      </c>
      <c r="F584" t="s">
        <v>10</v>
      </c>
      <c r="G584">
        <v>26</v>
      </c>
      <c r="H584">
        <v>23</v>
      </c>
      <c r="I584">
        <v>4.5</v>
      </c>
      <c r="J584">
        <v>3.6</v>
      </c>
      <c r="K584">
        <v>0.65</v>
      </c>
      <c r="L584">
        <v>0.33800000000000002</v>
      </c>
      <c r="M584">
        <v>7.6999999999999999E-2</v>
      </c>
      <c r="N584" s="21">
        <v>2.08</v>
      </c>
      <c r="O584" s="21">
        <v>1.7333333333333334</v>
      </c>
      <c r="P584" s="21">
        <v>2.08</v>
      </c>
      <c r="Q584" s="21" t="s">
        <v>547</v>
      </c>
      <c r="S584" t="s">
        <v>547</v>
      </c>
    </row>
    <row r="585" spans="1:19" x14ac:dyDescent="0.2">
      <c r="A585">
        <v>588</v>
      </c>
      <c r="B585" t="s">
        <v>214</v>
      </c>
      <c r="C585" t="s">
        <v>368</v>
      </c>
      <c r="D585" t="s">
        <v>15</v>
      </c>
      <c r="E585" t="s">
        <v>9</v>
      </c>
      <c r="F585" t="s">
        <v>11</v>
      </c>
      <c r="G585">
        <v>26</v>
      </c>
      <c r="H585">
        <v>27</v>
      </c>
      <c r="I585">
        <v>3.85</v>
      </c>
      <c r="J585">
        <v>2.5499999999999998</v>
      </c>
      <c r="K585">
        <v>0.65</v>
      </c>
      <c r="L585">
        <v>0.33800000000000002</v>
      </c>
      <c r="M585">
        <v>7.6999999999999999E-2</v>
      </c>
      <c r="N585" s="21">
        <v>1.4733333333333332</v>
      </c>
      <c r="O585" s="21">
        <v>1.482962962962963</v>
      </c>
      <c r="P585" s="21">
        <v>1.4733333333333332</v>
      </c>
      <c r="Q585" s="21" t="s">
        <v>547</v>
      </c>
      <c r="S585" t="s">
        <v>547</v>
      </c>
    </row>
    <row r="586" spans="1:19" x14ac:dyDescent="0.2">
      <c r="A586">
        <v>589</v>
      </c>
      <c r="B586" t="s">
        <v>214</v>
      </c>
      <c r="C586" t="s">
        <v>368</v>
      </c>
      <c r="D586" t="s">
        <v>15</v>
      </c>
      <c r="E586" t="s">
        <v>9</v>
      </c>
      <c r="F586" t="s">
        <v>12</v>
      </c>
      <c r="G586">
        <v>32</v>
      </c>
      <c r="H586">
        <v>32</v>
      </c>
      <c r="I586">
        <v>4.6500000000000004</v>
      </c>
      <c r="J586">
        <v>3.15</v>
      </c>
      <c r="K586">
        <v>0.55000000000000004</v>
      </c>
      <c r="L586">
        <v>0.27400000000000002</v>
      </c>
      <c r="M586">
        <v>9.0999999999999998E-2</v>
      </c>
      <c r="N586" s="21">
        <v>1.7436363636363637</v>
      </c>
      <c r="O586" s="21">
        <v>1.7159595959595961</v>
      </c>
      <c r="P586" s="21" t="s">
        <v>547</v>
      </c>
      <c r="Q586" s="21">
        <v>1.7436363636363637</v>
      </c>
      <c r="S586" t="s">
        <v>547</v>
      </c>
    </row>
    <row r="587" spans="1:19" x14ac:dyDescent="0.2">
      <c r="A587">
        <v>590</v>
      </c>
      <c r="B587" t="s">
        <v>215</v>
      </c>
      <c r="C587" t="s">
        <v>215</v>
      </c>
      <c r="D587" t="s">
        <v>1</v>
      </c>
      <c r="E587" t="s">
        <v>9</v>
      </c>
      <c r="F587" t="s">
        <v>10</v>
      </c>
      <c r="G587">
        <v>24</v>
      </c>
      <c r="H587">
        <v>23</v>
      </c>
      <c r="I587">
        <v>4.32</v>
      </c>
      <c r="J587">
        <v>4.3</v>
      </c>
      <c r="K587">
        <v>1.02</v>
      </c>
      <c r="L587">
        <v>0.77</v>
      </c>
      <c r="N587" s="21">
        <v>3.6067538126361653</v>
      </c>
      <c r="O587" s="21">
        <v>2.4156862745098042</v>
      </c>
      <c r="P587" s="21">
        <v>3.6067538126361653</v>
      </c>
      <c r="Q587" s="21" t="s">
        <v>547</v>
      </c>
      <c r="S587" t="s">
        <v>547</v>
      </c>
    </row>
    <row r="588" spans="1:19" x14ac:dyDescent="0.2">
      <c r="A588">
        <v>591</v>
      </c>
      <c r="B588" t="s">
        <v>215</v>
      </c>
      <c r="C588" t="s">
        <v>215</v>
      </c>
      <c r="D588" t="s">
        <v>1</v>
      </c>
      <c r="E588" t="s">
        <v>9</v>
      </c>
      <c r="F588" t="s">
        <v>11</v>
      </c>
      <c r="G588">
        <v>24</v>
      </c>
      <c r="H588">
        <v>22</v>
      </c>
      <c r="I588">
        <v>3.7</v>
      </c>
      <c r="J588">
        <v>4.13</v>
      </c>
      <c r="K588">
        <v>1.02</v>
      </c>
      <c r="L588">
        <v>0.77</v>
      </c>
      <c r="N588" s="21">
        <v>3.464161220043573</v>
      </c>
      <c r="O588" s="21">
        <v>2.0689905591866378</v>
      </c>
      <c r="P588" s="21">
        <v>3.464161220043573</v>
      </c>
      <c r="Q588" s="21" t="s">
        <v>547</v>
      </c>
      <c r="S588" t="s">
        <v>547</v>
      </c>
    </row>
    <row r="589" spans="1:19" x14ac:dyDescent="0.2">
      <c r="A589">
        <v>592</v>
      </c>
      <c r="B589" t="s">
        <v>215</v>
      </c>
      <c r="C589" t="s">
        <v>215</v>
      </c>
      <c r="D589" t="s">
        <v>1</v>
      </c>
      <c r="E589" t="s">
        <v>9</v>
      </c>
      <c r="F589" t="s">
        <v>12</v>
      </c>
      <c r="G589">
        <v>20</v>
      </c>
      <c r="H589">
        <v>22</v>
      </c>
      <c r="I589">
        <v>1.7</v>
      </c>
      <c r="J589">
        <v>1.1000000000000001</v>
      </c>
      <c r="K589">
        <v>0.62</v>
      </c>
      <c r="L589">
        <v>0.47099999999999997</v>
      </c>
      <c r="M589">
        <v>9.5000000000000001E-2</v>
      </c>
      <c r="N589" s="21">
        <v>0.92849462365591406</v>
      </c>
      <c r="O589" s="21">
        <v>0.95663082437275992</v>
      </c>
      <c r="P589" s="21" t="s">
        <v>547</v>
      </c>
      <c r="Q589" s="21">
        <v>0.92849462365591406</v>
      </c>
      <c r="S589" t="s">
        <v>547</v>
      </c>
    </row>
    <row r="590" spans="1:19" x14ac:dyDescent="0.2">
      <c r="A590">
        <v>593</v>
      </c>
      <c r="B590" t="s">
        <v>215</v>
      </c>
      <c r="C590" t="s">
        <v>215</v>
      </c>
      <c r="D590" t="s">
        <v>1</v>
      </c>
      <c r="E590" t="s">
        <v>9</v>
      </c>
      <c r="F590" t="s">
        <v>14</v>
      </c>
      <c r="G590">
        <v>21</v>
      </c>
      <c r="H590">
        <v>20</v>
      </c>
      <c r="I590">
        <v>1.3</v>
      </c>
      <c r="J590">
        <v>1</v>
      </c>
      <c r="K590">
        <v>0.62</v>
      </c>
      <c r="L590">
        <v>0.47099999999999997</v>
      </c>
      <c r="M590">
        <v>9.5000000000000001E-2</v>
      </c>
      <c r="N590" s="21">
        <v>0.84408602150537637</v>
      </c>
      <c r="O590" s="21">
        <v>0.73154121863799293</v>
      </c>
      <c r="P590" s="21" t="s">
        <v>547</v>
      </c>
      <c r="Q590" s="21">
        <v>0.84408602150537637</v>
      </c>
      <c r="S590" t="s">
        <v>547</v>
      </c>
    </row>
    <row r="591" spans="1:19" x14ac:dyDescent="0.2">
      <c r="A591">
        <v>594</v>
      </c>
      <c r="B591" t="s">
        <v>216</v>
      </c>
      <c r="C591" t="s">
        <v>369</v>
      </c>
      <c r="D591" t="s">
        <v>1</v>
      </c>
      <c r="E591" t="s">
        <v>9</v>
      </c>
      <c r="F591" t="s">
        <v>10</v>
      </c>
      <c r="G591">
        <v>39</v>
      </c>
      <c r="H591">
        <v>40</v>
      </c>
      <c r="I591">
        <v>10.31</v>
      </c>
      <c r="J591">
        <v>9.01</v>
      </c>
      <c r="K591">
        <v>1.08</v>
      </c>
      <c r="L591">
        <v>0.77200000000000002</v>
      </c>
      <c r="M591">
        <v>0.14799999999999999</v>
      </c>
      <c r="N591" s="21">
        <v>7.1560905349794242</v>
      </c>
      <c r="O591" s="21">
        <v>5.459067215363512</v>
      </c>
      <c r="P591" s="21">
        <v>7.1560905349794242</v>
      </c>
      <c r="Q591" s="21" t="s">
        <v>547</v>
      </c>
      <c r="S591" t="s">
        <v>547</v>
      </c>
    </row>
    <row r="592" spans="1:19" x14ac:dyDescent="0.2">
      <c r="A592">
        <v>595</v>
      </c>
      <c r="B592" t="s">
        <v>216</v>
      </c>
      <c r="C592" t="s">
        <v>369</v>
      </c>
      <c r="D592" t="s">
        <v>1</v>
      </c>
      <c r="E592" t="s">
        <v>9</v>
      </c>
      <c r="F592" t="s">
        <v>11</v>
      </c>
      <c r="G592">
        <v>38</v>
      </c>
      <c r="H592">
        <v>40</v>
      </c>
      <c r="I592">
        <v>7.18</v>
      </c>
      <c r="J592">
        <v>6.91</v>
      </c>
      <c r="K592">
        <v>1.08</v>
      </c>
      <c r="L592">
        <v>0.77200000000000002</v>
      </c>
      <c r="M592">
        <v>0.14799999999999999</v>
      </c>
      <c r="N592" s="21">
        <v>5.4881893004115225</v>
      </c>
      <c r="O592" s="21">
        <v>3.801755829903978</v>
      </c>
      <c r="P592" s="21">
        <v>5.4881893004115225</v>
      </c>
      <c r="Q592" s="21" t="s">
        <v>547</v>
      </c>
      <c r="S592" t="s">
        <v>547</v>
      </c>
    </row>
    <row r="593" spans="1:19" x14ac:dyDescent="0.2">
      <c r="A593">
        <v>596</v>
      </c>
      <c r="B593" t="s">
        <v>216</v>
      </c>
      <c r="C593" t="s">
        <v>369</v>
      </c>
      <c r="D593" t="s">
        <v>1</v>
      </c>
      <c r="E593" t="s">
        <v>9</v>
      </c>
      <c r="F593" t="s">
        <v>12</v>
      </c>
      <c r="G593">
        <v>29</v>
      </c>
      <c r="H593">
        <v>32</v>
      </c>
      <c r="I593">
        <v>5.21</v>
      </c>
      <c r="J593">
        <v>6.05</v>
      </c>
      <c r="K593">
        <v>0.68</v>
      </c>
      <c r="L593">
        <v>0.50600000000000001</v>
      </c>
      <c r="M593">
        <v>0.107</v>
      </c>
      <c r="N593" s="21">
        <v>5.0021241830065355</v>
      </c>
      <c r="O593" s="21">
        <v>2.8717429193899786</v>
      </c>
      <c r="P593" s="21" t="s">
        <v>547</v>
      </c>
      <c r="Q593" s="21">
        <v>5.0021241830065355</v>
      </c>
      <c r="S593" t="s">
        <v>547</v>
      </c>
    </row>
    <row r="594" spans="1:19" x14ac:dyDescent="0.2">
      <c r="A594">
        <v>597</v>
      </c>
      <c r="B594" t="s">
        <v>216</v>
      </c>
      <c r="C594" t="s">
        <v>369</v>
      </c>
      <c r="D594" t="s">
        <v>1</v>
      </c>
      <c r="E594" t="s">
        <v>9</v>
      </c>
      <c r="F594" t="s">
        <v>14</v>
      </c>
      <c r="G594">
        <v>30</v>
      </c>
      <c r="H594">
        <v>29</v>
      </c>
      <c r="I594">
        <v>6.31</v>
      </c>
      <c r="J594">
        <v>5.45</v>
      </c>
      <c r="K594">
        <v>0.68</v>
      </c>
      <c r="L594">
        <v>0.50600000000000001</v>
      </c>
      <c r="M594">
        <v>0.107</v>
      </c>
      <c r="N594" s="21">
        <v>4.5060457516339865</v>
      </c>
      <c r="O594" s="21">
        <v>3.4780610021786491</v>
      </c>
      <c r="P594" s="21" t="s">
        <v>547</v>
      </c>
      <c r="Q594" s="21">
        <v>4.5060457516339865</v>
      </c>
      <c r="S594" t="s">
        <v>547</v>
      </c>
    </row>
    <row r="595" spans="1:19" x14ac:dyDescent="0.2">
      <c r="A595">
        <v>598</v>
      </c>
      <c r="B595" t="s">
        <v>217</v>
      </c>
      <c r="C595" t="s">
        <v>370</v>
      </c>
      <c r="D595" t="s">
        <v>1</v>
      </c>
      <c r="E595" t="s">
        <v>9</v>
      </c>
      <c r="F595" t="s">
        <v>10</v>
      </c>
      <c r="G595">
        <v>45</v>
      </c>
      <c r="H595">
        <v>39</v>
      </c>
      <c r="I595">
        <v>4.88</v>
      </c>
      <c r="J595">
        <v>4.76</v>
      </c>
      <c r="K595">
        <v>0.54</v>
      </c>
      <c r="L595">
        <v>0.45100000000000001</v>
      </c>
      <c r="M595">
        <v>0.106</v>
      </c>
      <c r="N595" s="21">
        <v>4.4172016460905352</v>
      </c>
      <c r="O595" s="21">
        <v>3.0190397805212621</v>
      </c>
      <c r="P595" s="21">
        <v>4.4172016460905352</v>
      </c>
      <c r="Q595" s="21" t="s">
        <v>547</v>
      </c>
      <c r="S595" t="s">
        <v>547</v>
      </c>
    </row>
    <row r="596" spans="1:19" x14ac:dyDescent="0.2">
      <c r="A596">
        <v>599</v>
      </c>
      <c r="B596" t="s">
        <v>217</v>
      </c>
      <c r="C596" t="s">
        <v>370</v>
      </c>
      <c r="D596" t="s">
        <v>1</v>
      </c>
      <c r="E596" t="s">
        <v>9</v>
      </c>
      <c r="F596" t="s">
        <v>11</v>
      </c>
      <c r="G596">
        <v>33</v>
      </c>
      <c r="H596">
        <v>32</v>
      </c>
      <c r="I596">
        <v>4.04</v>
      </c>
      <c r="J596">
        <v>4.32</v>
      </c>
      <c r="K596">
        <v>0.54</v>
      </c>
      <c r="L596">
        <v>0.45100000000000001</v>
      </c>
      <c r="M596">
        <v>0.106</v>
      </c>
      <c r="N596" s="21">
        <v>4.0088888888888894</v>
      </c>
      <c r="O596" s="21">
        <v>2.4993689986282579</v>
      </c>
      <c r="P596" s="21">
        <v>4.0088888888888894</v>
      </c>
      <c r="Q596" s="21" t="s">
        <v>547</v>
      </c>
      <c r="S596" t="s">
        <v>547</v>
      </c>
    </row>
    <row r="597" spans="1:19" x14ac:dyDescent="0.2">
      <c r="A597">
        <v>600</v>
      </c>
      <c r="B597" t="s">
        <v>217</v>
      </c>
      <c r="C597" t="s">
        <v>370</v>
      </c>
      <c r="D597" t="s">
        <v>1</v>
      </c>
      <c r="E597" t="s">
        <v>9</v>
      </c>
      <c r="F597" t="s">
        <v>12</v>
      </c>
      <c r="G597">
        <v>33</v>
      </c>
      <c r="H597">
        <v>30</v>
      </c>
      <c r="I597">
        <v>3.99</v>
      </c>
      <c r="J597">
        <v>4.25</v>
      </c>
      <c r="K597">
        <v>0.6</v>
      </c>
      <c r="L597">
        <v>0.36</v>
      </c>
      <c r="M597">
        <v>0.126</v>
      </c>
      <c r="N597" s="21">
        <v>2.8333333333333335</v>
      </c>
      <c r="O597" s="21">
        <v>1.7733333333333334</v>
      </c>
      <c r="P597" s="21" t="s">
        <v>547</v>
      </c>
      <c r="Q597" s="21">
        <v>2.8333333333333335</v>
      </c>
      <c r="S597" t="s">
        <v>547</v>
      </c>
    </row>
    <row r="598" spans="1:19" x14ac:dyDescent="0.2">
      <c r="A598">
        <v>601</v>
      </c>
      <c r="B598" t="s">
        <v>217</v>
      </c>
      <c r="C598" t="s">
        <v>370</v>
      </c>
      <c r="D598" t="s">
        <v>1</v>
      </c>
      <c r="E598" t="s">
        <v>9</v>
      </c>
      <c r="F598" t="s">
        <v>14</v>
      </c>
      <c r="G598">
        <v>33</v>
      </c>
      <c r="H598">
        <v>39</v>
      </c>
      <c r="I598">
        <v>4.53</v>
      </c>
      <c r="J598">
        <v>5.95</v>
      </c>
      <c r="K598">
        <v>0.6</v>
      </c>
      <c r="L598">
        <v>0.36</v>
      </c>
      <c r="M598">
        <v>0.126</v>
      </c>
      <c r="N598" s="21">
        <v>3.9666666666666668</v>
      </c>
      <c r="O598" s="21">
        <v>2.0133333333333336</v>
      </c>
      <c r="P598" s="21" t="s">
        <v>547</v>
      </c>
      <c r="Q598" s="21">
        <v>3.9666666666666668</v>
      </c>
      <c r="S598" t="s">
        <v>547</v>
      </c>
    </row>
    <row r="599" spans="1:19" x14ac:dyDescent="0.2">
      <c r="A599">
        <v>602</v>
      </c>
      <c r="B599" t="s">
        <v>218</v>
      </c>
      <c r="C599" t="s">
        <v>218</v>
      </c>
      <c r="D599" t="s">
        <v>1</v>
      </c>
      <c r="E599" t="s">
        <v>27</v>
      </c>
      <c r="F599" t="s">
        <v>31</v>
      </c>
      <c r="G599">
        <v>44</v>
      </c>
      <c r="H599">
        <v>44</v>
      </c>
      <c r="I599">
        <v>8</v>
      </c>
      <c r="J599">
        <v>10.01</v>
      </c>
      <c r="L599">
        <v>0.35499999999999998</v>
      </c>
      <c r="M599">
        <v>4.2000000000000003E-2</v>
      </c>
      <c r="N599" s="21">
        <v>6.3456662056247124</v>
      </c>
      <c r="O599" s="21">
        <v>3.3809743353311821</v>
      </c>
      <c r="P599" s="21" t="s">
        <v>547</v>
      </c>
      <c r="Q599" s="21" t="s">
        <v>547</v>
      </c>
      <c r="S599" t="s">
        <v>547</v>
      </c>
    </row>
    <row r="600" spans="1:19" x14ac:dyDescent="0.2">
      <c r="A600">
        <v>603</v>
      </c>
      <c r="B600" t="s">
        <v>218</v>
      </c>
      <c r="C600" t="s">
        <v>218</v>
      </c>
      <c r="D600" t="s">
        <v>1</v>
      </c>
      <c r="E600" t="s">
        <v>27</v>
      </c>
      <c r="F600" t="s">
        <v>34</v>
      </c>
      <c r="G600">
        <v>38</v>
      </c>
      <c r="H600">
        <v>36</v>
      </c>
      <c r="I600">
        <v>14.92</v>
      </c>
      <c r="J600">
        <v>9.24</v>
      </c>
      <c r="L600">
        <v>0.95099999999999996</v>
      </c>
      <c r="M600">
        <v>0.189</v>
      </c>
      <c r="N600" s="21">
        <v>5.8575380359612739</v>
      </c>
      <c r="O600" s="21">
        <v>6.3055171353926545</v>
      </c>
      <c r="P600" s="21" t="s">
        <v>547</v>
      </c>
      <c r="Q600" s="21" t="s">
        <v>547</v>
      </c>
      <c r="S600" t="s">
        <v>547</v>
      </c>
    </row>
    <row r="601" spans="1:19" x14ac:dyDescent="0.2">
      <c r="A601">
        <v>604</v>
      </c>
      <c r="B601" t="s">
        <v>218</v>
      </c>
      <c r="C601" t="s">
        <v>218</v>
      </c>
      <c r="D601" t="s">
        <v>1</v>
      </c>
      <c r="E601" t="s">
        <v>27</v>
      </c>
      <c r="F601" t="s">
        <v>29</v>
      </c>
      <c r="G601">
        <v>34</v>
      </c>
      <c r="H601">
        <v>35</v>
      </c>
      <c r="I601">
        <v>6.12</v>
      </c>
      <c r="J601">
        <v>6.91</v>
      </c>
      <c r="N601" s="21">
        <v>4.3804748732134637</v>
      </c>
      <c r="O601" s="21">
        <v>2.5864453665283542</v>
      </c>
      <c r="P601" s="21" t="s">
        <v>547</v>
      </c>
      <c r="Q601" s="21" t="s">
        <v>547</v>
      </c>
      <c r="S601" t="s">
        <v>547</v>
      </c>
    </row>
    <row r="602" spans="1:19" x14ac:dyDescent="0.2">
      <c r="A602">
        <v>605</v>
      </c>
      <c r="B602" t="s">
        <v>218</v>
      </c>
      <c r="C602" t="s">
        <v>218</v>
      </c>
      <c r="D602" t="s">
        <v>1</v>
      </c>
      <c r="E602" t="s">
        <v>27</v>
      </c>
      <c r="F602" t="s">
        <v>36</v>
      </c>
      <c r="G602">
        <v>34</v>
      </c>
      <c r="H602">
        <v>36</v>
      </c>
      <c r="I602">
        <v>6.2</v>
      </c>
      <c r="J602">
        <v>7.89</v>
      </c>
      <c r="L602">
        <v>0.80600000000000005</v>
      </c>
      <c r="M602">
        <v>9.8000000000000004E-2</v>
      </c>
      <c r="N602" s="21">
        <v>5.001728907330568</v>
      </c>
      <c r="O602" s="21">
        <v>2.6202551098816667</v>
      </c>
      <c r="P602" s="21" t="s">
        <v>547</v>
      </c>
      <c r="Q602" s="21" t="s">
        <v>547</v>
      </c>
      <c r="S602" t="s">
        <v>547</v>
      </c>
    </row>
    <row r="603" spans="1:19" x14ac:dyDescent="0.2">
      <c r="A603">
        <v>606</v>
      </c>
      <c r="B603" t="s">
        <v>218</v>
      </c>
      <c r="C603" t="s">
        <v>218</v>
      </c>
      <c r="D603" t="s">
        <v>1</v>
      </c>
      <c r="E603" t="s">
        <v>27</v>
      </c>
      <c r="F603" t="s">
        <v>35</v>
      </c>
      <c r="G603">
        <v>46</v>
      </c>
      <c r="H603">
        <v>48</v>
      </c>
      <c r="I603">
        <v>10.01</v>
      </c>
      <c r="J603">
        <v>11.04</v>
      </c>
      <c r="L603">
        <v>0.86399999999999999</v>
      </c>
      <c r="M603">
        <v>0.13</v>
      </c>
      <c r="N603" s="21">
        <v>6.9986168741355472</v>
      </c>
      <c r="O603" s="21">
        <v>4.2304441370831416</v>
      </c>
      <c r="P603" s="21" t="s">
        <v>547</v>
      </c>
      <c r="Q603" s="21" t="s">
        <v>547</v>
      </c>
      <c r="S603" t="s">
        <v>547</v>
      </c>
    </row>
    <row r="604" spans="1:19" x14ac:dyDescent="0.2">
      <c r="A604">
        <v>607</v>
      </c>
      <c r="B604" t="s">
        <v>218</v>
      </c>
      <c r="C604" t="s">
        <v>218</v>
      </c>
      <c r="D604" t="s">
        <v>1</v>
      </c>
      <c r="E604" t="s">
        <v>27</v>
      </c>
      <c r="F604" t="s">
        <v>47</v>
      </c>
      <c r="G604">
        <v>46</v>
      </c>
      <c r="H604">
        <v>46</v>
      </c>
      <c r="I604">
        <v>6.05</v>
      </c>
      <c r="J604">
        <v>8</v>
      </c>
      <c r="L604">
        <v>0.45600000000000002</v>
      </c>
      <c r="M604">
        <v>0.13800000000000001</v>
      </c>
      <c r="N604" s="21">
        <v>5.0714615029967733</v>
      </c>
      <c r="O604" s="21">
        <v>2.5568618410942068</v>
      </c>
      <c r="P604" s="21" t="s">
        <v>547</v>
      </c>
      <c r="Q604" s="21" t="s">
        <v>547</v>
      </c>
      <c r="S604" t="s">
        <v>547</v>
      </c>
    </row>
    <row r="605" spans="1:19" x14ac:dyDescent="0.2">
      <c r="A605">
        <v>608</v>
      </c>
      <c r="B605" t="s">
        <v>218</v>
      </c>
      <c r="C605" t="s">
        <v>218</v>
      </c>
      <c r="D605" t="s">
        <v>1</v>
      </c>
      <c r="E605" t="s">
        <v>27</v>
      </c>
      <c r="F605" t="s">
        <v>48</v>
      </c>
      <c r="G605">
        <v>39</v>
      </c>
      <c r="H605">
        <v>35</v>
      </c>
      <c r="I605">
        <v>10</v>
      </c>
      <c r="J605">
        <v>6.21</v>
      </c>
      <c r="L605">
        <v>0.753</v>
      </c>
      <c r="M605">
        <v>0.11899999999999999</v>
      </c>
      <c r="N605" s="21">
        <v>3.9367219917012455</v>
      </c>
      <c r="O605" s="21">
        <v>4.2262179191639779</v>
      </c>
      <c r="P605" s="21" t="s">
        <v>547</v>
      </c>
      <c r="Q605" s="21" t="s">
        <v>547</v>
      </c>
      <c r="S605" t="s">
        <v>547</v>
      </c>
    </row>
    <row r="606" spans="1:19" x14ac:dyDescent="0.2">
      <c r="A606">
        <v>609</v>
      </c>
      <c r="B606" t="s">
        <v>218</v>
      </c>
      <c r="C606" t="s">
        <v>218</v>
      </c>
      <c r="D606" t="s">
        <v>1</v>
      </c>
      <c r="E606" t="s">
        <v>27</v>
      </c>
      <c r="F606" t="s">
        <v>45</v>
      </c>
      <c r="G606">
        <v>38</v>
      </c>
      <c r="H606">
        <v>43</v>
      </c>
      <c r="I606">
        <v>5.42</v>
      </c>
      <c r="J606">
        <v>6</v>
      </c>
      <c r="L606">
        <v>0.24099999999999999</v>
      </c>
      <c r="M606">
        <v>0.93</v>
      </c>
      <c r="N606" s="21">
        <v>3.8035961272475798</v>
      </c>
      <c r="O606" s="21">
        <v>2.2906101121868758</v>
      </c>
      <c r="P606" s="21" t="s">
        <v>547</v>
      </c>
      <c r="Q606" s="21" t="s">
        <v>547</v>
      </c>
      <c r="S606" t="s">
        <v>547</v>
      </c>
    </row>
    <row r="607" spans="1:19" x14ac:dyDescent="0.2">
      <c r="A607">
        <v>610</v>
      </c>
      <c r="B607" t="s">
        <v>218</v>
      </c>
      <c r="C607" t="s">
        <v>218</v>
      </c>
      <c r="D607" t="s">
        <v>1</v>
      </c>
      <c r="E607" t="s">
        <v>27</v>
      </c>
      <c r="F607" t="s">
        <v>49</v>
      </c>
      <c r="G607">
        <v>38</v>
      </c>
      <c r="H607">
        <v>39</v>
      </c>
      <c r="I607">
        <v>7.21</v>
      </c>
      <c r="J607">
        <v>8.1</v>
      </c>
      <c r="N607" s="21">
        <v>5.1348547717842328</v>
      </c>
      <c r="O607" s="21">
        <v>3.0471031197172285</v>
      </c>
      <c r="P607" s="21" t="s">
        <v>547</v>
      </c>
      <c r="Q607" s="21" t="s">
        <v>547</v>
      </c>
      <c r="S607" t="s">
        <v>547</v>
      </c>
    </row>
    <row r="608" spans="1:19" x14ac:dyDescent="0.2">
      <c r="A608">
        <v>611</v>
      </c>
      <c r="B608" t="s">
        <v>218</v>
      </c>
      <c r="C608" t="s">
        <v>218</v>
      </c>
      <c r="D608" t="s">
        <v>1</v>
      </c>
      <c r="E608" t="s">
        <v>27</v>
      </c>
      <c r="F608" t="s">
        <v>50</v>
      </c>
      <c r="G608">
        <v>31</v>
      </c>
      <c r="H608">
        <v>38</v>
      </c>
      <c r="I608">
        <v>8.11</v>
      </c>
      <c r="J608">
        <v>7.32</v>
      </c>
      <c r="N608" s="21">
        <v>4.6403872752420483</v>
      </c>
      <c r="O608" s="21">
        <v>3.427462732441986</v>
      </c>
      <c r="P608" s="21" t="s">
        <v>547</v>
      </c>
      <c r="Q608" s="21" t="s">
        <v>547</v>
      </c>
      <c r="S608" t="s">
        <v>547</v>
      </c>
    </row>
    <row r="609" spans="1:19" x14ac:dyDescent="0.2">
      <c r="A609">
        <v>612</v>
      </c>
      <c r="B609" t="s">
        <v>219</v>
      </c>
      <c r="C609" t="s">
        <v>219</v>
      </c>
      <c r="D609" t="s">
        <v>1</v>
      </c>
      <c r="E609" t="s">
        <v>9</v>
      </c>
      <c r="F609" t="s">
        <v>10</v>
      </c>
      <c r="G609">
        <v>38</v>
      </c>
      <c r="H609">
        <v>40</v>
      </c>
      <c r="I609">
        <v>6.62</v>
      </c>
      <c r="J609">
        <v>7.24</v>
      </c>
      <c r="K609">
        <v>0.89</v>
      </c>
      <c r="L609">
        <v>0.71799999999999997</v>
      </c>
      <c r="M609">
        <v>0.129</v>
      </c>
      <c r="N609" s="21">
        <v>6.4897877652933831</v>
      </c>
      <c r="O609" s="21">
        <v>3.9560216396171453</v>
      </c>
      <c r="P609" s="21">
        <v>6.4897877652933831</v>
      </c>
      <c r="Q609" s="21" t="s">
        <v>547</v>
      </c>
      <c r="S609" t="s">
        <v>547</v>
      </c>
    </row>
    <row r="610" spans="1:19" x14ac:dyDescent="0.2">
      <c r="A610">
        <v>613</v>
      </c>
      <c r="B610" t="s">
        <v>219</v>
      </c>
      <c r="C610" t="s">
        <v>219</v>
      </c>
      <c r="D610" t="s">
        <v>1</v>
      </c>
      <c r="E610" t="s">
        <v>9</v>
      </c>
      <c r="F610" t="s">
        <v>11</v>
      </c>
      <c r="G610">
        <v>43</v>
      </c>
      <c r="H610">
        <v>48</v>
      </c>
      <c r="I610">
        <v>6.63</v>
      </c>
      <c r="J610">
        <v>9.3800000000000008</v>
      </c>
      <c r="K610">
        <v>0.89</v>
      </c>
      <c r="L610">
        <v>0.71799999999999997</v>
      </c>
      <c r="M610">
        <v>0.129</v>
      </c>
      <c r="N610" s="21">
        <v>8.4080399500624221</v>
      </c>
      <c r="O610" s="21">
        <v>3.9619975031210983</v>
      </c>
      <c r="P610" s="21">
        <v>8.4080399500624221</v>
      </c>
      <c r="Q610" s="21" t="s">
        <v>547</v>
      </c>
      <c r="S610" t="s">
        <v>547</v>
      </c>
    </row>
    <row r="611" spans="1:19" x14ac:dyDescent="0.2">
      <c r="A611">
        <v>614</v>
      </c>
      <c r="B611" t="s">
        <v>219</v>
      </c>
      <c r="C611" t="s">
        <v>219</v>
      </c>
      <c r="D611" t="s">
        <v>1</v>
      </c>
      <c r="E611" t="s">
        <v>9</v>
      </c>
      <c r="F611" t="s">
        <v>12</v>
      </c>
      <c r="G611">
        <v>36</v>
      </c>
      <c r="H611">
        <v>40</v>
      </c>
      <c r="I611">
        <v>7.41</v>
      </c>
      <c r="J611">
        <v>7.11</v>
      </c>
      <c r="K611">
        <v>0.67</v>
      </c>
      <c r="L611">
        <v>0.621</v>
      </c>
      <c r="M611">
        <v>0.12</v>
      </c>
      <c r="N611" s="21">
        <v>7.3222388059701498</v>
      </c>
      <c r="O611" s="21">
        <v>5.0874626865671644</v>
      </c>
      <c r="P611" s="21" t="s">
        <v>547</v>
      </c>
      <c r="Q611" s="21">
        <v>7.3222388059701498</v>
      </c>
      <c r="S611" t="s">
        <v>547</v>
      </c>
    </row>
    <row r="612" spans="1:19" x14ac:dyDescent="0.2">
      <c r="A612">
        <v>615</v>
      </c>
      <c r="B612" t="s">
        <v>219</v>
      </c>
      <c r="C612" t="s">
        <v>219</v>
      </c>
      <c r="D612" t="s">
        <v>1</v>
      </c>
      <c r="E612" t="s">
        <v>9</v>
      </c>
      <c r="F612" t="s">
        <v>14</v>
      </c>
      <c r="G612">
        <v>36</v>
      </c>
      <c r="H612">
        <v>36</v>
      </c>
      <c r="I612">
        <v>5.68</v>
      </c>
      <c r="J612">
        <v>6.62</v>
      </c>
      <c r="K612">
        <v>0.67</v>
      </c>
      <c r="L612">
        <v>0.621</v>
      </c>
      <c r="M612">
        <v>0.12</v>
      </c>
      <c r="N612" s="21">
        <v>6.8176119402985069</v>
      </c>
      <c r="O612" s="21">
        <v>3.899701492537313</v>
      </c>
      <c r="P612" s="21" t="s">
        <v>547</v>
      </c>
      <c r="Q612" s="21">
        <v>6.8176119402985069</v>
      </c>
      <c r="S612" t="s">
        <v>547</v>
      </c>
    </row>
    <row r="613" spans="1:19" x14ac:dyDescent="0.2">
      <c r="A613">
        <v>616</v>
      </c>
      <c r="B613" t="s">
        <v>220</v>
      </c>
      <c r="D613" t="s">
        <v>1</v>
      </c>
      <c r="E613" t="s">
        <v>9</v>
      </c>
      <c r="F613" t="s">
        <v>10</v>
      </c>
      <c r="G613">
        <v>31</v>
      </c>
      <c r="H613">
        <v>36</v>
      </c>
      <c r="I613">
        <v>9.81</v>
      </c>
      <c r="J613">
        <v>7.1</v>
      </c>
      <c r="K613">
        <v>0.92</v>
      </c>
      <c r="L613">
        <v>0.64700000000000002</v>
      </c>
      <c r="M613">
        <v>0.13800000000000001</v>
      </c>
      <c r="N613" s="21">
        <v>5.5479468599033819</v>
      </c>
      <c r="O613" s="21">
        <v>5.11036231884058</v>
      </c>
      <c r="P613" s="21">
        <v>5.5479468599033819</v>
      </c>
      <c r="Q613" s="21" t="s">
        <v>547</v>
      </c>
      <c r="S613" t="s">
        <v>547</v>
      </c>
    </row>
    <row r="614" spans="1:19" x14ac:dyDescent="0.2">
      <c r="A614">
        <v>617</v>
      </c>
      <c r="B614" t="s">
        <v>220</v>
      </c>
      <c r="D614" t="s">
        <v>1</v>
      </c>
      <c r="E614" t="s">
        <v>9</v>
      </c>
      <c r="F614" t="s">
        <v>11</v>
      </c>
      <c r="G614">
        <v>35</v>
      </c>
      <c r="H614">
        <v>38</v>
      </c>
      <c r="I614">
        <v>6.11</v>
      </c>
      <c r="J614">
        <v>5.94</v>
      </c>
      <c r="K614">
        <v>0.92</v>
      </c>
      <c r="L614">
        <v>0.64700000000000002</v>
      </c>
      <c r="M614">
        <v>0.13800000000000001</v>
      </c>
      <c r="N614" s="21">
        <v>4.6415217391304351</v>
      </c>
      <c r="O614" s="21">
        <v>3.1829066022544286</v>
      </c>
      <c r="P614" s="21">
        <v>4.6415217391304351</v>
      </c>
      <c r="Q614" s="21" t="s">
        <v>547</v>
      </c>
      <c r="S614" t="s">
        <v>547</v>
      </c>
    </row>
    <row r="615" spans="1:19" x14ac:dyDescent="0.2">
      <c r="A615">
        <v>618</v>
      </c>
      <c r="B615" t="s">
        <v>220</v>
      </c>
      <c r="D615" t="s">
        <v>1</v>
      </c>
      <c r="E615" t="s">
        <v>9</v>
      </c>
      <c r="F615" t="s">
        <v>12</v>
      </c>
      <c r="G615">
        <v>25</v>
      </c>
      <c r="H615">
        <v>29</v>
      </c>
      <c r="I615">
        <v>7.91</v>
      </c>
      <c r="J615">
        <v>6.89</v>
      </c>
      <c r="K615">
        <v>1.62</v>
      </c>
      <c r="L615">
        <v>0.47799999999999998</v>
      </c>
      <c r="M615">
        <v>0.12</v>
      </c>
      <c r="N615" s="21">
        <v>2.2588614540466385</v>
      </c>
      <c r="O615" s="21">
        <v>1.7288431641518061</v>
      </c>
      <c r="P615" s="21" t="s">
        <v>547</v>
      </c>
      <c r="Q615" s="21">
        <v>2.2588614540466385</v>
      </c>
      <c r="S615" t="s">
        <v>547</v>
      </c>
    </row>
    <row r="616" spans="1:19" x14ac:dyDescent="0.2">
      <c r="A616">
        <v>619</v>
      </c>
      <c r="B616" t="s">
        <v>220</v>
      </c>
      <c r="D616" t="s">
        <v>1</v>
      </c>
      <c r="E616" t="s">
        <v>9</v>
      </c>
      <c r="F616" t="s">
        <v>14</v>
      </c>
      <c r="G616">
        <v>28</v>
      </c>
      <c r="H616">
        <v>31</v>
      </c>
      <c r="I616">
        <v>6</v>
      </c>
      <c r="J616">
        <v>5.01</v>
      </c>
      <c r="K616">
        <v>1.62</v>
      </c>
      <c r="L616">
        <v>0.47799999999999998</v>
      </c>
      <c r="M616">
        <v>0.12</v>
      </c>
      <c r="N616" s="21">
        <v>1.6425102880658433</v>
      </c>
      <c r="O616" s="21">
        <v>1.3113854595336076</v>
      </c>
      <c r="P616" s="21" t="s">
        <v>547</v>
      </c>
      <c r="Q616" s="21">
        <v>1.6425102880658433</v>
      </c>
      <c r="S616" t="s">
        <v>547</v>
      </c>
    </row>
    <row r="617" spans="1:19" x14ac:dyDescent="0.2">
      <c r="A617">
        <v>624</v>
      </c>
      <c r="B617" t="s">
        <v>221</v>
      </c>
      <c r="C617" t="s">
        <v>221</v>
      </c>
      <c r="D617" t="s">
        <v>1</v>
      </c>
      <c r="E617" t="s">
        <v>9</v>
      </c>
      <c r="F617" t="s">
        <v>10</v>
      </c>
      <c r="G617">
        <v>41</v>
      </c>
      <c r="H617">
        <v>39</v>
      </c>
      <c r="I617">
        <v>7.14</v>
      </c>
      <c r="J617">
        <v>6.1</v>
      </c>
      <c r="K617">
        <v>1.1399999999999999</v>
      </c>
      <c r="L617">
        <v>0.69</v>
      </c>
      <c r="M617">
        <v>0.129</v>
      </c>
      <c r="N617" s="21">
        <v>4.1023391812865491</v>
      </c>
      <c r="O617" s="21">
        <v>3.2011695906432744</v>
      </c>
      <c r="P617" s="21">
        <v>4.1023391812865491</v>
      </c>
      <c r="Q617" s="21" t="s">
        <v>547</v>
      </c>
      <c r="S617" t="s">
        <v>547</v>
      </c>
    </row>
    <row r="618" spans="1:19" x14ac:dyDescent="0.2">
      <c r="A618">
        <v>625</v>
      </c>
      <c r="B618" t="s">
        <v>221</v>
      </c>
      <c r="C618" t="s">
        <v>221</v>
      </c>
      <c r="D618" t="s">
        <v>1</v>
      </c>
      <c r="E618" t="s">
        <v>9</v>
      </c>
      <c r="F618" t="s">
        <v>11</v>
      </c>
      <c r="G618">
        <v>26</v>
      </c>
      <c r="H618">
        <v>30</v>
      </c>
      <c r="I618">
        <v>5.16</v>
      </c>
      <c r="J618">
        <v>4.9000000000000004</v>
      </c>
      <c r="K618">
        <v>1.1399999999999999</v>
      </c>
      <c r="L618">
        <v>0.69</v>
      </c>
      <c r="M618">
        <v>0.129</v>
      </c>
      <c r="N618" s="21">
        <v>3.2953216374269005</v>
      </c>
      <c r="O618" s="21">
        <v>2.3134502923976608</v>
      </c>
      <c r="P618" s="21">
        <v>3.2953216374269005</v>
      </c>
      <c r="Q618" s="21" t="s">
        <v>547</v>
      </c>
      <c r="S618" t="s">
        <v>547</v>
      </c>
    </row>
    <row r="619" spans="1:19" x14ac:dyDescent="0.2">
      <c r="A619">
        <v>626</v>
      </c>
      <c r="B619" t="s">
        <v>221</v>
      </c>
      <c r="C619" t="s">
        <v>221</v>
      </c>
      <c r="D619" t="s">
        <v>1</v>
      </c>
      <c r="E619" t="s">
        <v>9</v>
      </c>
      <c r="F619" t="s">
        <v>12</v>
      </c>
      <c r="G619">
        <v>36</v>
      </c>
      <c r="H619">
        <v>36</v>
      </c>
      <c r="I619">
        <v>4.9400000000000004</v>
      </c>
      <c r="J619">
        <v>3.98</v>
      </c>
      <c r="K619">
        <v>0.66</v>
      </c>
      <c r="L619">
        <v>0.40500000000000003</v>
      </c>
      <c r="M619">
        <v>9.1999999999999998E-2</v>
      </c>
      <c r="N619" s="21">
        <v>2.7136363636363638</v>
      </c>
      <c r="O619" s="21">
        <v>2.2454545454545456</v>
      </c>
      <c r="P619" s="21" t="s">
        <v>547</v>
      </c>
      <c r="Q619" s="21">
        <v>2.7136363636363638</v>
      </c>
      <c r="S619" t="s">
        <v>547</v>
      </c>
    </row>
    <row r="620" spans="1:19" x14ac:dyDescent="0.2">
      <c r="A620">
        <v>627</v>
      </c>
      <c r="B620" t="s">
        <v>221</v>
      </c>
      <c r="C620" t="s">
        <v>221</v>
      </c>
      <c r="D620" t="s">
        <v>1</v>
      </c>
      <c r="E620" t="s">
        <v>9</v>
      </c>
      <c r="F620" t="s">
        <v>14</v>
      </c>
      <c r="G620">
        <v>37</v>
      </c>
      <c r="H620">
        <v>28</v>
      </c>
      <c r="I620">
        <v>3.76</v>
      </c>
      <c r="J620">
        <v>3</v>
      </c>
      <c r="K620">
        <v>0.66</v>
      </c>
      <c r="L620">
        <v>0.40500000000000003</v>
      </c>
      <c r="M620">
        <v>9.1999999999999998E-2</v>
      </c>
      <c r="N620" s="21">
        <v>2.0454545454545454</v>
      </c>
      <c r="O620" s="21">
        <v>1.709090909090909</v>
      </c>
      <c r="P620" s="21" t="s">
        <v>547</v>
      </c>
      <c r="Q620" s="21">
        <v>2.0454545454545454</v>
      </c>
      <c r="S620" t="s">
        <v>547</v>
      </c>
    </row>
    <row r="621" spans="1:19" x14ac:dyDescent="0.2">
      <c r="A621">
        <v>628</v>
      </c>
      <c r="B621" t="s">
        <v>222</v>
      </c>
      <c r="C621" t="s">
        <v>371</v>
      </c>
      <c r="D621" t="s">
        <v>1</v>
      </c>
      <c r="E621" t="s">
        <v>9</v>
      </c>
      <c r="F621" t="s">
        <v>10</v>
      </c>
      <c r="G621">
        <v>23</v>
      </c>
      <c r="H621">
        <v>26</v>
      </c>
      <c r="I621">
        <v>12.06</v>
      </c>
      <c r="J621">
        <v>5.86</v>
      </c>
      <c r="K621">
        <v>1.46</v>
      </c>
      <c r="L621">
        <v>1.0629999999999999</v>
      </c>
      <c r="M621">
        <v>0.19800000000000001</v>
      </c>
      <c r="N621" s="21">
        <v>4.7406240487062403</v>
      </c>
      <c r="O621" s="21">
        <v>6.5042009132420091</v>
      </c>
      <c r="P621" s="21">
        <v>4.7406240487062403</v>
      </c>
      <c r="Q621" s="21" t="s">
        <v>547</v>
      </c>
      <c r="S621" t="s">
        <v>547</v>
      </c>
    </row>
    <row r="622" spans="1:19" x14ac:dyDescent="0.2">
      <c r="A622">
        <v>629</v>
      </c>
      <c r="B622" t="s">
        <v>222</v>
      </c>
      <c r="C622" t="s">
        <v>371</v>
      </c>
      <c r="D622" t="s">
        <v>1</v>
      </c>
      <c r="E622" t="s">
        <v>9</v>
      </c>
      <c r="F622" t="s">
        <v>11</v>
      </c>
      <c r="G622">
        <v>22</v>
      </c>
      <c r="H622">
        <v>20</v>
      </c>
      <c r="I622">
        <v>10.08</v>
      </c>
      <c r="J622">
        <v>5.64</v>
      </c>
      <c r="K622">
        <v>1.46</v>
      </c>
      <c r="L622">
        <v>1.0629999999999999</v>
      </c>
      <c r="M622">
        <v>0.19800000000000001</v>
      </c>
      <c r="N622" s="21">
        <v>4.5626484018264843</v>
      </c>
      <c r="O622" s="21">
        <v>5.4363470319634706</v>
      </c>
      <c r="P622" s="21">
        <v>4.5626484018264843</v>
      </c>
      <c r="Q622" s="21" t="s">
        <v>547</v>
      </c>
      <c r="S622" t="s">
        <v>547</v>
      </c>
    </row>
    <row r="623" spans="1:19" x14ac:dyDescent="0.2">
      <c r="A623">
        <v>630</v>
      </c>
      <c r="B623" t="s">
        <v>222</v>
      </c>
      <c r="C623" t="s">
        <v>371</v>
      </c>
      <c r="D623" t="s">
        <v>1</v>
      </c>
      <c r="E623" t="s">
        <v>9</v>
      </c>
      <c r="F623" t="s">
        <v>12</v>
      </c>
      <c r="G623">
        <v>18</v>
      </c>
      <c r="H623">
        <v>21</v>
      </c>
      <c r="I623">
        <v>9.1999999999999993</v>
      </c>
      <c r="J623">
        <v>4.58</v>
      </c>
      <c r="K623">
        <v>0.82</v>
      </c>
      <c r="L623">
        <v>0.71199999999999997</v>
      </c>
      <c r="M623">
        <v>0.16</v>
      </c>
      <c r="N623" s="21">
        <v>4.4186449864498645</v>
      </c>
      <c r="O623" s="21">
        <v>5.9172538392050589</v>
      </c>
      <c r="P623" s="21" t="s">
        <v>547</v>
      </c>
      <c r="Q623" s="21">
        <v>4.4186449864498645</v>
      </c>
      <c r="S623" t="s">
        <v>547</v>
      </c>
    </row>
    <row r="624" spans="1:19" x14ac:dyDescent="0.2">
      <c r="A624">
        <v>631</v>
      </c>
      <c r="B624" t="s">
        <v>222</v>
      </c>
      <c r="C624" t="s">
        <v>371</v>
      </c>
      <c r="D624" t="s">
        <v>1</v>
      </c>
      <c r="E624" t="s">
        <v>9</v>
      </c>
      <c r="F624" t="s">
        <v>14</v>
      </c>
      <c r="G624">
        <v>18</v>
      </c>
      <c r="H624">
        <v>14</v>
      </c>
      <c r="I624">
        <v>3.8</v>
      </c>
      <c r="J624">
        <v>2.2599999999999998</v>
      </c>
      <c r="K624">
        <v>0.82</v>
      </c>
      <c r="L624">
        <v>0.71199999999999997</v>
      </c>
      <c r="M624">
        <v>0.16</v>
      </c>
      <c r="N624" s="21">
        <v>2.1803794037940376</v>
      </c>
      <c r="O624" s="21">
        <v>2.4440831074977418</v>
      </c>
      <c r="P624" s="21" t="s">
        <v>547</v>
      </c>
      <c r="Q624" s="21">
        <v>2.1803794037940376</v>
      </c>
      <c r="S624" t="s">
        <v>547</v>
      </c>
    </row>
    <row r="625" spans="1:19" x14ac:dyDescent="0.2">
      <c r="A625">
        <v>632</v>
      </c>
      <c r="B625" t="s">
        <v>223</v>
      </c>
      <c r="C625" t="s">
        <v>372</v>
      </c>
      <c r="D625" t="s">
        <v>1</v>
      </c>
      <c r="E625" t="s">
        <v>9</v>
      </c>
      <c r="F625" t="s">
        <v>10</v>
      </c>
      <c r="G625">
        <v>33</v>
      </c>
      <c r="H625">
        <v>30</v>
      </c>
      <c r="I625">
        <v>5.0599999999999996</v>
      </c>
      <c r="J625">
        <v>4.74</v>
      </c>
      <c r="K625">
        <v>1.24</v>
      </c>
      <c r="L625">
        <v>0.91400000000000003</v>
      </c>
      <c r="M625">
        <v>0.14799999999999999</v>
      </c>
      <c r="N625" s="21">
        <v>3.8820430107526889</v>
      </c>
      <c r="O625" s="21">
        <v>2.762747909199522</v>
      </c>
      <c r="P625" s="21">
        <v>3.8820430107526889</v>
      </c>
      <c r="Q625" s="21" t="s">
        <v>547</v>
      </c>
      <c r="R625" t="s">
        <v>54</v>
      </c>
      <c r="S625" t="s">
        <v>547</v>
      </c>
    </row>
    <row r="626" spans="1:19" x14ac:dyDescent="0.2">
      <c r="A626">
        <v>633</v>
      </c>
      <c r="B626" t="s">
        <v>223</v>
      </c>
      <c r="C626" t="s">
        <v>372</v>
      </c>
      <c r="D626" t="s">
        <v>1</v>
      </c>
      <c r="E626" t="s">
        <v>9</v>
      </c>
      <c r="F626" t="s">
        <v>11</v>
      </c>
      <c r="G626">
        <v>30</v>
      </c>
      <c r="H626">
        <v>31</v>
      </c>
      <c r="I626">
        <v>7.74</v>
      </c>
      <c r="J626">
        <v>6.64</v>
      </c>
      <c r="K626">
        <v>1.24</v>
      </c>
      <c r="L626">
        <v>0.91400000000000003</v>
      </c>
      <c r="M626">
        <v>0.14799999999999999</v>
      </c>
      <c r="N626" s="21">
        <v>5.4381362007168468</v>
      </c>
      <c r="O626" s="21">
        <v>4.2260215053763446</v>
      </c>
      <c r="P626" s="21">
        <v>5.4381362007168468</v>
      </c>
      <c r="Q626" s="21" t="s">
        <v>547</v>
      </c>
      <c r="S626" t="s">
        <v>547</v>
      </c>
    </row>
    <row r="627" spans="1:19" x14ac:dyDescent="0.2">
      <c r="A627">
        <v>634</v>
      </c>
      <c r="B627" t="s">
        <v>223</v>
      </c>
      <c r="C627" t="s">
        <v>372</v>
      </c>
      <c r="D627" t="s">
        <v>1</v>
      </c>
      <c r="E627" t="s">
        <v>9</v>
      </c>
      <c r="F627" t="s">
        <v>12</v>
      </c>
      <c r="G627">
        <v>29</v>
      </c>
      <c r="H627">
        <v>32</v>
      </c>
      <c r="I627">
        <v>6.14</v>
      </c>
      <c r="J627">
        <v>5.86</v>
      </c>
      <c r="K627">
        <v>1.1200000000000001</v>
      </c>
      <c r="L627">
        <v>0.81</v>
      </c>
      <c r="M627">
        <v>0.13900000000000001</v>
      </c>
      <c r="N627" s="21">
        <v>4.7089285714285714</v>
      </c>
      <c r="O627" s="21">
        <v>3.2892857142857141</v>
      </c>
      <c r="P627" s="21" t="s">
        <v>547</v>
      </c>
      <c r="Q627" s="21">
        <v>4.7089285714285714</v>
      </c>
      <c r="S627" t="s">
        <v>547</v>
      </c>
    </row>
    <row r="628" spans="1:19" x14ac:dyDescent="0.2">
      <c r="A628">
        <v>635</v>
      </c>
      <c r="B628" t="s">
        <v>223</v>
      </c>
      <c r="C628" t="s">
        <v>372</v>
      </c>
      <c r="D628" t="s">
        <v>1</v>
      </c>
      <c r="E628" t="s">
        <v>9</v>
      </c>
      <c r="F628" t="s">
        <v>14</v>
      </c>
      <c r="G628">
        <v>27</v>
      </c>
      <c r="H628">
        <v>25</v>
      </c>
      <c r="I628">
        <v>4.18</v>
      </c>
      <c r="J628">
        <v>3.88</v>
      </c>
      <c r="K628">
        <v>1.1200000000000001</v>
      </c>
      <c r="L628">
        <v>0.81</v>
      </c>
      <c r="M628">
        <v>0.13900000000000001</v>
      </c>
      <c r="N628" s="21">
        <v>3.1178571428571429</v>
      </c>
      <c r="O628" s="21">
        <v>2.2392857142857143</v>
      </c>
      <c r="P628" s="21" t="s">
        <v>547</v>
      </c>
      <c r="Q628" s="21">
        <v>3.1178571428571429</v>
      </c>
      <c r="S628" t="s">
        <v>547</v>
      </c>
    </row>
    <row r="629" spans="1:19" x14ac:dyDescent="0.2">
      <c r="A629">
        <v>636</v>
      </c>
      <c r="B629" t="s">
        <v>224</v>
      </c>
      <c r="C629" t="s">
        <v>224</v>
      </c>
      <c r="D629" t="s">
        <v>1</v>
      </c>
      <c r="E629" t="s">
        <v>9</v>
      </c>
      <c r="F629" t="s">
        <v>10</v>
      </c>
      <c r="G629">
        <v>32</v>
      </c>
      <c r="H629">
        <v>36</v>
      </c>
      <c r="I629">
        <v>8.2799999999999994</v>
      </c>
      <c r="J629">
        <v>6.62</v>
      </c>
      <c r="K629">
        <v>1.34</v>
      </c>
      <c r="L629">
        <v>0.78500000000000003</v>
      </c>
      <c r="N629" s="21">
        <v>4.3090381426202322</v>
      </c>
      <c r="O629" s="21">
        <v>3.5930348258706459</v>
      </c>
      <c r="P629" s="21">
        <v>4.3090381426202322</v>
      </c>
      <c r="Q629" s="21" t="s">
        <v>547</v>
      </c>
      <c r="S629" t="s">
        <v>547</v>
      </c>
    </row>
    <row r="630" spans="1:19" x14ac:dyDescent="0.2">
      <c r="A630">
        <v>637</v>
      </c>
      <c r="B630" t="s">
        <v>224</v>
      </c>
      <c r="C630" t="s">
        <v>224</v>
      </c>
      <c r="D630" t="s">
        <v>1</v>
      </c>
      <c r="E630" t="s">
        <v>9</v>
      </c>
      <c r="F630" t="s">
        <v>11</v>
      </c>
      <c r="G630">
        <v>34</v>
      </c>
      <c r="H630">
        <v>37</v>
      </c>
      <c r="I630">
        <v>12.35</v>
      </c>
      <c r="J630">
        <v>8.65</v>
      </c>
      <c r="K630">
        <v>1.34</v>
      </c>
      <c r="L630">
        <v>0.78500000000000003</v>
      </c>
      <c r="N630" s="21">
        <v>5.6303897180762856</v>
      </c>
      <c r="O630" s="21">
        <v>5.3591763405196229</v>
      </c>
      <c r="P630" s="21">
        <v>5.6303897180762856</v>
      </c>
      <c r="Q630" s="21" t="s">
        <v>547</v>
      </c>
      <c r="S630" t="s">
        <v>547</v>
      </c>
    </row>
    <row r="631" spans="1:19" x14ac:dyDescent="0.2">
      <c r="A631">
        <v>638</v>
      </c>
      <c r="B631" t="s">
        <v>224</v>
      </c>
      <c r="C631" t="s">
        <v>224</v>
      </c>
      <c r="D631" t="s">
        <v>1</v>
      </c>
      <c r="E631" t="s">
        <v>9</v>
      </c>
      <c r="F631" t="s">
        <v>12</v>
      </c>
      <c r="G631">
        <v>37</v>
      </c>
      <c r="H631">
        <v>39</v>
      </c>
      <c r="I631">
        <v>13.27</v>
      </c>
      <c r="J631">
        <v>8.2899999999999991</v>
      </c>
      <c r="K631">
        <v>0.93</v>
      </c>
      <c r="L631">
        <v>0.54500000000000004</v>
      </c>
      <c r="M631">
        <v>0.10100000000000001</v>
      </c>
      <c r="N631" s="21">
        <v>5.3979091995221022</v>
      </c>
      <c r="O631" s="21">
        <v>5.7603743528474718</v>
      </c>
      <c r="P631" s="21" t="s">
        <v>547</v>
      </c>
      <c r="Q631" s="21">
        <v>5.3979091995221022</v>
      </c>
      <c r="S631" t="s">
        <v>547</v>
      </c>
    </row>
    <row r="632" spans="1:19" x14ac:dyDescent="0.2">
      <c r="A632">
        <v>639</v>
      </c>
      <c r="B632" t="s">
        <v>224</v>
      </c>
      <c r="C632" t="s">
        <v>224</v>
      </c>
      <c r="D632" t="s">
        <v>1</v>
      </c>
      <c r="E632" t="s">
        <v>9</v>
      </c>
      <c r="F632" t="s">
        <v>14</v>
      </c>
      <c r="G632">
        <v>30</v>
      </c>
      <c r="H632">
        <v>32</v>
      </c>
      <c r="I632">
        <v>9.0299999999999994</v>
      </c>
      <c r="J632">
        <v>6.67</v>
      </c>
      <c r="K632">
        <v>0.93</v>
      </c>
      <c r="L632">
        <v>0.54500000000000004</v>
      </c>
      <c r="M632">
        <v>0.10100000000000001</v>
      </c>
      <c r="N632" s="21">
        <v>4.3430704898446839</v>
      </c>
      <c r="O632" s="21">
        <v>3.9198327359617684</v>
      </c>
      <c r="P632" s="21" t="s">
        <v>547</v>
      </c>
      <c r="Q632" s="21">
        <v>4.3430704898446839</v>
      </c>
      <c r="S632" t="s">
        <v>547</v>
      </c>
    </row>
    <row r="633" spans="1:19" x14ac:dyDescent="0.2">
      <c r="A633">
        <v>640</v>
      </c>
      <c r="B633" t="s">
        <v>225</v>
      </c>
      <c r="D633" t="s">
        <v>1</v>
      </c>
      <c r="E633" t="s">
        <v>9</v>
      </c>
      <c r="F633" t="s">
        <v>10</v>
      </c>
      <c r="G633">
        <v>30</v>
      </c>
      <c r="H633">
        <v>31</v>
      </c>
      <c r="I633">
        <v>5</v>
      </c>
      <c r="J633">
        <v>4.21</v>
      </c>
      <c r="K633">
        <v>1.2</v>
      </c>
      <c r="L633">
        <v>0.57699999999999996</v>
      </c>
      <c r="M633">
        <v>0.186</v>
      </c>
      <c r="N633" s="21">
        <v>2.2492314814814818</v>
      </c>
      <c r="O633" s="21">
        <v>1.7808641975308641</v>
      </c>
      <c r="P633" s="21">
        <v>2.2492314814814818</v>
      </c>
      <c r="Q633" s="21" t="s">
        <v>547</v>
      </c>
      <c r="S633" t="s">
        <v>547</v>
      </c>
    </row>
    <row r="634" spans="1:19" x14ac:dyDescent="0.2">
      <c r="A634">
        <v>641</v>
      </c>
      <c r="B634" t="s">
        <v>225</v>
      </c>
      <c r="D634" t="s">
        <v>1</v>
      </c>
      <c r="E634" t="s">
        <v>9</v>
      </c>
      <c r="F634" t="s">
        <v>11</v>
      </c>
      <c r="G634">
        <v>29</v>
      </c>
      <c r="H634">
        <v>31</v>
      </c>
      <c r="I634">
        <v>4.91</v>
      </c>
      <c r="J634">
        <v>5</v>
      </c>
      <c r="K634">
        <v>1.2</v>
      </c>
      <c r="L634">
        <v>0.57699999999999996</v>
      </c>
      <c r="M634">
        <v>0.186</v>
      </c>
      <c r="N634" s="21">
        <v>2.6712962962962967</v>
      </c>
      <c r="O634" s="21">
        <v>1.7488086419753088</v>
      </c>
      <c r="P634" s="21">
        <v>2.6712962962962967</v>
      </c>
      <c r="Q634" s="21" t="s">
        <v>547</v>
      </c>
      <c r="S634" t="s">
        <v>547</v>
      </c>
    </row>
    <row r="635" spans="1:19" x14ac:dyDescent="0.2">
      <c r="A635">
        <v>642</v>
      </c>
      <c r="B635" t="s">
        <v>225</v>
      </c>
      <c r="D635" t="s">
        <v>1</v>
      </c>
      <c r="E635" t="s">
        <v>9</v>
      </c>
      <c r="F635" t="s">
        <v>12</v>
      </c>
      <c r="G635">
        <v>21</v>
      </c>
      <c r="H635">
        <v>20</v>
      </c>
      <c r="I635">
        <v>2.9</v>
      </c>
      <c r="J635">
        <v>3</v>
      </c>
      <c r="K635">
        <v>0.88</v>
      </c>
      <c r="L635">
        <v>0.46899999999999997</v>
      </c>
      <c r="M635">
        <v>0.153</v>
      </c>
      <c r="N635" s="21">
        <v>1.7765151515151516</v>
      </c>
      <c r="O635" s="21">
        <v>1.1448653198653198</v>
      </c>
      <c r="P635" s="21" t="s">
        <v>547</v>
      </c>
      <c r="Q635" s="21">
        <v>1.7765151515151516</v>
      </c>
      <c r="S635" t="s">
        <v>547</v>
      </c>
    </row>
    <row r="636" spans="1:19" x14ac:dyDescent="0.2">
      <c r="A636">
        <v>643</v>
      </c>
      <c r="B636" t="s">
        <v>225</v>
      </c>
      <c r="D636" t="s">
        <v>1</v>
      </c>
      <c r="E636" t="s">
        <v>9</v>
      </c>
      <c r="F636" t="s">
        <v>14</v>
      </c>
      <c r="G636">
        <v>19</v>
      </c>
      <c r="H636">
        <v>14</v>
      </c>
      <c r="I636">
        <v>3.1</v>
      </c>
      <c r="J636">
        <v>2.14</v>
      </c>
      <c r="K636">
        <v>0.88</v>
      </c>
      <c r="L636">
        <v>0.46899999999999997</v>
      </c>
      <c r="M636">
        <v>0.153</v>
      </c>
      <c r="N636" s="21">
        <v>1.2672474747474749</v>
      </c>
      <c r="O636" s="21">
        <v>1.2238215488215487</v>
      </c>
      <c r="P636" s="21" t="s">
        <v>547</v>
      </c>
      <c r="Q636" s="21">
        <v>1.2672474747474749</v>
      </c>
      <c r="S636" t="s">
        <v>547</v>
      </c>
    </row>
    <row r="637" spans="1:19" x14ac:dyDescent="0.2">
      <c r="A637">
        <v>644</v>
      </c>
      <c r="B637" t="s">
        <v>226</v>
      </c>
      <c r="C637" t="s">
        <v>373</v>
      </c>
      <c r="D637" t="s">
        <v>1</v>
      </c>
      <c r="E637" t="s">
        <v>9</v>
      </c>
      <c r="F637" t="s">
        <v>10</v>
      </c>
      <c r="G637">
        <v>25</v>
      </c>
      <c r="H637">
        <v>27</v>
      </c>
      <c r="I637">
        <v>5.31</v>
      </c>
      <c r="J637">
        <v>5.31</v>
      </c>
      <c r="K637">
        <v>0.95</v>
      </c>
      <c r="L637">
        <v>0.67300000000000004</v>
      </c>
      <c r="M637">
        <v>0.159</v>
      </c>
      <c r="N637" s="21">
        <v>4.1796842105263163</v>
      </c>
      <c r="O637" s="21">
        <v>2.7864561403508774</v>
      </c>
      <c r="P637" s="21">
        <v>4.1796842105263163</v>
      </c>
      <c r="Q637" s="21" t="s">
        <v>547</v>
      </c>
      <c r="S637" t="s">
        <v>547</v>
      </c>
    </row>
    <row r="638" spans="1:19" x14ac:dyDescent="0.2">
      <c r="A638">
        <v>645</v>
      </c>
      <c r="B638" t="s">
        <v>226</v>
      </c>
      <c r="C638" t="s">
        <v>373</v>
      </c>
      <c r="D638" t="s">
        <v>1</v>
      </c>
      <c r="E638" t="s">
        <v>9</v>
      </c>
      <c r="F638" t="s">
        <v>11</v>
      </c>
      <c r="G638">
        <v>35</v>
      </c>
      <c r="H638">
        <v>41</v>
      </c>
      <c r="I638">
        <v>7.73</v>
      </c>
      <c r="J638">
        <v>7.73</v>
      </c>
      <c r="K638">
        <v>0.95</v>
      </c>
      <c r="L638">
        <v>0.67300000000000004</v>
      </c>
      <c r="M638">
        <v>0.159</v>
      </c>
      <c r="N638" s="21">
        <v>6.0845497076023403</v>
      </c>
      <c r="O638" s="21">
        <v>4.0563664717348944</v>
      </c>
      <c r="P638" s="21">
        <v>6.0845497076023403</v>
      </c>
      <c r="Q638" s="21" t="s">
        <v>547</v>
      </c>
      <c r="S638" t="s">
        <v>547</v>
      </c>
    </row>
    <row r="639" spans="1:19" x14ac:dyDescent="0.2">
      <c r="A639">
        <v>646</v>
      </c>
      <c r="B639" t="s">
        <v>226</v>
      </c>
      <c r="C639" t="s">
        <v>373</v>
      </c>
      <c r="D639" t="s">
        <v>1</v>
      </c>
      <c r="E639" t="s">
        <v>9</v>
      </c>
      <c r="F639" t="s">
        <v>12</v>
      </c>
      <c r="G639">
        <v>24</v>
      </c>
      <c r="H639">
        <v>29</v>
      </c>
      <c r="I639">
        <v>4.38</v>
      </c>
      <c r="J639">
        <v>5.14</v>
      </c>
      <c r="K639">
        <v>1.01</v>
      </c>
      <c r="L639">
        <v>0.51200000000000001</v>
      </c>
      <c r="M639">
        <v>0.14599999999999999</v>
      </c>
      <c r="N639" s="21">
        <v>2.8951375137513748</v>
      </c>
      <c r="O639" s="21">
        <v>1.6447084708470847</v>
      </c>
      <c r="P639" s="21" t="s">
        <v>547</v>
      </c>
      <c r="Q639" s="21">
        <v>2.8951375137513748</v>
      </c>
      <c r="S639" t="s">
        <v>547</v>
      </c>
    </row>
    <row r="640" spans="1:19" x14ac:dyDescent="0.2">
      <c r="A640">
        <v>647</v>
      </c>
      <c r="B640" t="s">
        <v>226</v>
      </c>
      <c r="C640" t="s">
        <v>373</v>
      </c>
      <c r="D640" t="s">
        <v>1</v>
      </c>
      <c r="E640" t="s">
        <v>9</v>
      </c>
      <c r="F640" t="s">
        <v>14</v>
      </c>
      <c r="G640">
        <v>35</v>
      </c>
      <c r="H640">
        <v>40</v>
      </c>
      <c r="I640">
        <v>7.81</v>
      </c>
      <c r="J640">
        <v>7.5</v>
      </c>
      <c r="K640">
        <v>1.01</v>
      </c>
      <c r="L640">
        <v>0.51200000000000001</v>
      </c>
      <c r="M640">
        <v>0.14599999999999999</v>
      </c>
      <c r="N640" s="21">
        <v>4.224422442244224</v>
      </c>
      <c r="O640" s="21">
        <v>2.9326879354602124</v>
      </c>
      <c r="P640" s="21" t="s">
        <v>547</v>
      </c>
      <c r="Q640" s="21">
        <v>4.224422442244224</v>
      </c>
      <c r="S640" t="s">
        <v>547</v>
      </c>
    </row>
    <row r="641" spans="1:19" x14ac:dyDescent="0.2">
      <c r="A641">
        <v>648</v>
      </c>
      <c r="B641" t="s">
        <v>227</v>
      </c>
      <c r="C641" t="s">
        <v>227</v>
      </c>
      <c r="D641" t="s">
        <v>1</v>
      </c>
      <c r="E641" t="s">
        <v>9</v>
      </c>
      <c r="F641" t="s">
        <v>10</v>
      </c>
      <c r="G641">
        <v>39</v>
      </c>
      <c r="H641">
        <v>42</v>
      </c>
      <c r="I641">
        <v>5.64</v>
      </c>
      <c r="J641">
        <v>6.26</v>
      </c>
      <c r="K641">
        <v>1.08</v>
      </c>
      <c r="L641">
        <v>0.79600000000000004</v>
      </c>
      <c r="M641">
        <v>0.17100000000000001</v>
      </c>
      <c r="N641" s="21">
        <v>5.1265020576131688</v>
      </c>
      <c r="O641" s="21">
        <v>3.0791769547325103</v>
      </c>
      <c r="P641" s="21">
        <v>5.1265020576131688</v>
      </c>
      <c r="Q641" s="21" t="s">
        <v>547</v>
      </c>
      <c r="S641" t="s">
        <v>547</v>
      </c>
    </row>
    <row r="642" spans="1:19" x14ac:dyDescent="0.2">
      <c r="A642">
        <v>649</v>
      </c>
      <c r="B642" t="s">
        <v>227</v>
      </c>
      <c r="C642" t="s">
        <v>227</v>
      </c>
      <c r="D642" t="s">
        <v>1</v>
      </c>
      <c r="E642" t="s">
        <v>9</v>
      </c>
      <c r="F642" t="s">
        <v>11</v>
      </c>
      <c r="G642">
        <v>38</v>
      </c>
      <c r="H642">
        <v>40</v>
      </c>
      <c r="I642">
        <v>5.16</v>
      </c>
      <c r="J642">
        <v>6.76</v>
      </c>
      <c r="K642">
        <v>1.08</v>
      </c>
      <c r="L642">
        <v>0.79600000000000004</v>
      </c>
      <c r="M642">
        <v>0.17100000000000001</v>
      </c>
      <c r="N642" s="21">
        <v>5.5359670781893007</v>
      </c>
      <c r="O642" s="21">
        <v>2.8171193415637865</v>
      </c>
      <c r="P642" s="21">
        <v>5.5359670781893007</v>
      </c>
      <c r="Q642" s="21" t="s">
        <v>547</v>
      </c>
      <c r="S642" t="s">
        <v>547</v>
      </c>
    </row>
    <row r="643" spans="1:19" x14ac:dyDescent="0.2">
      <c r="A643">
        <v>650</v>
      </c>
      <c r="B643" t="s">
        <v>227</v>
      </c>
      <c r="C643" t="s">
        <v>227</v>
      </c>
      <c r="D643" t="s">
        <v>1</v>
      </c>
      <c r="E643" t="s">
        <v>9</v>
      </c>
      <c r="F643" t="s">
        <v>12</v>
      </c>
      <c r="G643">
        <v>30</v>
      </c>
      <c r="H643">
        <v>28</v>
      </c>
      <c r="I643">
        <v>4.91</v>
      </c>
      <c r="J643">
        <v>3.99</v>
      </c>
      <c r="K643">
        <v>0.68</v>
      </c>
      <c r="L643">
        <v>0.58799999999999997</v>
      </c>
      <c r="M643">
        <v>0.115</v>
      </c>
      <c r="N643" s="21">
        <v>3.8335294117647063</v>
      </c>
      <c r="O643" s="21">
        <v>3.1449673202614377</v>
      </c>
      <c r="P643" s="21" t="s">
        <v>547</v>
      </c>
      <c r="Q643" s="21">
        <v>3.8335294117647063</v>
      </c>
      <c r="S643" t="s">
        <v>547</v>
      </c>
    </row>
    <row r="644" spans="1:19" x14ac:dyDescent="0.2">
      <c r="A644">
        <v>651</v>
      </c>
      <c r="B644" t="s">
        <v>227</v>
      </c>
      <c r="C644" t="s">
        <v>227</v>
      </c>
      <c r="D644" t="s">
        <v>1</v>
      </c>
      <c r="E644" t="s">
        <v>9</v>
      </c>
      <c r="F644" t="s">
        <v>14</v>
      </c>
      <c r="G644">
        <v>38</v>
      </c>
      <c r="H644">
        <v>40</v>
      </c>
      <c r="I644">
        <v>6.02</v>
      </c>
      <c r="J644">
        <v>4.82</v>
      </c>
      <c r="K644">
        <v>0.68</v>
      </c>
      <c r="L644">
        <v>0.58799999999999997</v>
      </c>
      <c r="M644">
        <v>0.115</v>
      </c>
      <c r="N644" s="21">
        <v>4.6309803921568626</v>
      </c>
      <c r="O644" s="21">
        <v>3.8559477124183004</v>
      </c>
      <c r="P644" s="21" t="s">
        <v>547</v>
      </c>
      <c r="Q644" s="21">
        <v>4.6309803921568626</v>
      </c>
      <c r="S644" t="s">
        <v>547</v>
      </c>
    </row>
    <row r="645" spans="1:19" x14ac:dyDescent="0.2">
      <c r="A645">
        <v>652</v>
      </c>
      <c r="B645" t="s">
        <v>228</v>
      </c>
      <c r="D645" t="s">
        <v>1</v>
      </c>
      <c r="E645" t="s">
        <v>9</v>
      </c>
      <c r="F645" t="s">
        <v>10</v>
      </c>
      <c r="G645">
        <v>29</v>
      </c>
      <c r="H645">
        <v>34</v>
      </c>
      <c r="I645">
        <v>7.11</v>
      </c>
      <c r="J645">
        <v>6.31</v>
      </c>
      <c r="K645">
        <v>0.94</v>
      </c>
      <c r="L645">
        <v>0.72</v>
      </c>
      <c r="M645">
        <v>0.152</v>
      </c>
      <c r="N645" s="21">
        <v>5.3702127659574463</v>
      </c>
      <c r="O645" s="21">
        <v>4.0340425531914894</v>
      </c>
      <c r="P645" s="21">
        <v>5.3702127659574463</v>
      </c>
      <c r="Q645" s="21" t="s">
        <v>547</v>
      </c>
      <c r="S645" t="s">
        <v>547</v>
      </c>
    </row>
    <row r="646" spans="1:19" x14ac:dyDescent="0.2">
      <c r="A646">
        <v>653</v>
      </c>
      <c r="B646" t="s">
        <v>228</v>
      </c>
      <c r="D646" t="s">
        <v>1</v>
      </c>
      <c r="E646" t="s">
        <v>9</v>
      </c>
      <c r="F646" t="s">
        <v>11</v>
      </c>
      <c r="G646">
        <v>29</v>
      </c>
      <c r="H646">
        <v>41</v>
      </c>
      <c r="I646">
        <v>6.91</v>
      </c>
      <c r="J646">
        <v>5.81</v>
      </c>
      <c r="K646">
        <v>0.94</v>
      </c>
      <c r="L646">
        <v>0.72</v>
      </c>
      <c r="M646">
        <v>0.152</v>
      </c>
      <c r="N646" s="21">
        <v>4.9446808510638292</v>
      </c>
      <c r="O646" s="21">
        <v>3.9205673758865247</v>
      </c>
      <c r="P646" s="21">
        <v>4.9446808510638292</v>
      </c>
      <c r="Q646" s="21" t="s">
        <v>547</v>
      </c>
      <c r="S646" t="s">
        <v>547</v>
      </c>
    </row>
    <row r="647" spans="1:19" x14ac:dyDescent="0.2">
      <c r="A647">
        <v>654</v>
      </c>
      <c r="B647" t="s">
        <v>228</v>
      </c>
      <c r="D647" t="s">
        <v>1</v>
      </c>
      <c r="E647" t="s">
        <v>9</v>
      </c>
      <c r="F647" t="s">
        <v>12</v>
      </c>
      <c r="G647">
        <v>27</v>
      </c>
      <c r="H647">
        <v>30</v>
      </c>
      <c r="I647">
        <v>5.1100000000000003</v>
      </c>
      <c r="J647">
        <v>4.0199999999999996</v>
      </c>
      <c r="K647">
        <v>0.64</v>
      </c>
      <c r="L647">
        <v>0.49099999999999999</v>
      </c>
      <c r="M647">
        <v>0.109</v>
      </c>
      <c r="N647" s="21">
        <v>3.4267708333333329</v>
      </c>
      <c r="O647" s="21">
        <v>2.9039467592592594</v>
      </c>
      <c r="P647" s="21" t="s">
        <v>547</v>
      </c>
      <c r="Q647" s="21">
        <v>3.4267708333333329</v>
      </c>
      <c r="S647" t="s">
        <v>547</v>
      </c>
    </row>
    <row r="648" spans="1:19" x14ac:dyDescent="0.2">
      <c r="A648">
        <v>655</v>
      </c>
      <c r="B648" t="s">
        <v>228</v>
      </c>
      <c r="D648" t="s">
        <v>1</v>
      </c>
      <c r="E648" t="s">
        <v>9</v>
      </c>
      <c r="F648" t="s">
        <v>14</v>
      </c>
      <c r="G648">
        <v>28</v>
      </c>
      <c r="H648">
        <v>32</v>
      </c>
      <c r="I648">
        <v>5.21</v>
      </c>
      <c r="J648">
        <v>4</v>
      </c>
      <c r="K648">
        <v>0.64</v>
      </c>
      <c r="L648">
        <v>0.49099999999999999</v>
      </c>
      <c r="M648">
        <v>0.109</v>
      </c>
      <c r="N648" s="21">
        <v>3.4097222222222223</v>
      </c>
      <c r="O648" s="21">
        <v>2.9607754629629635</v>
      </c>
      <c r="P648" s="21" t="s">
        <v>547</v>
      </c>
      <c r="Q648" s="21">
        <v>3.4097222222222223</v>
      </c>
      <c r="S648" t="s">
        <v>547</v>
      </c>
    </row>
    <row r="649" spans="1:19" x14ac:dyDescent="0.2">
      <c r="A649">
        <v>656</v>
      </c>
      <c r="B649" t="s">
        <v>229</v>
      </c>
      <c r="C649" t="s">
        <v>229</v>
      </c>
      <c r="D649" t="s">
        <v>1</v>
      </c>
      <c r="E649" t="s">
        <v>9</v>
      </c>
      <c r="F649" t="s">
        <v>10</v>
      </c>
      <c r="G649">
        <v>27</v>
      </c>
      <c r="H649">
        <v>38</v>
      </c>
      <c r="I649">
        <v>9</v>
      </c>
      <c r="J649">
        <v>8.5</v>
      </c>
      <c r="K649">
        <v>1.34</v>
      </c>
      <c r="L649">
        <v>0.83299999999999996</v>
      </c>
      <c r="M649">
        <v>0.18</v>
      </c>
      <c r="N649" s="21">
        <v>5.8710613598673298</v>
      </c>
      <c r="O649" s="21">
        <v>4.144278606965174</v>
      </c>
      <c r="P649" s="21">
        <v>5.8710613598673298</v>
      </c>
      <c r="Q649" s="21" t="s">
        <v>547</v>
      </c>
      <c r="S649" t="s">
        <v>547</v>
      </c>
    </row>
    <row r="650" spans="1:19" x14ac:dyDescent="0.2">
      <c r="A650">
        <v>657</v>
      </c>
      <c r="B650" t="s">
        <v>229</v>
      </c>
      <c r="C650" t="s">
        <v>229</v>
      </c>
      <c r="D650" t="s">
        <v>1</v>
      </c>
      <c r="E650" t="s">
        <v>9</v>
      </c>
      <c r="F650" t="s">
        <v>11</v>
      </c>
      <c r="G650">
        <v>23</v>
      </c>
      <c r="H650">
        <v>32</v>
      </c>
      <c r="I650">
        <v>20</v>
      </c>
      <c r="J650">
        <v>7.44</v>
      </c>
      <c r="K650">
        <v>1.34</v>
      </c>
      <c r="L650">
        <v>0.83299999999999996</v>
      </c>
      <c r="M650">
        <v>0.18</v>
      </c>
      <c r="N650" s="21">
        <v>5.1389054726368153</v>
      </c>
      <c r="O650" s="21">
        <v>9.2095080154781623</v>
      </c>
      <c r="P650" s="21">
        <v>5.1389054726368153</v>
      </c>
      <c r="Q650" s="21" t="s">
        <v>547</v>
      </c>
      <c r="S650" t="s">
        <v>547</v>
      </c>
    </row>
    <row r="651" spans="1:19" x14ac:dyDescent="0.2">
      <c r="A651">
        <v>658</v>
      </c>
      <c r="B651" t="s">
        <v>229</v>
      </c>
      <c r="C651" t="s">
        <v>229</v>
      </c>
      <c r="D651" t="s">
        <v>1</v>
      </c>
      <c r="E651" t="s">
        <v>9</v>
      </c>
      <c r="F651" t="s">
        <v>12</v>
      </c>
      <c r="G651">
        <v>27</v>
      </c>
      <c r="H651">
        <v>31</v>
      </c>
      <c r="I651">
        <v>16</v>
      </c>
      <c r="J651">
        <v>13.8</v>
      </c>
      <c r="K651">
        <v>0.78</v>
      </c>
      <c r="L651">
        <v>0.50600000000000001</v>
      </c>
      <c r="M651">
        <v>8.5000000000000006E-2</v>
      </c>
      <c r="N651" s="21">
        <v>9.947008547008549</v>
      </c>
      <c r="O651" s="21">
        <v>7.6885090218423562</v>
      </c>
      <c r="P651" s="21" t="s">
        <v>547</v>
      </c>
      <c r="Q651" s="21">
        <v>9.947008547008549</v>
      </c>
      <c r="S651" t="s">
        <v>547</v>
      </c>
    </row>
    <row r="652" spans="1:19" x14ac:dyDescent="0.2">
      <c r="A652">
        <v>659</v>
      </c>
      <c r="B652" t="s">
        <v>229</v>
      </c>
      <c r="C652" t="s">
        <v>229</v>
      </c>
      <c r="D652" t="s">
        <v>1</v>
      </c>
      <c r="E652" t="s">
        <v>9</v>
      </c>
      <c r="F652" t="s">
        <v>14</v>
      </c>
      <c r="G652">
        <v>20</v>
      </c>
      <c r="H652">
        <v>21</v>
      </c>
      <c r="I652">
        <v>5.14</v>
      </c>
      <c r="J652">
        <v>4.62</v>
      </c>
      <c r="K652">
        <v>0.78</v>
      </c>
      <c r="L652">
        <v>0.50600000000000001</v>
      </c>
      <c r="M652">
        <v>8.5000000000000006E-2</v>
      </c>
      <c r="N652" s="21">
        <v>3.3300854700854705</v>
      </c>
      <c r="O652" s="21">
        <v>2.4699335232668567</v>
      </c>
      <c r="P652" s="21" t="s">
        <v>547</v>
      </c>
      <c r="Q652" s="21">
        <v>3.3300854700854705</v>
      </c>
      <c r="S652" t="s">
        <v>547</v>
      </c>
    </row>
    <row r="653" spans="1:19" x14ac:dyDescent="0.2">
      <c r="A653">
        <v>664</v>
      </c>
      <c r="B653" t="s">
        <v>230</v>
      </c>
      <c r="C653" t="s">
        <v>374</v>
      </c>
      <c r="D653" t="s">
        <v>1</v>
      </c>
      <c r="E653" t="s">
        <v>9</v>
      </c>
      <c r="F653" t="s">
        <v>10</v>
      </c>
      <c r="G653">
        <v>28</v>
      </c>
      <c r="H653">
        <v>28</v>
      </c>
      <c r="I653">
        <v>5.32</v>
      </c>
      <c r="J653">
        <v>5.36</v>
      </c>
      <c r="K653">
        <v>1.24</v>
      </c>
      <c r="L653">
        <v>0.95399999999999996</v>
      </c>
      <c r="M653">
        <v>0.17</v>
      </c>
      <c r="N653" s="21">
        <v>4.5819354838709678</v>
      </c>
      <c r="O653" s="21">
        <v>3.0318279569892481</v>
      </c>
      <c r="P653" s="21">
        <v>4.5819354838709678</v>
      </c>
      <c r="Q653" s="21" t="s">
        <v>547</v>
      </c>
      <c r="S653" t="s">
        <v>547</v>
      </c>
    </row>
    <row r="654" spans="1:19" x14ac:dyDescent="0.2">
      <c r="A654">
        <v>665</v>
      </c>
      <c r="B654" t="s">
        <v>230</v>
      </c>
      <c r="C654" t="s">
        <v>374</v>
      </c>
      <c r="D654" t="s">
        <v>1</v>
      </c>
      <c r="E654" t="s">
        <v>9</v>
      </c>
      <c r="F654" t="s">
        <v>11</v>
      </c>
      <c r="G654">
        <v>25</v>
      </c>
      <c r="H654">
        <v>23</v>
      </c>
      <c r="I654">
        <v>3.3</v>
      </c>
      <c r="J654">
        <v>4.28</v>
      </c>
      <c r="K654">
        <v>1.24</v>
      </c>
      <c r="L654">
        <v>0.95399999999999996</v>
      </c>
      <c r="M654">
        <v>0.17</v>
      </c>
      <c r="N654" s="21">
        <v>3.6587096774193548</v>
      </c>
      <c r="O654" s="21">
        <v>1.8806451612903228</v>
      </c>
      <c r="P654" s="21">
        <v>3.6587096774193548</v>
      </c>
      <c r="Q654" s="21" t="s">
        <v>547</v>
      </c>
      <c r="S654" t="s">
        <v>547</v>
      </c>
    </row>
    <row r="655" spans="1:19" x14ac:dyDescent="0.2">
      <c r="A655">
        <v>666</v>
      </c>
      <c r="B655" t="s">
        <v>230</v>
      </c>
      <c r="C655" t="s">
        <v>374</v>
      </c>
      <c r="D655" t="s">
        <v>1</v>
      </c>
      <c r="E655" t="s">
        <v>9</v>
      </c>
      <c r="F655" t="s">
        <v>12</v>
      </c>
      <c r="G655">
        <v>23</v>
      </c>
      <c r="H655">
        <v>30</v>
      </c>
      <c r="I655">
        <v>3.72</v>
      </c>
      <c r="J655">
        <v>4.12</v>
      </c>
      <c r="K655">
        <v>0.46</v>
      </c>
      <c r="L655">
        <v>0.45200000000000001</v>
      </c>
      <c r="M655">
        <v>8.6999999999999994E-2</v>
      </c>
      <c r="N655" s="21">
        <v>4.4981642512077302</v>
      </c>
      <c r="O655" s="21">
        <v>2.7076328502415459</v>
      </c>
      <c r="P655" s="21" t="s">
        <v>547</v>
      </c>
      <c r="Q655" s="21">
        <v>4.4981642512077302</v>
      </c>
      <c r="S655" t="s">
        <v>547</v>
      </c>
    </row>
    <row r="656" spans="1:19" x14ac:dyDescent="0.2">
      <c r="A656">
        <v>667</v>
      </c>
      <c r="B656" t="s">
        <v>230</v>
      </c>
      <c r="C656" t="s">
        <v>374</v>
      </c>
      <c r="D656" t="s">
        <v>1</v>
      </c>
      <c r="E656" t="s">
        <v>9</v>
      </c>
      <c r="F656" t="s">
        <v>14</v>
      </c>
      <c r="G656">
        <v>32</v>
      </c>
      <c r="H656">
        <v>34</v>
      </c>
      <c r="I656">
        <v>4.0999999999999996</v>
      </c>
      <c r="J656">
        <v>4.4800000000000004</v>
      </c>
      <c r="K656">
        <v>0.46</v>
      </c>
      <c r="L656">
        <v>0.45200000000000001</v>
      </c>
      <c r="M656">
        <v>8.6999999999999994E-2</v>
      </c>
      <c r="N656" s="21">
        <v>4.8912077294685998</v>
      </c>
      <c r="O656" s="21">
        <v>2.9842190016103056</v>
      </c>
      <c r="P656" s="21" t="s">
        <v>547</v>
      </c>
      <c r="Q656" s="21">
        <v>4.8912077294685998</v>
      </c>
      <c r="S656" t="s">
        <v>547</v>
      </c>
    </row>
    <row r="657" spans="1:19" x14ac:dyDescent="0.2">
      <c r="A657">
        <v>668</v>
      </c>
      <c r="B657" t="s">
        <v>231</v>
      </c>
      <c r="C657" t="s">
        <v>375</v>
      </c>
      <c r="D657" t="s">
        <v>1</v>
      </c>
      <c r="E657" t="s">
        <v>9</v>
      </c>
      <c r="F657" t="s">
        <v>10</v>
      </c>
      <c r="G657">
        <v>26</v>
      </c>
      <c r="H657">
        <v>26</v>
      </c>
      <c r="I657">
        <v>12.06</v>
      </c>
      <c r="J657">
        <v>5.56</v>
      </c>
      <c r="K657">
        <v>1.46</v>
      </c>
      <c r="L657">
        <v>0.80400000000000005</v>
      </c>
      <c r="M657">
        <v>0.19400000000000001</v>
      </c>
      <c r="N657" s="21">
        <v>3.4020091324200918</v>
      </c>
      <c r="O657" s="21">
        <v>4.9194520547945215</v>
      </c>
      <c r="P657" s="21">
        <v>3.4020091324200918</v>
      </c>
      <c r="Q657" s="21" t="s">
        <v>547</v>
      </c>
      <c r="S657" t="s">
        <v>547</v>
      </c>
    </row>
    <row r="658" spans="1:19" x14ac:dyDescent="0.2">
      <c r="A658">
        <v>669</v>
      </c>
      <c r="B658" t="s">
        <v>231</v>
      </c>
      <c r="C658" t="s">
        <v>375</v>
      </c>
      <c r="D658" t="s">
        <v>1</v>
      </c>
      <c r="E658" t="s">
        <v>9</v>
      </c>
      <c r="F658" t="s">
        <v>11</v>
      </c>
      <c r="G658">
        <v>24</v>
      </c>
      <c r="H658">
        <v>20</v>
      </c>
      <c r="I658">
        <v>10.08</v>
      </c>
      <c r="J658">
        <v>5.64</v>
      </c>
      <c r="K658">
        <v>1.46</v>
      </c>
      <c r="L658">
        <v>0.80400000000000005</v>
      </c>
      <c r="M658">
        <v>0.19400000000000001</v>
      </c>
      <c r="N658" s="21">
        <v>3.4509589041095894</v>
      </c>
      <c r="O658" s="21">
        <v>4.1117808219178089</v>
      </c>
      <c r="P658" s="21">
        <v>3.4509589041095894</v>
      </c>
      <c r="Q658" s="21" t="s">
        <v>547</v>
      </c>
      <c r="S658" t="s">
        <v>547</v>
      </c>
    </row>
    <row r="659" spans="1:19" x14ac:dyDescent="0.2">
      <c r="A659">
        <v>670</v>
      </c>
      <c r="B659" t="s">
        <v>231</v>
      </c>
      <c r="C659" t="s">
        <v>375</v>
      </c>
      <c r="D659" t="s">
        <v>1</v>
      </c>
      <c r="E659" t="s">
        <v>9</v>
      </c>
      <c r="F659" t="s">
        <v>12</v>
      </c>
      <c r="G659">
        <v>24</v>
      </c>
      <c r="H659">
        <v>21</v>
      </c>
      <c r="I659">
        <v>9.1999999999999993</v>
      </c>
      <c r="J659">
        <v>4.58</v>
      </c>
      <c r="K659">
        <v>0.82</v>
      </c>
      <c r="L659">
        <v>0.46300000000000002</v>
      </c>
      <c r="M659">
        <v>7.0000000000000007E-2</v>
      </c>
      <c r="N659" s="21">
        <v>2.8733604336043364</v>
      </c>
      <c r="O659" s="21">
        <v>3.8478771454381215</v>
      </c>
      <c r="P659" s="21" t="s">
        <v>547</v>
      </c>
      <c r="Q659" s="21">
        <v>2.8733604336043364</v>
      </c>
      <c r="S659" t="s">
        <v>547</v>
      </c>
    </row>
    <row r="660" spans="1:19" x14ac:dyDescent="0.2">
      <c r="A660">
        <v>671</v>
      </c>
      <c r="B660" t="s">
        <v>231</v>
      </c>
      <c r="C660" t="s">
        <v>375</v>
      </c>
      <c r="D660" t="s">
        <v>1</v>
      </c>
      <c r="E660" t="s">
        <v>9</v>
      </c>
      <c r="F660" t="s">
        <v>14</v>
      </c>
      <c r="G660">
        <v>14</v>
      </c>
      <c r="H660">
        <v>14</v>
      </c>
      <c r="I660">
        <v>3.8</v>
      </c>
      <c r="J660">
        <v>2.2599999999999998</v>
      </c>
      <c r="K660">
        <v>0.82</v>
      </c>
      <c r="L660">
        <v>0.46300000000000002</v>
      </c>
      <c r="M660">
        <v>7.0000000000000007E-2</v>
      </c>
      <c r="N660" s="21">
        <v>1.4178590785907859</v>
      </c>
      <c r="O660" s="21">
        <v>1.5893405600722674</v>
      </c>
      <c r="P660" s="21" t="s">
        <v>547</v>
      </c>
      <c r="Q660" s="21">
        <v>1.4178590785907859</v>
      </c>
      <c r="S660" t="s">
        <v>547</v>
      </c>
    </row>
    <row r="661" spans="1:19" x14ac:dyDescent="0.2">
      <c r="A661">
        <v>672</v>
      </c>
      <c r="B661" t="s">
        <v>232</v>
      </c>
      <c r="C661" t="s">
        <v>431</v>
      </c>
      <c r="D661" t="s">
        <v>1</v>
      </c>
      <c r="E661" t="s">
        <v>9</v>
      </c>
      <c r="F661" t="s">
        <v>10</v>
      </c>
      <c r="G661">
        <v>29</v>
      </c>
      <c r="H661">
        <v>29</v>
      </c>
      <c r="I661">
        <v>3.67</v>
      </c>
      <c r="J661">
        <v>3.63</v>
      </c>
      <c r="K661">
        <v>0.67</v>
      </c>
      <c r="L661">
        <v>0.45800000000000002</v>
      </c>
      <c r="M661">
        <v>0.109</v>
      </c>
      <c r="N661" s="21">
        <v>2.7571144278606963</v>
      </c>
      <c r="O661" s="21">
        <v>1.8583305693753454</v>
      </c>
      <c r="P661" s="21">
        <v>2.7571144278606963</v>
      </c>
      <c r="Q661" s="21" t="s">
        <v>547</v>
      </c>
      <c r="S661" t="s">
        <v>547</v>
      </c>
    </row>
    <row r="662" spans="1:19" x14ac:dyDescent="0.2">
      <c r="A662">
        <v>673</v>
      </c>
      <c r="B662" t="s">
        <v>232</v>
      </c>
      <c r="C662" t="s">
        <v>431</v>
      </c>
      <c r="D662" t="s">
        <v>1</v>
      </c>
      <c r="E662" t="s">
        <v>9</v>
      </c>
      <c r="F662" t="s">
        <v>11</v>
      </c>
      <c r="G662">
        <v>23</v>
      </c>
      <c r="H662">
        <v>24</v>
      </c>
      <c r="I662">
        <v>2.9</v>
      </c>
      <c r="J662">
        <v>2.82</v>
      </c>
      <c r="K662">
        <v>0.67</v>
      </c>
      <c r="L662">
        <v>0.45800000000000002</v>
      </c>
      <c r="M662">
        <v>0.109</v>
      </c>
      <c r="N662" s="21">
        <v>2.1418905472636816</v>
      </c>
      <c r="O662" s="21">
        <v>1.4684355997788832</v>
      </c>
      <c r="P662" s="21">
        <v>2.1418905472636816</v>
      </c>
      <c r="Q662" s="21" t="s">
        <v>547</v>
      </c>
      <c r="S662" t="s">
        <v>547</v>
      </c>
    </row>
    <row r="663" spans="1:19" x14ac:dyDescent="0.2">
      <c r="A663">
        <v>674</v>
      </c>
      <c r="B663" t="s">
        <v>232</v>
      </c>
      <c r="C663" t="s">
        <v>431</v>
      </c>
      <c r="D663" t="s">
        <v>1</v>
      </c>
      <c r="E663" t="s">
        <v>9</v>
      </c>
      <c r="F663" t="s">
        <v>12</v>
      </c>
      <c r="G663">
        <v>46</v>
      </c>
      <c r="H663">
        <v>42</v>
      </c>
      <c r="I663">
        <v>2.52</v>
      </c>
      <c r="J663">
        <v>4.5999999999999996</v>
      </c>
      <c r="K663">
        <v>0.62</v>
      </c>
      <c r="L663">
        <v>0.38800000000000001</v>
      </c>
      <c r="M663">
        <v>8.5999999999999993E-2</v>
      </c>
      <c r="N663" s="21">
        <v>3.1985663082437279</v>
      </c>
      <c r="O663" s="21">
        <v>1.1681720430107529</v>
      </c>
      <c r="P663" s="21" t="s">
        <v>547</v>
      </c>
      <c r="Q663" s="21">
        <v>3.1985663082437279</v>
      </c>
      <c r="S663" t="s">
        <v>547</v>
      </c>
    </row>
    <row r="664" spans="1:19" x14ac:dyDescent="0.2">
      <c r="A664">
        <v>675</v>
      </c>
      <c r="B664" t="s">
        <v>232</v>
      </c>
      <c r="C664" t="s">
        <v>431</v>
      </c>
      <c r="D664" t="s">
        <v>1</v>
      </c>
      <c r="E664" t="s">
        <v>9</v>
      </c>
      <c r="F664" t="s">
        <v>14</v>
      </c>
      <c r="G664">
        <v>39</v>
      </c>
      <c r="H664">
        <v>38</v>
      </c>
      <c r="I664">
        <v>3.44</v>
      </c>
      <c r="J664">
        <v>3.98</v>
      </c>
      <c r="K664">
        <v>0.62</v>
      </c>
      <c r="L664">
        <v>0.38800000000000001</v>
      </c>
      <c r="M664">
        <v>8.5999999999999993E-2</v>
      </c>
      <c r="N664" s="21">
        <v>2.7674551971326169</v>
      </c>
      <c r="O664" s="21">
        <v>1.5946475507765832</v>
      </c>
      <c r="P664" s="21" t="s">
        <v>547</v>
      </c>
      <c r="Q664" s="21">
        <v>2.7674551971326169</v>
      </c>
      <c r="S664" t="s">
        <v>547</v>
      </c>
    </row>
    <row r="665" spans="1:19" x14ac:dyDescent="0.2">
      <c r="A665">
        <v>676</v>
      </c>
      <c r="B665" t="s">
        <v>233</v>
      </c>
      <c r="C665" t="s">
        <v>432</v>
      </c>
      <c r="D665" t="s">
        <v>1</v>
      </c>
      <c r="E665" t="s">
        <v>9</v>
      </c>
      <c r="F665" t="s">
        <v>10</v>
      </c>
      <c r="G665">
        <v>37</v>
      </c>
      <c r="H665">
        <v>39</v>
      </c>
      <c r="I665">
        <v>7.3</v>
      </c>
      <c r="J665">
        <v>7.19</v>
      </c>
      <c r="K665">
        <v>1.37</v>
      </c>
      <c r="L665">
        <v>0.749</v>
      </c>
      <c r="N665" s="21">
        <v>4.3676480129764803</v>
      </c>
      <c r="O665" s="21">
        <v>2.9563125168964581</v>
      </c>
      <c r="P665" s="21">
        <v>4.3676480129764803</v>
      </c>
      <c r="Q665" s="21" t="s">
        <v>547</v>
      </c>
      <c r="S665" t="s">
        <v>547</v>
      </c>
    </row>
    <row r="666" spans="1:19" x14ac:dyDescent="0.2">
      <c r="A666">
        <v>677</v>
      </c>
      <c r="B666" t="s">
        <v>233</v>
      </c>
      <c r="C666" t="s">
        <v>432</v>
      </c>
      <c r="D666" t="s">
        <v>1</v>
      </c>
      <c r="E666" t="s">
        <v>9</v>
      </c>
      <c r="F666" t="s">
        <v>11</v>
      </c>
      <c r="G666">
        <v>39</v>
      </c>
      <c r="H666">
        <v>43</v>
      </c>
      <c r="I666">
        <v>15.26</v>
      </c>
      <c r="J666">
        <v>9.19</v>
      </c>
      <c r="K666">
        <v>1.37</v>
      </c>
      <c r="L666">
        <v>0.749</v>
      </c>
      <c r="N666" s="21">
        <v>5.5825709651257096</v>
      </c>
      <c r="O666" s="21">
        <v>6.1799080832657474</v>
      </c>
      <c r="P666" s="21">
        <v>5.5825709651257096</v>
      </c>
      <c r="Q666" s="21" t="s">
        <v>547</v>
      </c>
      <c r="S666" t="s">
        <v>547</v>
      </c>
    </row>
    <row r="667" spans="1:19" x14ac:dyDescent="0.2">
      <c r="A667">
        <v>678</v>
      </c>
      <c r="B667" t="s">
        <v>233</v>
      </c>
      <c r="C667" t="s">
        <v>432</v>
      </c>
      <c r="D667" t="s">
        <v>1</v>
      </c>
      <c r="E667" t="s">
        <v>9</v>
      </c>
      <c r="F667" t="s">
        <v>12</v>
      </c>
      <c r="G667">
        <v>31</v>
      </c>
      <c r="H667">
        <v>22</v>
      </c>
      <c r="I667">
        <v>4.47</v>
      </c>
      <c r="J667">
        <v>3.29</v>
      </c>
      <c r="K667">
        <v>0.68</v>
      </c>
      <c r="L667">
        <v>0.372</v>
      </c>
      <c r="M667">
        <v>8.6999999999999994E-2</v>
      </c>
      <c r="N667" s="21">
        <v>1.9998039215686274</v>
      </c>
      <c r="O667" s="21">
        <v>1.8113725490196075</v>
      </c>
      <c r="P667" s="21" t="s">
        <v>547</v>
      </c>
      <c r="Q667" s="21">
        <v>1.9998039215686274</v>
      </c>
      <c r="S667" t="s">
        <v>547</v>
      </c>
    </row>
    <row r="668" spans="1:19" x14ac:dyDescent="0.2">
      <c r="A668">
        <v>679</v>
      </c>
      <c r="B668" t="s">
        <v>233</v>
      </c>
      <c r="C668" t="s">
        <v>432</v>
      </c>
      <c r="D668" t="s">
        <v>1</v>
      </c>
      <c r="E668" t="s">
        <v>9</v>
      </c>
      <c r="F668" t="s">
        <v>14</v>
      </c>
      <c r="G668">
        <v>37</v>
      </c>
      <c r="H668">
        <v>38</v>
      </c>
      <c r="I668">
        <v>6.4</v>
      </c>
      <c r="J668">
        <v>6.99</v>
      </c>
      <c r="K668">
        <v>0.68</v>
      </c>
      <c r="L668">
        <v>0.372</v>
      </c>
      <c r="M668">
        <v>8.6999999999999994E-2</v>
      </c>
      <c r="N668" s="21">
        <v>4.2488235294117649</v>
      </c>
      <c r="O668" s="21">
        <v>2.5934640522875818</v>
      </c>
      <c r="P668" s="21" t="s">
        <v>547</v>
      </c>
      <c r="Q668" s="21">
        <v>4.2488235294117649</v>
      </c>
      <c r="S668" t="s">
        <v>547</v>
      </c>
    </row>
    <row r="669" spans="1:19" x14ac:dyDescent="0.2">
      <c r="A669">
        <v>680</v>
      </c>
      <c r="B669" t="s">
        <v>234</v>
      </c>
      <c r="C669" t="s">
        <v>426</v>
      </c>
      <c r="D669" t="s">
        <v>1</v>
      </c>
      <c r="E669" t="s">
        <v>9</v>
      </c>
      <c r="F669" t="s">
        <v>10</v>
      </c>
      <c r="G669">
        <v>37</v>
      </c>
      <c r="H669">
        <v>38</v>
      </c>
      <c r="I669">
        <v>10.26</v>
      </c>
      <c r="J669">
        <v>7.08</v>
      </c>
      <c r="K669">
        <v>1.46</v>
      </c>
      <c r="L669">
        <v>0.76</v>
      </c>
      <c r="M669">
        <v>0.17699999999999999</v>
      </c>
      <c r="N669" s="21">
        <v>4.0949771689497716</v>
      </c>
      <c r="O669" s="21">
        <v>3.9561643835616445</v>
      </c>
      <c r="P669" s="21">
        <v>4.0949771689497716</v>
      </c>
      <c r="Q669" s="21" t="s">
        <v>547</v>
      </c>
      <c r="S669" t="s">
        <v>547</v>
      </c>
    </row>
    <row r="670" spans="1:19" x14ac:dyDescent="0.2">
      <c r="A670">
        <v>681</v>
      </c>
      <c r="B670" t="s">
        <v>234</v>
      </c>
      <c r="C670" t="s">
        <v>426</v>
      </c>
      <c r="D670" t="s">
        <v>1</v>
      </c>
      <c r="E670" t="s">
        <v>9</v>
      </c>
      <c r="F670" t="s">
        <v>11</v>
      </c>
      <c r="G670">
        <v>32</v>
      </c>
      <c r="H670">
        <v>26</v>
      </c>
      <c r="I670">
        <v>7.56</v>
      </c>
      <c r="J670">
        <v>4.96</v>
      </c>
      <c r="K670">
        <v>1.46</v>
      </c>
      <c r="L670">
        <v>0.76</v>
      </c>
      <c r="M670">
        <v>0.17699999999999999</v>
      </c>
      <c r="N670" s="21">
        <v>2.8687975646879758</v>
      </c>
      <c r="O670" s="21">
        <v>2.9150684931506849</v>
      </c>
      <c r="P670" s="21">
        <v>2.8687975646879758</v>
      </c>
      <c r="Q670" s="21" t="s">
        <v>547</v>
      </c>
      <c r="S670" t="s">
        <v>547</v>
      </c>
    </row>
    <row r="671" spans="1:19" x14ac:dyDescent="0.2">
      <c r="A671">
        <v>682</v>
      </c>
      <c r="B671" t="s">
        <v>234</v>
      </c>
      <c r="C671" t="s">
        <v>426</v>
      </c>
      <c r="D671" t="s">
        <v>1</v>
      </c>
      <c r="E671" t="s">
        <v>9</v>
      </c>
      <c r="F671" t="s">
        <v>12</v>
      </c>
      <c r="G671">
        <v>22</v>
      </c>
      <c r="H671">
        <v>21</v>
      </c>
      <c r="I671">
        <v>4.5599999999999996</v>
      </c>
      <c r="J671">
        <v>1.82</v>
      </c>
      <c r="K671">
        <v>0.46</v>
      </c>
      <c r="L671">
        <v>0.29599999999999999</v>
      </c>
      <c r="M671">
        <v>6.3E-2</v>
      </c>
      <c r="N671" s="21">
        <v>1.3012560386473428</v>
      </c>
      <c r="O671" s="21">
        <v>2.1735265700483088</v>
      </c>
      <c r="P671" s="21" t="s">
        <v>547</v>
      </c>
      <c r="Q671" s="21">
        <v>1.3012560386473428</v>
      </c>
      <c r="S671" t="s">
        <v>547</v>
      </c>
    </row>
    <row r="672" spans="1:19" x14ac:dyDescent="0.2">
      <c r="A672">
        <v>683</v>
      </c>
      <c r="B672" t="s">
        <v>234</v>
      </c>
      <c r="C672" t="s">
        <v>426</v>
      </c>
      <c r="D672" t="s">
        <v>1</v>
      </c>
      <c r="E672" t="s">
        <v>9</v>
      </c>
      <c r="F672" t="s">
        <v>14</v>
      </c>
      <c r="G672">
        <v>29</v>
      </c>
      <c r="H672">
        <v>28</v>
      </c>
      <c r="I672">
        <v>7.2</v>
      </c>
      <c r="J672">
        <v>4</v>
      </c>
      <c r="K672">
        <v>0.46</v>
      </c>
      <c r="L672">
        <v>0.29599999999999999</v>
      </c>
      <c r="M672">
        <v>6.3E-2</v>
      </c>
      <c r="N672" s="21">
        <v>2.8599033816425119</v>
      </c>
      <c r="O672" s="21">
        <v>3.4318840579710144</v>
      </c>
      <c r="P672" s="21" t="s">
        <v>547</v>
      </c>
      <c r="Q672" s="21">
        <v>2.8599033816425119</v>
      </c>
      <c r="S672" t="s">
        <v>547</v>
      </c>
    </row>
    <row r="673" spans="1:19" x14ac:dyDescent="0.2">
      <c r="A673">
        <v>684</v>
      </c>
      <c r="B673" t="s">
        <v>235</v>
      </c>
      <c r="C673" t="s">
        <v>413</v>
      </c>
      <c r="D673" t="s">
        <v>1</v>
      </c>
      <c r="E673" t="s">
        <v>9</v>
      </c>
      <c r="F673" t="s">
        <v>10</v>
      </c>
      <c r="G673">
        <v>26</v>
      </c>
      <c r="H673">
        <v>29</v>
      </c>
      <c r="I673">
        <v>11.35</v>
      </c>
      <c r="J673">
        <v>8.64</v>
      </c>
      <c r="K673">
        <v>2.2000000000000002</v>
      </c>
      <c r="L673">
        <v>0.65400000000000003</v>
      </c>
      <c r="M673">
        <v>0.154</v>
      </c>
      <c r="N673" s="21">
        <v>2.8538181818181818</v>
      </c>
      <c r="O673" s="21">
        <v>2.4992929292929293</v>
      </c>
      <c r="P673" s="21">
        <v>2.8538181818181818</v>
      </c>
      <c r="Q673" s="21" t="s">
        <v>547</v>
      </c>
      <c r="S673" t="s">
        <v>547</v>
      </c>
    </row>
    <row r="674" spans="1:19" x14ac:dyDescent="0.2">
      <c r="A674">
        <v>685</v>
      </c>
      <c r="B674" t="s">
        <v>235</v>
      </c>
      <c r="C674" t="s">
        <v>413</v>
      </c>
      <c r="D674" t="s">
        <v>1</v>
      </c>
      <c r="E674" t="s">
        <v>9</v>
      </c>
      <c r="F674" t="s">
        <v>11</v>
      </c>
      <c r="G674">
        <v>30</v>
      </c>
      <c r="H674">
        <v>36</v>
      </c>
      <c r="I674">
        <v>6.85</v>
      </c>
      <c r="J674">
        <v>6.4</v>
      </c>
      <c r="K674">
        <v>2.2000000000000002</v>
      </c>
      <c r="L674">
        <v>0.65400000000000003</v>
      </c>
      <c r="M674">
        <v>0.154</v>
      </c>
      <c r="N674" s="21">
        <v>2.1139393939393942</v>
      </c>
      <c r="O674" s="21">
        <v>1.5083838383838384</v>
      </c>
      <c r="P674" s="21">
        <v>2.1139393939393942</v>
      </c>
      <c r="Q674" s="21" t="s">
        <v>547</v>
      </c>
      <c r="S674" t="s">
        <v>547</v>
      </c>
    </row>
    <row r="675" spans="1:19" x14ac:dyDescent="0.2">
      <c r="A675">
        <v>686</v>
      </c>
      <c r="B675" t="s">
        <v>235</v>
      </c>
      <c r="C675" t="s">
        <v>413</v>
      </c>
      <c r="D675" t="s">
        <v>1</v>
      </c>
      <c r="E675" t="s">
        <v>9</v>
      </c>
      <c r="F675" t="s">
        <v>12</v>
      </c>
      <c r="G675">
        <v>33</v>
      </c>
      <c r="H675">
        <v>30</v>
      </c>
      <c r="I675">
        <v>11.44</v>
      </c>
      <c r="J675">
        <v>10.15</v>
      </c>
      <c r="K675">
        <v>0.52</v>
      </c>
      <c r="L675">
        <v>0.34699999999999998</v>
      </c>
      <c r="M675">
        <v>0.1</v>
      </c>
      <c r="N675" s="21">
        <v>7.5257478632478634</v>
      </c>
      <c r="O675" s="21">
        <v>5.6548148148148139</v>
      </c>
      <c r="P675" s="21" t="s">
        <v>547</v>
      </c>
      <c r="Q675" s="21">
        <v>7.5257478632478634</v>
      </c>
      <c r="S675" t="s">
        <v>547</v>
      </c>
    </row>
    <row r="676" spans="1:19" x14ac:dyDescent="0.2">
      <c r="A676">
        <v>687</v>
      </c>
      <c r="B676" t="s">
        <v>235</v>
      </c>
      <c r="C676" t="s">
        <v>413</v>
      </c>
      <c r="D676" t="s">
        <v>1</v>
      </c>
      <c r="E676" t="s">
        <v>9</v>
      </c>
      <c r="F676" t="s">
        <v>14</v>
      </c>
      <c r="G676">
        <v>34</v>
      </c>
      <c r="H676">
        <v>31</v>
      </c>
      <c r="I676">
        <v>11</v>
      </c>
      <c r="J676">
        <v>9.3000000000000007</v>
      </c>
      <c r="K676">
        <v>0.52</v>
      </c>
      <c r="L676">
        <v>0.34699999999999998</v>
      </c>
      <c r="M676">
        <v>0.1</v>
      </c>
      <c r="N676" s="21">
        <v>6.8955128205128213</v>
      </c>
      <c r="O676" s="21">
        <v>5.4373219373219372</v>
      </c>
      <c r="P676" s="21" t="s">
        <v>547</v>
      </c>
      <c r="Q676" s="21">
        <v>6.8955128205128213</v>
      </c>
      <c r="S676" t="s">
        <v>547</v>
      </c>
    </row>
    <row r="677" spans="1:19" x14ac:dyDescent="0.2">
      <c r="A677">
        <v>688</v>
      </c>
      <c r="B677" t="s">
        <v>236</v>
      </c>
      <c r="C677" t="s">
        <v>376</v>
      </c>
      <c r="D677" t="s">
        <v>1</v>
      </c>
      <c r="E677" t="s">
        <v>27</v>
      </c>
      <c r="F677" t="s">
        <v>60</v>
      </c>
      <c r="L677">
        <v>0.73599999999999999</v>
      </c>
      <c r="M677">
        <v>0.15</v>
      </c>
      <c r="N677" s="21" t="e">
        <v>#DIV/0!</v>
      </c>
      <c r="O677" s="21" t="e">
        <v>#DIV/0!</v>
      </c>
      <c r="P677" s="21" t="s">
        <v>547</v>
      </c>
      <c r="Q677" s="21" t="s">
        <v>547</v>
      </c>
      <c r="S677" t="e">
        <v>#DIV/0!</v>
      </c>
    </row>
    <row r="678" spans="1:19" x14ac:dyDescent="0.2">
      <c r="A678">
        <v>689</v>
      </c>
      <c r="B678" t="s">
        <v>236</v>
      </c>
      <c r="C678" t="s">
        <v>376</v>
      </c>
      <c r="D678" t="s">
        <v>1</v>
      </c>
      <c r="E678" t="s">
        <v>27</v>
      </c>
      <c r="F678" t="s">
        <v>61</v>
      </c>
      <c r="L678">
        <v>0.89900000000000002</v>
      </c>
      <c r="M678">
        <v>0.13100000000000001</v>
      </c>
      <c r="N678" s="21" t="e">
        <v>#DIV/0!</v>
      </c>
      <c r="O678" s="21" t="e">
        <v>#DIV/0!</v>
      </c>
      <c r="P678" s="21" t="s">
        <v>547</v>
      </c>
      <c r="Q678" s="21" t="s">
        <v>547</v>
      </c>
      <c r="S678" t="e">
        <v>#DIV/0!</v>
      </c>
    </row>
    <row r="679" spans="1:19" x14ac:dyDescent="0.2">
      <c r="A679">
        <v>690</v>
      </c>
      <c r="B679" t="s">
        <v>236</v>
      </c>
      <c r="C679" t="s">
        <v>376</v>
      </c>
      <c r="D679" t="s">
        <v>1</v>
      </c>
      <c r="E679" t="s">
        <v>27</v>
      </c>
      <c r="F679" t="s">
        <v>59</v>
      </c>
      <c r="L679">
        <v>0.626</v>
      </c>
      <c r="M679">
        <v>0.161</v>
      </c>
      <c r="N679" s="21" t="e">
        <v>#DIV/0!</v>
      </c>
      <c r="O679" s="21" t="e">
        <v>#DIV/0!</v>
      </c>
      <c r="P679" s="21" t="s">
        <v>547</v>
      </c>
      <c r="Q679" s="21" t="s">
        <v>547</v>
      </c>
      <c r="S679" t="e">
        <v>#DIV/0!</v>
      </c>
    </row>
    <row r="680" spans="1:19" x14ac:dyDescent="0.2">
      <c r="A680">
        <v>691</v>
      </c>
      <c r="B680" t="s">
        <v>236</v>
      </c>
      <c r="C680" t="s">
        <v>376</v>
      </c>
      <c r="D680" t="s">
        <v>1</v>
      </c>
      <c r="E680" t="s">
        <v>27</v>
      </c>
      <c r="F680" t="s">
        <v>28</v>
      </c>
      <c r="G680">
        <v>36</v>
      </c>
      <c r="H680">
        <v>34</v>
      </c>
      <c r="I680">
        <v>4.5</v>
      </c>
      <c r="J680">
        <v>4.76</v>
      </c>
      <c r="K680">
        <v>0.84</v>
      </c>
      <c r="L680">
        <v>0.66</v>
      </c>
      <c r="M680">
        <v>0.106</v>
      </c>
      <c r="N680" s="21">
        <v>4.1555555555555559</v>
      </c>
      <c r="O680" s="21">
        <v>2.6190476190476191</v>
      </c>
      <c r="P680" s="21" t="s">
        <v>547</v>
      </c>
      <c r="Q680" s="21" t="s">
        <v>547</v>
      </c>
      <c r="S680" t="s">
        <v>547</v>
      </c>
    </row>
    <row r="681" spans="1:19" x14ac:dyDescent="0.2">
      <c r="A681">
        <v>692</v>
      </c>
      <c r="B681" t="s">
        <v>236</v>
      </c>
      <c r="C681" t="s">
        <v>376</v>
      </c>
      <c r="D681" t="s">
        <v>1</v>
      </c>
      <c r="E681" t="s">
        <v>27</v>
      </c>
      <c r="F681" t="s">
        <v>29</v>
      </c>
      <c r="G681">
        <v>42</v>
      </c>
      <c r="H681">
        <v>54</v>
      </c>
      <c r="I681">
        <v>6.62</v>
      </c>
      <c r="J681">
        <v>7.74</v>
      </c>
      <c r="K681">
        <v>1.06</v>
      </c>
      <c r="L681">
        <v>0.75700000000000001</v>
      </c>
      <c r="M681">
        <v>0.16700000000000001</v>
      </c>
      <c r="N681" s="21">
        <v>6.1416981132075472</v>
      </c>
      <c r="O681" s="21">
        <v>3.5019846261355698</v>
      </c>
      <c r="P681" s="21" t="s">
        <v>547</v>
      </c>
      <c r="Q681" s="21" t="s">
        <v>547</v>
      </c>
      <c r="S681" t="s">
        <v>547</v>
      </c>
    </row>
    <row r="682" spans="1:19" x14ac:dyDescent="0.2">
      <c r="A682">
        <v>693</v>
      </c>
      <c r="B682" t="s">
        <v>236</v>
      </c>
      <c r="C682" t="s">
        <v>376</v>
      </c>
      <c r="D682" t="s">
        <v>1</v>
      </c>
      <c r="E682" t="s">
        <v>27</v>
      </c>
      <c r="F682" t="s">
        <v>30</v>
      </c>
      <c r="G682">
        <v>35</v>
      </c>
      <c r="H682">
        <v>29</v>
      </c>
      <c r="I682">
        <v>4.8</v>
      </c>
      <c r="J682">
        <v>3.04</v>
      </c>
      <c r="K682">
        <v>0.8</v>
      </c>
      <c r="L682">
        <v>0.53300000000000003</v>
      </c>
      <c r="M682">
        <v>0.13</v>
      </c>
      <c r="N682" s="21">
        <v>2.2504444444444442</v>
      </c>
      <c r="O682" s="21">
        <v>2.3688888888888888</v>
      </c>
      <c r="P682" s="21" t="s">
        <v>547</v>
      </c>
      <c r="Q682" s="21" t="s">
        <v>547</v>
      </c>
      <c r="S682" t="s">
        <v>547</v>
      </c>
    </row>
    <row r="683" spans="1:19" x14ac:dyDescent="0.2">
      <c r="A683">
        <v>694</v>
      </c>
      <c r="B683" t="s">
        <v>236</v>
      </c>
      <c r="C683" t="s">
        <v>376</v>
      </c>
      <c r="D683" t="s">
        <v>1</v>
      </c>
      <c r="E683" t="s">
        <v>27</v>
      </c>
      <c r="F683" t="s">
        <v>31</v>
      </c>
      <c r="G683">
        <v>36</v>
      </c>
      <c r="H683">
        <v>34</v>
      </c>
      <c r="I683">
        <v>4.76</v>
      </c>
      <c r="J683">
        <v>5.84</v>
      </c>
      <c r="K683">
        <v>0.9</v>
      </c>
      <c r="L683">
        <v>0.74</v>
      </c>
      <c r="M683">
        <v>0.11899999999999999</v>
      </c>
      <c r="N683" s="21">
        <v>5.3353086419753089</v>
      </c>
      <c r="O683" s="21">
        <v>2.8990946502057606</v>
      </c>
      <c r="P683" s="21" t="s">
        <v>547</v>
      </c>
      <c r="Q683" s="21" t="s">
        <v>547</v>
      </c>
      <c r="S683" t="s">
        <v>547</v>
      </c>
    </row>
    <row r="684" spans="1:19" x14ac:dyDescent="0.2">
      <c r="A684">
        <v>695</v>
      </c>
      <c r="B684" t="s">
        <v>236</v>
      </c>
      <c r="C684" t="s">
        <v>376</v>
      </c>
      <c r="D684" t="s">
        <v>1</v>
      </c>
      <c r="E684" t="s">
        <v>27</v>
      </c>
      <c r="F684" t="s">
        <v>32</v>
      </c>
      <c r="G684">
        <v>40</v>
      </c>
      <c r="H684">
        <v>44</v>
      </c>
      <c r="I684">
        <v>6.82</v>
      </c>
      <c r="J684">
        <v>6.52</v>
      </c>
      <c r="K684">
        <v>0.84</v>
      </c>
      <c r="L684">
        <v>0.626</v>
      </c>
      <c r="M684">
        <v>0.11700000000000001</v>
      </c>
      <c r="N684" s="21">
        <v>5.3988359788359794</v>
      </c>
      <c r="O684" s="21">
        <v>3.7648324514991183</v>
      </c>
      <c r="P684" s="21" t="s">
        <v>547</v>
      </c>
      <c r="Q684" s="21" t="s">
        <v>547</v>
      </c>
      <c r="S684" t="s">
        <v>547</v>
      </c>
    </row>
    <row r="685" spans="1:19" x14ac:dyDescent="0.2">
      <c r="A685">
        <v>696</v>
      </c>
      <c r="B685" t="s">
        <v>236</v>
      </c>
      <c r="C685" t="s">
        <v>376</v>
      </c>
      <c r="D685" t="s">
        <v>1</v>
      </c>
      <c r="E685" t="s">
        <v>27</v>
      </c>
      <c r="F685" t="s">
        <v>33</v>
      </c>
      <c r="G685">
        <v>48</v>
      </c>
      <c r="H685">
        <v>46</v>
      </c>
      <c r="I685">
        <v>6.54</v>
      </c>
      <c r="J685">
        <v>5.32</v>
      </c>
      <c r="K685">
        <v>0.8</v>
      </c>
      <c r="L685">
        <v>0.53300000000000003</v>
      </c>
      <c r="M685">
        <v>0.13</v>
      </c>
      <c r="N685" s="21">
        <v>3.9382777777777784</v>
      </c>
      <c r="O685" s="21">
        <v>3.227611111111111</v>
      </c>
      <c r="P685" s="21" t="s">
        <v>547</v>
      </c>
      <c r="Q685" s="21" t="s">
        <v>547</v>
      </c>
      <c r="S685" t="s">
        <v>547</v>
      </c>
    </row>
    <row r="686" spans="1:19" x14ac:dyDescent="0.2">
      <c r="A686">
        <v>697</v>
      </c>
      <c r="B686" t="s">
        <v>237</v>
      </c>
      <c r="C686" t="s">
        <v>377</v>
      </c>
      <c r="D686" t="s">
        <v>1</v>
      </c>
      <c r="E686" t="s">
        <v>9</v>
      </c>
      <c r="F686" t="s">
        <v>10</v>
      </c>
      <c r="G686">
        <v>40</v>
      </c>
      <c r="H686">
        <v>39</v>
      </c>
      <c r="I686">
        <v>20.89</v>
      </c>
      <c r="J686">
        <v>13.61</v>
      </c>
      <c r="K686">
        <v>1.56</v>
      </c>
      <c r="L686">
        <v>0.84</v>
      </c>
      <c r="N686" s="21">
        <v>8.1427350427350422</v>
      </c>
      <c r="O686" s="21">
        <v>8.3321937321937334</v>
      </c>
      <c r="P686" s="21">
        <v>8.1427350427350422</v>
      </c>
      <c r="Q686" s="21" t="s">
        <v>547</v>
      </c>
      <c r="S686" t="s">
        <v>547</v>
      </c>
    </row>
    <row r="687" spans="1:19" x14ac:dyDescent="0.2">
      <c r="A687">
        <v>698</v>
      </c>
      <c r="B687" t="s">
        <v>237</v>
      </c>
      <c r="C687" t="s">
        <v>377</v>
      </c>
      <c r="D687" t="s">
        <v>1</v>
      </c>
      <c r="E687" t="s">
        <v>9</v>
      </c>
      <c r="F687" t="s">
        <v>11</v>
      </c>
      <c r="G687">
        <v>28</v>
      </c>
      <c r="H687">
        <v>31</v>
      </c>
      <c r="I687">
        <v>7.6</v>
      </c>
      <c r="J687">
        <v>11.2</v>
      </c>
      <c r="K687">
        <v>1.56</v>
      </c>
      <c r="L687">
        <v>0.84</v>
      </c>
      <c r="N687" s="21">
        <v>6.7008547008547001</v>
      </c>
      <c r="O687" s="21">
        <v>3.0313390313390314</v>
      </c>
      <c r="P687" s="21">
        <v>6.7008547008547001</v>
      </c>
      <c r="Q687" s="21" t="s">
        <v>547</v>
      </c>
      <c r="S687" t="s">
        <v>547</v>
      </c>
    </row>
    <row r="688" spans="1:19" x14ac:dyDescent="0.2">
      <c r="A688">
        <v>699</v>
      </c>
      <c r="B688" t="s">
        <v>237</v>
      </c>
      <c r="C688" t="s">
        <v>377</v>
      </c>
      <c r="D688" t="s">
        <v>1</v>
      </c>
      <c r="E688" t="s">
        <v>9</v>
      </c>
      <c r="F688" t="s">
        <v>12</v>
      </c>
      <c r="G688">
        <v>43</v>
      </c>
      <c r="H688">
        <v>40</v>
      </c>
      <c r="I688">
        <v>32.770000000000003</v>
      </c>
      <c r="J688">
        <v>6.7</v>
      </c>
      <c r="K688">
        <v>0.88</v>
      </c>
      <c r="L688">
        <v>0.47199999999999998</v>
      </c>
      <c r="M688">
        <v>7.1999999999999995E-2</v>
      </c>
      <c r="N688" s="21">
        <v>3.9929292929292934</v>
      </c>
      <c r="O688" s="21">
        <v>13.019730639730641</v>
      </c>
      <c r="P688" s="21" t="s">
        <v>547</v>
      </c>
      <c r="Q688" s="21">
        <v>3.9929292929292934</v>
      </c>
      <c r="S688" t="s">
        <v>547</v>
      </c>
    </row>
    <row r="689" spans="1:19" x14ac:dyDescent="0.2">
      <c r="A689">
        <v>700</v>
      </c>
      <c r="B689" t="s">
        <v>237</v>
      </c>
      <c r="C689" t="s">
        <v>377</v>
      </c>
      <c r="D689" t="s">
        <v>1</v>
      </c>
      <c r="E689" t="s">
        <v>9</v>
      </c>
      <c r="F689" t="s">
        <v>14</v>
      </c>
      <c r="G689">
        <v>25</v>
      </c>
      <c r="H689">
        <v>25</v>
      </c>
      <c r="I689">
        <v>5.18</v>
      </c>
      <c r="J689">
        <v>4.1500000000000004</v>
      </c>
      <c r="K689">
        <v>0.88</v>
      </c>
      <c r="L689">
        <v>0.47199999999999998</v>
      </c>
      <c r="M689">
        <v>7.1999999999999995E-2</v>
      </c>
      <c r="N689" s="21">
        <v>2.4732323232323234</v>
      </c>
      <c r="O689" s="21">
        <v>2.0580471380471379</v>
      </c>
      <c r="P689" s="21" t="s">
        <v>547</v>
      </c>
      <c r="Q689" s="21">
        <v>2.4732323232323234</v>
      </c>
      <c r="S689" t="s">
        <v>547</v>
      </c>
    </row>
    <row r="690" spans="1:19" x14ac:dyDescent="0.2">
      <c r="A690">
        <v>701</v>
      </c>
      <c r="B690" t="s">
        <v>238</v>
      </c>
      <c r="C690" t="s">
        <v>238</v>
      </c>
      <c r="D690" t="s">
        <v>1</v>
      </c>
      <c r="E690" t="s">
        <v>9</v>
      </c>
      <c r="F690" t="s">
        <v>10</v>
      </c>
      <c r="G690">
        <v>31</v>
      </c>
      <c r="H690">
        <v>29</v>
      </c>
      <c r="I690">
        <v>7.04</v>
      </c>
      <c r="J690">
        <v>5.14</v>
      </c>
      <c r="K690">
        <v>0.97</v>
      </c>
      <c r="L690">
        <v>0.626</v>
      </c>
      <c r="M690">
        <v>7.4999999999999997E-2</v>
      </c>
      <c r="N690" s="21">
        <v>3.6857273768613976</v>
      </c>
      <c r="O690" s="21">
        <v>3.3654371897670865</v>
      </c>
      <c r="P690" s="21">
        <v>3.6857273768613976</v>
      </c>
      <c r="Q690" s="21" t="s">
        <v>547</v>
      </c>
      <c r="S690" t="s">
        <v>547</v>
      </c>
    </row>
    <row r="691" spans="1:19" x14ac:dyDescent="0.2">
      <c r="A691">
        <v>702</v>
      </c>
      <c r="B691" t="s">
        <v>238</v>
      </c>
      <c r="C691" t="s">
        <v>238</v>
      </c>
      <c r="D691" t="s">
        <v>1</v>
      </c>
      <c r="E691" t="s">
        <v>9</v>
      </c>
      <c r="F691" t="s">
        <v>11</v>
      </c>
      <c r="G691">
        <v>42</v>
      </c>
      <c r="H691">
        <v>37</v>
      </c>
      <c r="I691">
        <v>6.63</v>
      </c>
      <c r="J691">
        <v>4.9000000000000004</v>
      </c>
      <c r="K691">
        <v>0.97</v>
      </c>
      <c r="L691">
        <v>0.626</v>
      </c>
      <c r="M691">
        <v>7.4999999999999997E-2</v>
      </c>
      <c r="N691" s="21">
        <v>3.5136311569301264</v>
      </c>
      <c r="O691" s="21">
        <v>3.1694387170675831</v>
      </c>
      <c r="P691" s="21">
        <v>3.5136311569301264</v>
      </c>
      <c r="Q691" s="21" t="s">
        <v>547</v>
      </c>
      <c r="S691" t="s">
        <v>547</v>
      </c>
    </row>
    <row r="692" spans="1:19" x14ac:dyDescent="0.2">
      <c r="A692">
        <v>703</v>
      </c>
      <c r="B692" t="s">
        <v>238</v>
      </c>
      <c r="C692" t="s">
        <v>238</v>
      </c>
      <c r="D692" t="s">
        <v>1</v>
      </c>
      <c r="E692" t="s">
        <v>9</v>
      </c>
      <c r="F692" t="s">
        <v>12</v>
      </c>
      <c r="G692">
        <v>42</v>
      </c>
      <c r="H692">
        <v>34</v>
      </c>
      <c r="I692">
        <v>6.27</v>
      </c>
      <c r="J692">
        <v>4.2699999999999996</v>
      </c>
      <c r="K692">
        <v>0.65</v>
      </c>
      <c r="L692">
        <v>0.45800000000000002</v>
      </c>
      <c r="M692">
        <v>8.5999999999999993E-2</v>
      </c>
      <c r="N692" s="21">
        <v>3.3430085470085471</v>
      </c>
      <c r="O692" s="21">
        <v>3.2725470085470083</v>
      </c>
      <c r="P692" s="21" t="s">
        <v>547</v>
      </c>
      <c r="Q692" s="21">
        <v>3.3430085470085471</v>
      </c>
      <c r="S692" t="s">
        <v>547</v>
      </c>
    </row>
    <row r="693" spans="1:19" x14ac:dyDescent="0.2">
      <c r="A693">
        <v>704</v>
      </c>
      <c r="B693" t="s">
        <v>238</v>
      </c>
      <c r="C693" t="s">
        <v>238</v>
      </c>
      <c r="D693" t="s">
        <v>1</v>
      </c>
      <c r="E693" t="s">
        <v>9</v>
      </c>
      <c r="F693" t="s">
        <v>14</v>
      </c>
      <c r="G693">
        <v>36</v>
      </c>
      <c r="H693">
        <v>33</v>
      </c>
      <c r="I693">
        <v>4.7300000000000004</v>
      </c>
      <c r="J693">
        <v>3.94</v>
      </c>
      <c r="K693">
        <v>0.65</v>
      </c>
      <c r="L693">
        <v>0.45800000000000002</v>
      </c>
      <c r="M693">
        <v>8.5999999999999993E-2</v>
      </c>
      <c r="N693" s="21">
        <v>3.0846495726495728</v>
      </c>
      <c r="O693" s="21">
        <v>2.4687635327635329</v>
      </c>
      <c r="P693" s="21" t="s">
        <v>547</v>
      </c>
      <c r="Q693" s="21">
        <v>3.0846495726495728</v>
      </c>
      <c r="S693" t="s">
        <v>547</v>
      </c>
    </row>
    <row r="694" spans="1:19" x14ac:dyDescent="0.2">
      <c r="A694">
        <v>705</v>
      </c>
      <c r="B694" t="s">
        <v>239</v>
      </c>
      <c r="C694" t="s">
        <v>412</v>
      </c>
      <c r="D694" t="s">
        <v>16</v>
      </c>
      <c r="E694" t="s">
        <v>9</v>
      </c>
      <c r="F694" t="s">
        <v>10</v>
      </c>
      <c r="G694">
        <v>34</v>
      </c>
      <c r="H694">
        <v>41</v>
      </c>
      <c r="I694">
        <v>14.17</v>
      </c>
      <c r="J694">
        <v>6.5</v>
      </c>
      <c r="K694">
        <v>0.78</v>
      </c>
      <c r="L694">
        <v>0.48899999999999999</v>
      </c>
      <c r="M694">
        <v>0.13800000000000001</v>
      </c>
      <c r="N694" s="21">
        <v>4.5277777777777786</v>
      </c>
      <c r="O694" s="21">
        <v>6.5803703703703711</v>
      </c>
      <c r="P694" s="21">
        <v>4.5277777777777786</v>
      </c>
      <c r="Q694" s="21" t="s">
        <v>547</v>
      </c>
      <c r="S694" t="s">
        <v>547</v>
      </c>
    </row>
    <row r="695" spans="1:19" x14ac:dyDescent="0.2">
      <c r="A695">
        <v>706</v>
      </c>
      <c r="B695" t="s">
        <v>239</v>
      </c>
      <c r="C695" t="s">
        <v>412</v>
      </c>
      <c r="D695" t="s">
        <v>16</v>
      </c>
      <c r="E695" t="s">
        <v>9</v>
      </c>
      <c r="F695" t="s">
        <v>11</v>
      </c>
      <c r="G695">
        <v>41</v>
      </c>
      <c r="H695">
        <v>41</v>
      </c>
      <c r="I695">
        <v>12</v>
      </c>
      <c r="J695">
        <v>5.23</v>
      </c>
      <c r="K695">
        <v>0.78</v>
      </c>
      <c r="L695">
        <v>0.48899999999999999</v>
      </c>
      <c r="M695">
        <v>0.13800000000000001</v>
      </c>
      <c r="N695" s="21">
        <v>3.6431196581196583</v>
      </c>
      <c r="O695" s="21">
        <v>5.5726495726495733</v>
      </c>
      <c r="P695" s="21">
        <v>3.6431196581196583</v>
      </c>
      <c r="Q695" s="21" t="s">
        <v>547</v>
      </c>
      <c r="S695" t="s">
        <v>547</v>
      </c>
    </row>
    <row r="696" spans="1:19" x14ac:dyDescent="0.2">
      <c r="A696">
        <v>707</v>
      </c>
      <c r="B696" t="s">
        <v>239</v>
      </c>
      <c r="C696" t="s">
        <v>412</v>
      </c>
      <c r="D696" t="s">
        <v>16</v>
      </c>
      <c r="E696" t="s">
        <v>9</v>
      </c>
      <c r="F696" t="s">
        <v>12</v>
      </c>
      <c r="G696">
        <v>32</v>
      </c>
      <c r="H696">
        <v>37</v>
      </c>
      <c r="I696">
        <v>9.31</v>
      </c>
      <c r="J696">
        <v>4.07</v>
      </c>
      <c r="K696">
        <v>0.56999999999999995</v>
      </c>
      <c r="L696">
        <v>0.42899999999999999</v>
      </c>
      <c r="M696">
        <v>0.124</v>
      </c>
      <c r="N696" s="21">
        <v>3.4035672514619888</v>
      </c>
      <c r="O696" s="21">
        <v>5.1903703703703714</v>
      </c>
      <c r="P696" s="21" t="s">
        <v>547</v>
      </c>
      <c r="Q696" s="21">
        <v>3.4035672514619888</v>
      </c>
      <c r="S696" t="s">
        <v>547</v>
      </c>
    </row>
    <row r="697" spans="1:19" x14ac:dyDescent="0.2">
      <c r="A697">
        <v>708</v>
      </c>
      <c r="B697" t="s">
        <v>239</v>
      </c>
      <c r="C697" t="s">
        <v>412</v>
      </c>
      <c r="D697" t="s">
        <v>16</v>
      </c>
      <c r="E697" t="s">
        <v>9</v>
      </c>
      <c r="F697" t="s">
        <v>14</v>
      </c>
      <c r="G697">
        <v>39</v>
      </c>
      <c r="H697">
        <v>36</v>
      </c>
      <c r="I697">
        <v>10.28</v>
      </c>
      <c r="J697">
        <v>4.8</v>
      </c>
      <c r="K697">
        <v>0.56999999999999995</v>
      </c>
      <c r="L697">
        <v>0.42899999999999999</v>
      </c>
      <c r="M697">
        <v>0.124</v>
      </c>
      <c r="N697" s="21">
        <v>4.0140350877192983</v>
      </c>
      <c r="O697" s="21">
        <v>5.7311500974658873</v>
      </c>
      <c r="P697" s="21" t="s">
        <v>547</v>
      </c>
      <c r="Q697" s="21">
        <v>4.0140350877192983</v>
      </c>
      <c r="S697" t="s">
        <v>547</v>
      </c>
    </row>
    <row r="698" spans="1:19" x14ac:dyDescent="0.2">
      <c r="A698">
        <v>709</v>
      </c>
      <c r="B698" t="s">
        <v>240</v>
      </c>
      <c r="C698" t="s">
        <v>378</v>
      </c>
      <c r="D698" t="s">
        <v>16</v>
      </c>
      <c r="E698" t="s">
        <v>9</v>
      </c>
      <c r="F698" t="s">
        <v>10</v>
      </c>
      <c r="G698">
        <v>39</v>
      </c>
      <c r="H698">
        <v>38</v>
      </c>
      <c r="I698">
        <v>11.34</v>
      </c>
      <c r="J698">
        <v>6.02</v>
      </c>
      <c r="K698">
        <v>0.85</v>
      </c>
      <c r="L698">
        <v>0.40100000000000002</v>
      </c>
      <c r="M698">
        <v>7.5999999999999998E-2</v>
      </c>
      <c r="N698" s="21">
        <v>3.1555816993464054</v>
      </c>
      <c r="O698" s="21">
        <v>3.9628235294117653</v>
      </c>
      <c r="P698" s="21">
        <v>3.1555816993464054</v>
      </c>
      <c r="Q698" s="21" t="s">
        <v>547</v>
      </c>
      <c r="S698" t="s">
        <v>547</v>
      </c>
    </row>
    <row r="699" spans="1:19" x14ac:dyDescent="0.2">
      <c r="A699">
        <v>710</v>
      </c>
      <c r="B699" t="s">
        <v>240</v>
      </c>
      <c r="C699" t="s">
        <v>378</v>
      </c>
      <c r="D699" t="s">
        <v>16</v>
      </c>
      <c r="E699" t="s">
        <v>9</v>
      </c>
      <c r="F699" t="s">
        <v>11</v>
      </c>
      <c r="G699">
        <v>30</v>
      </c>
      <c r="H699">
        <v>48</v>
      </c>
      <c r="I699">
        <v>10.97</v>
      </c>
      <c r="J699">
        <v>7.7</v>
      </c>
      <c r="K699">
        <v>0.85</v>
      </c>
      <c r="L699">
        <v>0.40100000000000002</v>
      </c>
      <c r="M699">
        <v>7.5999999999999998E-2</v>
      </c>
      <c r="N699" s="21">
        <v>4.0362091503267985</v>
      </c>
      <c r="O699" s="21">
        <v>3.8335250544662318</v>
      </c>
      <c r="P699" s="21">
        <v>4.0362091503267985</v>
      </c>
      <c r="Q699" s="21" t="s">
        <v>547</v>
      </c>
      <c r="S699" t="s">
        <v>547</v>
      </c>
    </row>
    <row r="700" spans="1:19" x14ac:dyDescent="0.2">
      <c r="A700">
        <v>711</v>
      </c>
      <c r="B700" t="s">
        <v>240</v>
      </c>
      <c r="C700" t="s">
        <v>378</v>
      </c>
      <c r="D700" t="s">
        <v>16</v>
      </c>
      <c r="E700" t="s">
        <v>9</v>
      </c>
      <c r="F700" t="s">
        <v>12</v>
      </c>
      <c r="G700">
        <v>21</v>
      </c>
      <c r="H700">
        <v>21</v>
      </c>
      <c r="I700">
        <v>5.47</v>
      </c>
      <c r="J700">
        <v>3.05</v>
      </c>
      <c r="K700">
        <v>0.66</v>
      </c>
      <c r="L700">
        <v>0.53200000000000003</v>
      </c>
      <c r="M700">
        <v>9.7000000000000003E-2</v>
      </c>
      <c r="N700" s="21">
        <v>2.7316498316498312</v>
      </c>
      <c r="O700" s="21">
        <v>3.2660381593714929</v>
      </c>
      <c r="P700" s="21" t="s">
        <v>547</v>
      </c>
      <c r="Q700" s="21">
        <v>2.7316498316498312</v>
      </c>
      <c r="S700" t="s">
        <v>547</v>
      </c>
    </row>
    <row r="701" spans="1:19" x14ac:dyDescent="0.2">
      <c r="A701">
        <v>712</v>
      </c>
      <c r="B701" t="s">
        <v>240</v>
      </c>
      <c r="C701" t="s">
        <v>378</v>
      </c>
      <c r="D701" t="s">
        <v>16</v>
      </c>
      <c r="E701" t="s">
        <v>9</v>
      </c>
      <c r="F701" t="s">
        <v>14</v>
      </c>
      <c r="G701">
        <v>22</v>
      </c>
      <c r="H701">
        <v>22</v>
      </c>
      <c r="I701">
        <v>7.5</v>
      </c>
      <c r="J701">
        <v>3.76</v>
      </c>
      <c r="K701">
        <v>0.66</v>
      </c>
      <c r="L701">
        <v>0.53200000000000003</v>
      </c>
      <c r="M701">
        <v>9.7000000000000003E-2</v>
      </c>
      <c r="N701" s="21">
        <v>3.3675420875420876</v>
      </c>
      <c r="O701" s="21">
        <v>4.4781144781144784</v>
      </c>
      <c r="P701" s="21" t="s">
        <v>547</v>
      </c>
      <c r="Q701" s="21">
        <v>3.3675420875420876</v>
      </c>
      <c r="S701" t="s">
        <v>547</v>
      </c>
    </row>
    <row r="702" spans="1:19" x14ac:dyDescent="0.2">
      <c r="A702">
        <v>713</v>
      </c>
      <c r="B702" t="s">
        <v>241</v>
      </c>
      <c r="C702" t="s">
        <v>241</v>
      </c>
      <c r="D702" t="s">
        <v>16</v>
      </c>
      <c r="E702" t="s">
        <v>9</v>
      </c>
      <c r="F702" t="s">
        <v>10</v>
      </c>
      <c r="G702">
        <v>38</v>
      </c>
      <c r="H702">
        <v>38</v>
      </c>
      <c r="I702">
        <v>16.850000000000001</v>
      </c>
      <c r="J702">
        <v>6.85</v>
      </c>
      <c r="K702">
        <v>0.95</v>
      </c>
      <c r="L702">
        <v>0.53300000000000003</v>
      </c>
      <c r="M702">
        <v>8.4000000000000005E-2</v>
      </c>
      <c r="N702" s="21">
        <v>4.2702339181286559</v>
      </c>
      <c r="O702" s="21">
        <v>7.0027680311890865</v>
      </c>
      <c r="P702" s="21">
        <v>4.2702339181286559</v>
      </c>
      <c r="Q702" s="21" t="s">
        <v>547</v>
      </c>
      <c r="S702" t="s">
        <v>547</v>
      </c>
    </row>
    <row r="703" spans="1:19" x14ac:dyDescent="0.2">
      <c r="A703">
        <v>714</v>
      </c>
      <c r="B703" t="s">
        <v>241</v>
      </c>
      <c r="C703" t="s">
        <v>241</v>
      </c>
      <c r="D703" t="s">
        <v>16</v>
      </c>
      <c r="E703" t="s">
        <v>9</v>
      </c>
      <c r="F703" t="s">
        <v>11</v>
      </c>
      <c r="G703">
        <v>37</v>
      </c>
      <c r="H703">
        <v>35</v>
      </c>
      <c r="I703">
        <v>14.8</v>
      </c>
      <c r="J703">
        <v>8.19</v>
      </c>
      <c r="K703">
        <v>0.95</v>
      </c>
      <c r="L703">
        <v>0.53300000000000003</v>
      </c>
      <c r="M703">
        <v>8.4000000000000005E-2</v>
      </c>
      <c r="N703" s="21">
        <v>5.1055789473684214</v>
      </c>
      <c r="O703" s="21">
        <v>6.1507992202729058</v>
      </c>
      <c r="P703" s="21">
        <v>5.1055789473684214</v>
      </c>
      <c r="Q703" s="21" t="s">
        <v>547</v>
      </c>
      <c r="S703" t="s">
        <v>547</v>
      </c>
    </row>
    <row r="704" spans="1:19" x14ac:dyDescent="0.2">
      <c r="A704">
        <v>715</v>
      </c>
      <c r="B704" t="s">
        <v>241</v>
      </c>
      <c r="C704" t="s">
        <v>241</v>
      </c>
      <c r="D704" t="s">
        <v>16</v>
      </c>
      <c r="E704" t="s">
        <v>9</v>
      </c>
      <c r="F704" t="s">
        <v>12</v>
      </c>
      <c r="G704">
        <v>34</v>
      </c>
      <c r="H704">
        <v>33</v>
      </c>
      <c r="I704">
        <v>16.649999999999999</v>
      </c>
      <c r="J704">
        <v>5.25</v>
      </c>
      <c r="K704">
        <v>1.35</v>
      </c>
      <c r="L704">
        <v>0.72699999999999998</v>
      </c>
      <c r="M704">
        <v>9.2999999999999999E-2</v>
      </c>
      <c r="N704" s="21">
        <v>3.1413580246913582</v>
      </c>
      <c r="O704" s="21">
        <v>6.6417283950617261</v>
      </c>
      <c r="P704" s="21" t="s">
        <v>547</v>
      </c>
      <c r="Q704" s="21">
        <v>3.1413580246913582</v>
      </c>
      <c r="S704" t="s">
        <v>547</v>
      </c>
    </row>
    <row r="705" spans="1:19" x14ac:dyDescent="0.2">
      <c r="A705">
        <v>716</v>
      </c>
      <c r="B705" t="s">
        <v>241</v>
      </c>
      <c r="C705" t="s">
        <v>241</v>
      </c>
      <c r="D705" t="s">
        <v>16</v>
      </c>
      <c r="E705" t="s">
        <v>9</v>
      </c>
      <c r="F705" t="s">
        <v>14</v>
      </c>
      <c r="G705">
        <v>30</v>
      </c>
      <c r="H705">
        <v>27</v>
      </c>
      <c r="I705">
        <v>18.8</v>
      </c>
      <c r="J705">
        <v>7.05</v>
      </c>
      <c r="K705">
        <v>1.35</v>
      </c>
      <c r="L705">
        <v>0.72699999999999998</v>
      </c>
      <c r="M705">
        <v>9.2999999999999999E-2</v>
      </c>
      <c r="N705" s="21">
        <v>4.218395061728395</v>
      </c>
      <c r="O705" s="21">
        <v>7.4993689986282561</v>
      </c>
      <c r="P705" s="21" t="s">
        <v>547</v>
      </c>
      <c r="Q705" s="21">
        <v>4.218395061728395</v>
      </c>
      <c r="S705" t="s">
        <v>547</v>
      </c>
    </row>
    <row r="706" spans="1:19" x14ac:dyDescent="0.2">
      <c r="A706">
        <v>717</v>
      </c>
      <c r="B706" t="s">
        <v>242</v>
      </c>
      <c r="C706" t="s">
        <v>242</v>
      </c>
      <c r="D706" t="s">
        <v>16</v>
      </c>
      <c r="E706" t="s">
        <v>9</v>
      </c>
      <c r="F706" t="s">
        <v>10</v>
      </c>
      <c r="G706">
        <v>34</v>
      </c>
      <c r="H706">
        <v>36</v>
      </c>
      <c r="I706">
        <v>17.649999999999999</v>
      </c>
      <c r="J706">
        <v>6.8</v>
      </c>
      <c r="K706">
        <v>1.1499999999999999</v>
      </c>
      <c r="L706">
        <v>0.60599999999999998</v>
      </c>
      <c r="M706">
        <v>0.11</v>
      </c>
      <c r="N706" s="21">
        <v>3.9814492753623187</v>
      </c>
      <c r="O706" s="21">
        <v>6.8894685990338171</v>
      </c>
      <c r="P706" s="21">
        <v>3.9814492753623187</v>
      </c>
      <c r="Q706" s="21" t="s">
        <v>547</v>
      </c>
      <c r="S706" t="s">
        <v>547</v>
      </c>
    </row>
    <row r="707" spans="1:19" x14ac:dyDescent="0.2">
      <c r="A707">
        <v>718</v>
      </c>
      <c r="B707" t="s">
        <v>242</v>
      </c>
      <c r="C707" t="s">
        <v>242</v>
      </c>
      <c r="D707" t="s">
        <v>16</v>
      </c>
      <c r="E707" t="s">
        <v>9</v>
      </c>
      <c r="F707" t="s">
        <v>11</v>
      </c>
      <c r="G707">
        <v>27</v>
      </c>
      <c r="H707">
        <v>31</v>
      </c>
      <c r="I707">
        <v>16.149999999999999</v>
      </c>
      <c r="J707">
        <v>7.65</v>
      </c>
      <c r="K707">
        <v>1.1499999999999999</v>
      </c>
      <c r="L707">
        <v>0.60599999999999998</v>
      </c>
      <c r="M707">
        <v>0.11</v>
      </c>
      <c r="N707" s="21">
        <v>4.4791304347826086</v>
      </c>
      <c r="O707" s="21">
        <v>6.3039613526570051</v>
      </c>
      <c r="P707" s="21">
        <v>4.4791304347826086</v>
      </c>
      <c r="Q707" s="21" t="s">
        <v>547</v>
      </c>
      <c r="S707" t="s">
        <v>547</v>
      </c>
    </row>
    <row r="708" spans="1:19" x14ac:dyDescent="0.2">
      <c r="A708">
        <v>719</v>
      </c>
      <c r="B708" t="s">
        <v>242</v>
      </c>
      <c r="C708" t="s">
        <v>242</v>
      </c>
      <c r="D708" t="s">
        <v>16</v>
      </c>
      <c r="E708" t="s">
        <v>9</v>
      </c>
      <c r="F708" t="s">
        <v>12</v>
      </c>
      <c r="G708">
        <v>22</v>
      </c>
      <c r="H708">
        <v>19</v>
      </c>
      <c r="I708">
        <v>15.55</v>
      </c>
      <c r="J708">
        <v>4.25</v>
      </c>
      <c r="K708">
        <v>0.85</v>
      </c>
      <c r="L708">
        <v>0.437</v>
      </c>
      <c r="M708">
        <v>8.8999999999999996E-2</v>
      </c>
      <c r="N708" s="21">
        <v>2.427777777777778</v>
      </c>
      <c r="O708" s="21">
        <v>5.9218736383442279</v>
      </c>
      <c r="P708" s="21" t="s">
        <v>547</v>
      </c>
      <c r="Q708" s="21">
        <v>2.427777777777778</v>
      </c>
      <c r="S708" t="s">
        <v>547</v>
      </c>
    </row>
    <row r="709" spans="1:19" x14ac:dyDescent="0.2">
      <c r="A709">
        <v>720</v>
      </c>
      <c r="B709" t="s">
        <v>242</v>
      </c>
      <c r="C709" t="s">
        <v>242</v>
      </c>
      <c r="D709" t="s">
        <v>16</v>
      </c>
      <c r="E709" t="s">
        <v>9</v>
      </c>
      <c r="F709" t="s">
        <v>14</v>
      </c>
      <c r="G709">
        <v>21</v>
      </c>
      <c r="H709">
        <v>22</v>
      </c>
      <c r="I709">
        <v>14.85</v>
      </c>
      <c r="J709">
        <v>4.0999999999999996</v>
      </c>
      <c r="K709">
        <v>0.85</v>
      </c>
      <c r="L709">
        <v>0.437</v>
      </c>
      <c r="M709">
        <v>8.8999999999999996E-2</v>
      </c>
      <c r="N709" s="21">
        <v>2.3420915032679739</v>
      </c>
      <c r="O709" s="21">
        <v>5.6552941176470597</v>
      </c>
      <c r="P709" s="21" t="s">
        <v>547</v>
      </c>
      <c r="Q709" s="21">
        <v>2.3420915032679739</v>
      </c>
      <c r="S709" t="s">
        <v>547</v>
      </c>
    </row>
    <row r="710" spans="1:19" x14ac:dyDescent="0.2">
      <c r="A710">
        <v>721</v>
      </c>
      <c r="B710" t="s">
        <v>243</v>
      </c>
      <c r="C710" t="s">
        <v>243</v>
      </c>
      <c r="D710" t="s">
        <v>16</v>
      </c>
      <c r="E710" t="s">
        <v>9</v>
      </c>
      <c r="F710" t="s">
        <v>10</v>
      </c>
      <c r="G710">
        <v>43</v>
      </c>
      <c r="H710">
        <v>31</v>
      </c>
      <c r="I710">
        <v>14.1</v>
      </c>
      <c r="J710">
        <v>5</v>
      </c>
      <c r="K710">
        <v>0.95</v>
      </c>
      <c r="L710">
        <v>0.45</v>
      </c>
      <c r="M710">
        <v>0.08</v>
      </c>
      <c r="N710" s="21">
        <v>2.6315789473684212</v>
      </c>
      <c r="O710" s="21">
        <v>4.9473684210526319</v>
      </c>
      <c r="P710" s="21">
        <v>2.6315789473684212</v>
      </c>
      <c r="Q710" s="21" t="s">
        <v>547</v>
      </c>
      <c r="S710" t="s">
        <v>547</v>
      </c>
    </row>
    <row r="711" spans="1:19" x14ac:dyDescent="0.2">
      <c r="A711">
        <v>722</v>
      </c>
      <c r="B711" t="s">
        <v>243</v>
      </c>
      <c r="C711" t="s">
        <v>243</v>
      </c>
      <c r="D711" t="s">
        <v>16</v>
      </c>
      <c r="E711" t="s">
        <v>9</v>
      </c>
      <c r="F711" t="s">
        <v>11</v>
      </c>
      <c r="G711">
        <v>43</v>
      </c>
      <c r="H711">
        <v>35</v>
      </c>
      <c r="I711">
        <v>16</v>
      </c>
      <c r="J711">
        <v>3.9</v>
      </c>
      <c r="K711">
        <v>0.95</v>
      </c>
      <c r="L711">
        <v>0.45</v>
      </c>
      <c r="M711">
        <v>0.08</v>
      </c>
      <c r="N711" s="21">
        <v>2.0526315789473686</v>
      </c>
      <c r="O711" s="21">
        <v>5.6140350877192988</v>
      </c>
      <c r="P711" s="21">
        <v>2.0526315789473686</v>
      </c>
      <c r="Q711" s="21" t="s">
        <v>547</v>
      </c>
      <c r="S711" t="s">
        <v>547</v>
      </c>
    </row>
    <row r="712" spans="1:19" x14ac:dyDescent="0.2">
      <c r="A712">
        <v>723</v>
      </c>
      <c r="B712" t="s">
        <v>243</v>
      </c>
      <c r="C712" t="s">
        <v>243</v>
      </c>
      <c r="D712" t="s">
        <v>16</v>
      </c>
      <c r="E712" t="s">
        <v>9</v>
      </c>
      <c r="F712" t="s">
        <v>12</v>
      </c>
      <c r="G712">
        <v>36</v>
      </c>
      <c r="H712">
        <v>38</v>
      </c>
      <c r="I712">
        <v>14.2</v>
      </c>
      <c r="J712">
        <v>4.3499999999999996</v>
      </c>
      <c r="K712">
        <v>0.95</v>
      </c>
      <c r="L712">
        <v>0.47399999999999998</v>
      </c>
      <c r="M712">
        <v>0.107</v>
      </c>
      <c r="N712" s="21">
        <v>2.411578947368421</v>
      </c>
      <c r="O712" s="21">
        <v>5.2481871345029241</v>
      </c>
      <c r="P712" s="21" t="s">
        <v>547</v>
      </c>
      <c r="Q712" s="21">
        <v>2.411578947368421</v>
      </c>
      <c r="S712" t="s">
        <v>547</v>
      </c>
    </row>
    <row r="713" spans="1:19" x14ac:dyDescent="0.2">
      <c r="A713">
        <v>724</v>
      </c>
      <c r="B713" t="s">
        <v>243</v>
      </c>
      <c r="C713" t="s">
        <v>243</v>
      </c>
      <c r="D713" t="s">
        <v>16</v>
      </c>
      <c r="E713" t="s">
        <v>9</v>
      </c>
      <c r="F713" t="s">
        <v>14</v>
      </c>
      <c r="G713">
        <v>33</v>
      </c>
      <c r="H713">
        <v>26</v>
      </c>
      <c r="I713">
        <v>15.35</v>
      </c>
      <c r="J713">
        <v>4.4000000000000004</v>
      </c>
      <c r="K713">
        <v>0.95</v>
      </c>
      <c r="L713">
        <v>0.47399999999999998</v>
      </c>
      <c r="M713">
        <v>0.107</v>
      </c>
      <c r="N713" s="21">
        <v>2.4392982456140353</v>
      </c>
      <c r="O713" s="21">
        <v>5.6732163742690069</v>
      </c>
      <c r="P713" s="21" t="s">
        <v>547</v>
      </c>
      <c r="Q713" s="21">
        <v>2.4392982456140353</v>
      </c>
      <c r="S713" t="s">
        <v>547</v>
      </c>
    </row>
    <row r="714" spans="1:19" x14ac:dyDescent="0.2">
      <c r="A714">
        <v>725</v>
      </c>
      <c r="B714" t="s">
        <v>244</v>
      </c>
      <c r="C714" t="s">
        <v>379</v>
      </c>
      <c r="D714" t="s">
        <v>16</v>
      </c>
      <c r="E714" t="s">
        <v>9</v>
      </c>
      <c r="F714" t="s">
        <v>10</v>
      </c>
      <c r="G714">
        <v>20</v>
      </c>
      <c r="H714">
        <v>20</v>
      </c>
      <c r="I714">
        <v>12.65</v>
      </c>
      <c r="J714">
        <v>4.75</v>
      </c>
      <c r="K714">
        <v>1</v>
      </c>
      <c r="L714">
        <v>0.56200000000000006</v>
      </c>
      <c r="M714">
        <v>8.5999999999999993E-2</v>
      </c>
      <c r="N714" s="21">
        <v>2.9661111111111116</v>
      </c>
      <c r="O714" s="21">
        <v>5.2661481481481491</v>
      </c>
      <c r="P714" s="21">
        <v>2.9661111111111116</v>
      </c>
      <c r="Q714" s="21" t="s">
        <v>547</v>
      </c>
      <c r="S714" t="s">
        <v>547</v>
      </c>
    </row>
    <row r="715" spans="1:19" x14ac:dyDescent="0.2">
      <c r="A715">
        <v>726</v>
      </c>
      <c r="B715" t="s">
        <v>244</v>
      </c>
      <c r="C715" t="s">
        <v>379</v>
      </c>
      <c r="D715" t="s">
        <v>16</v>
      </c>
      <c r="E715" t="s">
        <v>9</v>
      </c>
      <c r="F715" t="s">
        <v>11</v>
      </c>
      <c r="G715">
        <v>37</v>
      </c>
      <c r="H715">
        <v>29</v>
      </c>
      <c r="I715">
        <v>18.75</v>
      </c>
      <c r="J715">
        <v>4.6500000000000004</v>
      </c>
      <c r="K715">
        <v>1</v>
      </c>
      <c r="L715">
        <v>0.56200000000000006</v>
      </c>
      <c r="M715">
        <v>8.5999999999999993E-2</v>
      </c>
      <c r="N715" s="21">
        <v>2.9036666666666675</v>
      </c>
      <c r="O715" s="21">
        <v>7.8055555555555562</v>
      </c>
      <c r="P715" s="21">
        <v>2.9036666666666675</v>
      </c>
      <c r="Q715" s="21" t="s">
        <v>547</v>
      </c>
      <c r="S715" t="s">
        <v>547</v>
      </c>
    </row>
    <row r="716" spans="1:19" x14ac:dyDescent="0.2">
      <c r="A716">
        <v>727</v>
      </c>
      <c r="B716" t="s">
        <v>244</v>
      </c>
      <c r="C716" t="s">
        <v>379</v>
      </c>
      <c r="D716" t="s">
        <v>16</v>
      </c>
      <c r="E716" t="s">
        <v>9</v>
      </c>
      <c r="F716" t="s">
        <v>12</v>
      </c>
      <c r="G716">
        <v>25</v>
      </c>
      <c r="H716">
        <v>21</v>
      </c>
      <c r="I716">
        <v>10.6</v>
      </c>
      <c r="J716">
        <v>3.35</v>
      </c>
      <c r="K716">
        <v>1.2</v>
      </c>
      <c r="L716">
        <v>0.57099999999999995</v>
      </c>
      <c r="M716">
        <v>0.109</v>
      </c>
      <c r="N716" s="21">
        <v>1.7711574074074077</v>
      </c>
      <c r="O716" s="21">
        <v>3.7361728395061733</v>
      </c>
      <c r="P716" s="21" t="s">
        <v>547</v>
      </c>
      <c r="Q716" s="21">
        <v>1.7711574074074077</v>
      </c>
      <c r="S716" t="s">
        <v>547</v>
      </c>
    </row>
    <row r="717" spans="1:19" x14ac:dyDescent="0.2">
      <c r="A717">
        <v>728</v>
      </c>
      <c r="B717" t="s">
        <v>244</v>
      </c>
      <c r="C717" t="s">
        <v>379</v>
      </c>
      <c r="D717" t="s">
        <v>16</v>
      </c>
      <c r="E717" t="s">
        <v>9</v>
      </c>
      <c r="F717" t="s">
        <v>14</v>
      </c>
      <c r="G717">
        <v>30</v>
      </c>
      <c r="H717">
        <v>21</v>
      </c>
      <c r="I717">
        <v>12.8</v>
      </c>
      <c r="J717">
        <v>2.4</v>
      </c>
      <c r="K717">
        <v>1.2</v>
      </c>
      <c r="L717">
        <v>0.57099999999999995</v>
      </c>
      <c r="M717">
        <v>0.109</v>
      </c>
      <c r="N717" s="21">
        <v>1.2688888888888887</v>
      </c>
      <c r="O717" s="21">
        <v>4.5116049382716064</v>
      </c>
      <c r="P717" s="21" t="s">
        <v>547</v>
      </c>
      <c r="Q717" s="21">
        <v>1.2688888888888887</v>
      </c>
      <c r="S717" t="s">
        <v>547</v>
      </c>
    </row>
    <row r="718" spans="1:19" x14ac:dyDescent="0.2">
      <c r="A718">
        <v>729</v>
      </c>
      <c r="B718" t="s">
        <v>245</v>
      </c>
      <c r="C718" t="s">
        <v>380</v>
      </c>
      <c r="D718" t="s">
        <v>16</v>
      </c>
      <c r="E718" t="s">
        <v>9</v>
      </c>
      <c r="F718" t="s">
        <v>10</v>
      </c>
      <c r="G718">
        <v>36</v>
      </c>
      <c r="H718">
        <v>25</v>
      </c>
      <c r="I718">
        <v>7.68</v>
      </c>
      <c r="J718">
        <v>2.48</v>
      </c>
      <c r="K718">
        <v>0.48</v>
      </c>
      <c r="L718">
        <v>0.3</v>
      </c>
      <c r="M718">
        <v>0.08</v>
      </c>
      <c r="N718" s="21">
        <v>1.7222222222222223</v>
      </c>
      <c r="O718" s="21">
        <v>3.5555555555555558</v>
      </c>
      <c r="P718" s="21">
        <v>1.7222222222222223</v>
      </c>
      <c r="Q718" s="21" t="s">
        <v>547</v>
      </c>
      <c r="S718" t="s">
        <v>547</v>
      </c>
    </row>
    <row r="719" spans="1:19" x14ac:dyDescent="0.2">
      <c r="A719">
        <v>730</v>
      </c>
      <c r="B719" t="s">
        <v>245</v>
      </c>
      <c r="C719" t="s">
        <v>380</v>
      </c>
      <c r="D719" t="s">
        <v>16</v>
      </c>
      <c r="E719" t="s">
        <v>9</v>
      </c>
      <c r="F719" t="s">
        <v>11</v>
      </c>
      <c r="G719">
        <v>34</v>
      </c>
      <c r="H719">
        <v>31</v>
      </c>
      <c r="I719">
        <v>6.33</v>
      </c>
      <c r="J719">
        <v>2.83</v>
      </c>
      <c r="K719">
        <v>0.48</v>
      </c>
      <c r="L719">
        <v>0.3</v>
      </c>
      <c r="M719">
        <v>0.08</v>
      </c>
      <c r="N719" s="21">
        <v>1.9652777777777779</v>
      </c>
      <c r="O719" s="21">
        <v>2.9305555555555558</v>
      </c>
      <c r="P719" s="21">
        <v>1.9652777777777779</v>
      </c>
      <c r="Q719" s="21" t="s">
        <v>547</v>
      </c>
      <c r="S719" t="s">
        <v>547</v>
      </c>
    </row>
    <row r="720" spans="1:19" x14ac:dyDescent="0.2">
      <c r="A720">
        <v>731</v>
      </c>
      <c r="B720" t="s">
        <v>245</v>
      </c>
      <c r="C720" t="s">
        <v>380</v>
      </c>
      <c r="D720" t="s">
        <v>16</v>
      </c>
      <c r="E720" t="s">
        <v>9</v>
      </c>
      <c r="F720" t="s">
        <v>12</v>
      </c>
      <c r="G720">
        <v>34</v>
      </c>
      <c r="H720">
        <v>30</v>
      </c>
      <c r="I720">
        <v>9.0500000000000007</v>
      </c>
      <c r="J720">
        <v>4.82</v>
      </c>
      <c r="K720">
        <v>0.7</v>
      </c>
      <c r="L720">
        <v>0.44500000000000001</v>
      </c>
      <c r="M720">
        <v>7.3999999999999996E-2</v>
      </c>
      <c r="N720" s="21">
        <v>3.4046031746031753</v>
      </c>
      <c r="O720" s="21">
        <v>4.2616402116402128</v>
      </c>
      <c r="P720" s="21" t="s">
        <v>547</v>
      </c>
      <c r="Q720" s="21">
        <v>3.4046031746031753</v>
      </c>
      <c r="S720" t="s">
        <v>547</v>
      </c>
    </row>
    <row r="721" spans="1:19" x14ac:dyDescent="0.2">
      <c r="A721">
        <v>732</v>
      </c>
      <c r="B721" t="s">
        <v>245</v>
      </c>
      <c r="C721" t="s">
        <v>380</v>
      </c>
      <c r="D721" t="s">
        <v>16</v>
      </c>
      <c r="E721" t="s">
        <v>9</v>
      </c>
      <c r="F721" t="s">
        <v>14</v>
      </c>
      <c r="G721">
        <v>40</v>
      </c>
      <c r="H721">
        <v>39</v>
      </c>
      <c r="I721">
        <v>11.73</v>
      </c>
      <c r="J721">
        <v>7.69</v>
      </c>
      <c r="K721">
        <v>0.7</v>
      </c>
      <c r="L721">
        <v>0.44500000000000001</v>
      </c>
      <c r="M721">
        <v>7.3999999999999996E-2</v>
      </c>
      <c r="N721" s="21">
        <v>5.4318253968253982</v>
      </c>
      <c r="O721" s="21">
        <v>5.5236507936507957</v>
      </c>
      <c r="P721" s="21" t="s">
        <v>547</v>
      </c>
      <c r="Q721" s="21">
        <v>5.4318253968253982</v>
      </c>
      <c r="S721" t="s">
        <v>547</v>
      </c>
    </row>
    <row r="722" spans="1:19" x14ac:dyDescent="0.2">
      <c r="A722">
        <v>733</v>
      </c>
      <c r="B722" t="s">
        <v>246</v>
      </c>
      <c r="C722" t="s">
        <v>246</v>
      </c>
      <c r="D722" t="s">
        <v>16</v>
      </c>
      <c r="E722" t="s">
        <v>9</v>
      </c>
      <c r="F722" t="s">
        <v>10</v>
      </c>
      <c r="G722">
        <v>26</v>
      </c>
      <c r="H722">
        <v>25</v>
      </c>
      <c r="I722">
        <v>12.2</v>
      </c>
      <c r="J722">
        <v>7.7</v>
      </c>
      <c r="K722">
        <v>1.3</v>
      </c>
      <c r="L722">
        <v>0.72699999999999998</v>
      </c>
      <c r="M722">
        <v>8.7999999999999995E-2</v>
      </c>
      <c r="N722" s="21">
        <v>4.7845299145299149</v>
      </c>
      <c r="O722" s="21">
        <v>5.0537891737891725</v>
      </c>
      <c r="P722" s="21">
        <v>4.7845299145299149</v>
      </c>
      <c r="Q722" s="21" t="s">
        <v>547</v>
      </c>
      <c r="S722" t="s">
        <v>547</v>
      </c>
    </row>
    <row r="723" spans="1:19" x14ac:dyDescent="0.2">
      <c r="A723">
        <v>734</v>
      </c>
      <c r="B723" t="s">
        <v>246</v>
      </c>
      <c r="C723" t="s">
        <v>246</v>
      </c>
      <c r="D723" t="s">
        <v>16</v>
      </c>
      <c r="E723" t="s">
        <v>9</v>
      </c>
      <c r="F723" t="s">
        <v>11</v>
      </c>
      <c r="G723">
        <v>36</v>
      </c>
      <c r="H723">
        <v>33</v>
      </c>
      <c r="I723">
        <v>17.25</v>
      </c>
      <c r="J723">
        <v>10.7</v>
      </c>
      <c r="K723">
        <v>1.3</v>
      </c>
      <c r="L723">
        <v>0.72699999999999998</v>
      </c>
      <c r="M723">
        <v>8.7999999999999995E-2</v>
      </c>
      <c r="N723" s="21">
        <v>6.6486324786324777</v>
      </c>
      <c r="O723" s="21">
        <v>7.1457264957264943</v>
      </c>
      <c r="P723" s="21">
        <v>6.6486324786324777</v>
      </c>
      <c r="Q723" s="21" t="s">
        <v>547</v>
      </c>
      <c r="S723" t="s">
        <v>547</v>
      </c>
    </row>
    <row r="724" spans="1:19" x14ac:dyDescent="0.2">
      <c r="A724">
        <v>735</v>
      </c>
      <c r="B724" t="s">
        <v>246</v>
      </c>
      <c r="C724" t="s">
        <v>246</v>
      </c>
      <c r="D724" t="s">
        <v>16</v>
      </c>
      <c r="E724" t="s">
        <v>9</v>
      </c>
      <c r="F724" t="s">
        <v>12</v>
      </c>
      <c r="G724">
        <v>36</v>
      </c>
      <c r="H724">
        <v>36</v>
      </c>
      <c r="I724">
        <v>14</v>
      </c>
      <c r="J724">
        <v>9.75</v>
      </c>
      <c r="K724">
        <v>1.05</v>
      </c>
      <c r="L724">
        <v>0.68799999999999994</v>
      </c>
      <c r="M724">
        <v>0.11899999999999999</v>
      </c>
      <c r="N724" s="21">
        <v>7.0984126984126981</v>
      </c>
      <c r="O724" s="21">
        <v>6.7950617283950603</v>
      </c>
      <c r="P724" s="21" t="s">
        <v>547</v>
      </c>
      <c r="Q724" s="21">
        <v>7.0984126984126981</v>
      </c>
      <c r="S724" t="s">
        <v>547</v>
      </c>
    </row>
    <row r="725" spans="1:19" x14ac:dyDescent="0.2">
      <c r="A725">
        <v>736</v>
      </c>
      <c r="B725" t="s">
        <v>246</v>
      </c>
      <c r="C725" t="s">
        <v>246</v>
      </c>
      <c r="D725" t="s">
        <v>16</v>
      </c>
      <c r="E725" t="s">
        <v>9</v>
      </c>
      <c r="F725" t="s">
        <v>14</v>
      </c>
      <c r="G725">
        <v>33</v>
      </c>
      <c r="H725">
        <v>34</v>
      </c>
      <c r="I725">
        <v>19.2</v>
      </c>
      <c r="J725">
        <v>11.7</v>
      </c>
      <c r="K725">
        <v>1.05</v>
      </c>
      <c r="L725">
        <v>0.68799999999999994</v>
      </c>
      <c r="M725">
        <v>0.11899999999999999</v>
      </c>
      <c r="N725" s="21">
        <v>8.5180952380952384</v>
      </c>
      <c r="O725" s="21">
        <v>9.3189417989417969</v>
      </c>
      <c r="P725" s="21" t="s">
        <v>547</v>
      </c>
      <c r="Q725" s="21">
        <v>8.5180952380952384</v>
      </c>
      <c r="S725" t="s">
        <v>547</v>
      </c>
    </row>
    <row r="726" spans="1:19" x14ac:dyDescent="0.2">
      <c r="A726">
        <v>737</v>
      </c>
      <c r="B726" t="s">
        <v>381</v>
      </c>
      <c r="C726" t="s">
        <v>381</v>
      </c>
      <c r="D726" t="s">
        <v>16</v>
      </c>
      <c r="E726" t="s">
        <v>9</v>
      </c>
      <c r="F726" t="s">
        <v>10</v>
      </c>
      <c r="G726">
        <v>35</v>
      </c>
      <c r="H726">
        <v>30</v>
      </c>
      <c r="I726">
        <v>11.75</v>
      </c>
      <c r="J726">
        <v>4.2</v>
      </c>
      <c r="K726">
        <v>0.6</v>
      </c>
      <c r="L726">
        <v>0.45100000000000001</v>
      </c>
      <c r="M726">
        <v>0.10100000000000001</v>
      </c>
      <c r="N726" s="21">
        <v>3.5077777777777785</v>
      </c>
      <c r="O726" s="21">
        <v>6.5422839506172856</v>
      </c>
      <c r="P726" s="21">
        <v>3.5077777777777785</v>
      </c>
      <c r="Q726" s="21" t="s">
        <v>547</v>
      </c>
      <c r="S726" t="s">
        <v>547</v>
      </c>
    </row>
    <row r="727" spans="1:19" x14ac:dyDescent="0.2">
      <c r="A727">
        <v>738</v>
      </c>
      <c r="B727" t="s">
        <v>381</v>
      </c>
      <c r="C727" t="s">
        <v>381</v>
      </c>
      <c r="D727" t="s">
        <v>16</v>
      </c>
      <c r="E727" t="s">
        <v>9</v>
      </c>
      <c r="F727" t="s">
        <v>11</v>
      </c>
      <c r="G727">
        <v>32</v>
      </c>
      <c r="H727">
        <v>23</v>
      </c>
      <c r="I727">
        <v>10.95</v>
      </c>
      <c r="J727">
        <v>2.4500000000000002</v>
      </c>
      <c r="K727">
        <v>0.6</v>
      </c>
      <c r="L727">
        <v>0.45100000000000001</v>
      </c>
      <c r="M727">
        <v>0.10100000000000001</v>
      </c>
      <c r="N727" s="21">
        <v>2.046203703703704</v>
      </c>
      <c r="O727" s="21">
        <v>6.0968518518518522</v>
      </c>
      <c r="P727" s="21">
        <v>2.046203703703704</v>
      </c>
      <c r="Q727" s="21" t="s">
        <v>547</v>
      </c>
      <c r="S727" t="s">
        <v>547</v>
      </c>
    </row>
    <row r="728" spans="1:19" x14ac:dyDescent="0.2">
      <c r="A728">
        <v>739</v>
      </c>
      <c r="B728" t="s">
        <v>381</v>
      </c>
      <c r="C728" t="s">
        <v>381</v>
      </c>
      <c r="D728" t="s">
        <v>16</v>
      </c>
      <c r="E728" t="s">
        <v>9</v>
      </c>
      <c r="F728" t="s">
        <v>12</v>
      </c>
      <c r="G728">
        <v>20</v>
      </c>
      <c r="H728">
        <v>17</v>
      </c>
      <c r="I728">
        <v>12.95</v>
      </c>
      <c r="J728">
        <v>2.9</v>
      </c>
      <c r="K728">
        <v>0.7</v>
      </c>
      <c r="L728">
        <v>0.36799999999999999</v>
      </c>
      <c r="M728">
        <v>9.9000000000000005E-2</v>
      </c>
      <c r="N728" s="21">
        <v>1.6939682539682539</v>
      </c>
      <c r="O728" s="21">
        <v>5.0429629629629646</v>
      </c>
      <c r="P728" s="21" t="s">
        <v>547</v>
      </c>
      <c r="Q728" s="21">
        <v>1.6939682539682539</v>
      </c>
      <c r="S728" t="s">
        <v>547</v>
      </c>
    </row>
    <row r="729" spans="1:19" x14ac:dyDescent="0.2">
      <c r="A729">
        <v>740</v>
      </c>
      <c r="B729" t="s">
        <v>381</v>
      </c>
      <c r="C729" t="s">
        <v>381</v>
      </c>
      <c r="D729" t="s">
        <v>16</v>
      </c>
      <c r="E729" t="s">
        <v>9</v>
      </c>
      <c r="F729" t="s">
        <v>14</v>
      </c>
      <c r="G729">
        <v>25</v>
      </c>
      <c r="H729">
        <v>20</v>
      </c>
      <c r="I729">
        <v>9.5500000000000007</v>
      </c>
      <c r="J729">
        <v>2.5499999999999998</v>
      </c>
      <c r="K729">
        <v>0.7</v>
      </c>
      <c r="L729">
        <v>0.36799999999999999</v>
      </c>
      <c r="M729">
        <v>9.9000000000000005E-2</v>
      </c>
      <c r="N729" s="21">
        <v>1.4895238095238095</v>
      </c>
      <c r="O729" s="21">
        <v>3.7189417989418003</v>
      </c>
      <c r="P729" s="21" t="s">
        <v>547</v>
      </c>
      <c r="Q729" s="21">
        <v>1.4895238095238095</v>
      </c>
      <c r="S729" t="s">
        <v>547</v>
      </c>
    </row>
    <row r="730" spans="1:19" x14ac:dyDescent="0.2">
      <c r="A730">
        <v>741</v>
      </c>
      <c r="B730" t="s">
        <v>247</v>
      </c>
      <c r="C730" t="s">
        <v>247</v>
      </c>
      <c r="D730" t="s">
        <v>16</v>
      </c>
      <c r="E730" t="s">
        <v>9</v>
      </c>
      <c r="F730" t="s">
        <v>10</v>
      </c>
      <c r="G730">
        <v>36</v>
      </c>
      <c r="H730">
        <v>34</v>
      </c>
      <c r="I730">
        <v>15</v>
      </c>
      <c r="J730">
        <v>7</v>
      </c>
      <c r="K730">
        <v>1.2</v>
      </c>
      <c r="L730">
        <v>0.61599999999999999</v>
      </c>
      <c r="M730">
        <v>9.6000000000000002E-2</v>
      </c>
      <c r="N730" s="21">
        <v>3.9925925925925929</v>
      </c>
      <c r="O730" s="21">
        <v>5.7037037037037042</v>
      </c>
      <c r="P730" s="21">
        <v>3.9925925925925929</v>
      </c>
      <c r="Q730" s="21" t="s">
        <v>547</v>
      </c>
      <c r="S730" t="s">
        <v>547</v>
      </c>
    </row>
    <row r="731" spans="1:19" x14ac:dyDescent="0.2">
      <c r="A731">
        <v>742</v>
      </c>
      <c r="B731" t="s">
        <v>247</v>
      </c>
      <c r="C731" t="s">
        <v>247</v>
      </c>
      <c r="D731" t="s">
        <v>16</v>
      </c>
      <c r="E731" t="s">
        <v>9</v>
      </c>
      <c r="F731" t="s">
        <v>11</v>
      </c>
      <c r="G731">
        <v>37</v>
      </c>
      <c r="H731">
        <v>29</v>
      </c>
      <c r="I731">
        <v>14.35</v>
      </c>
      <c r="J731">
        <v>7</v>
      </c>
      <c r="K731">
        <v>1.2</v>
      </c>
      <c r="L731">
        <v>0.61599999999999999</v>
      </c>
      <c r="M731">
        <v>9.6000000000000002E-2</v>
      </c>
      <c r="N731" s="21">
        <v>3.9925925925925929</v>
      </c>
      <c r="O731" s="21">
        <v>5.4565432098765445</v>
      </c>
      <c r="P731" s="21">
        <v>3.9925925925925929</v>
      </c>
      <c r="Q731" s="21" t="s">
        <v>547</v>
      </c>
      <c r="S731" t="s">
        <v>547</v>
      </c>
    </row>
    <row r="732" spans="1:19" x14ac:dyDescent="0.2">
      <c r="A732">
        <v>743</v>
      </c>
      <c r="B732" t="s">
        <v>247</v>
      </c>
      <c r="C732" t="s">
        <v>247</v>
      </c>
      <c r="D732" t="s">
        <v>16</v>
      </c>
      <c r="E732" t="s">
        <v>9</v>
      </c>
      <c r="F732" t="s">
        <v>12</v>
      </c>
      <c r="G732">
        <v>30</v>
      </c>
      <c r="H732">
        <v>31</v>
      </c>
      <c r="I732">
        <v>10.55</v>
      </c>
      <c r="J732">
        <v>8.25</v>
      </c>
      <c r="K732">
        <v>1.2</v>
      </c>
      <c r="L732">
        <v>0.71499999999999997</v>
      </c>
      <c r="M732">
        <v>9.7000000000000003E-2</v>
      </c>
      <c r="N732" s="21">
        <v>5.4618055555555562</v>
      </c>
      <c r="O732" s="21">
        <v>4.6563271604938281</v>
      </c>
      <c r="P732" s="21" t="s">
        <v>547</v>
      </c>
      <c r="Q732" s="21">
        <v>5.4618055555555562</v>
      </c>
      <c r="S732" t="s">
        <v>547</v>
      </c>
    </row>
    <row r="733" spans="1:19" x14ac:dyDescent="0.2">
      <c r="A733">
        <v>744</v>
      </c>
      <c r="B733" t="s">
        <v>247</v>
      </c>
      <c r="C733" t="s">
        <v>247</v>
      </c>
      <c r="D733" t="s">
        <v>16</v>
      </c>
      <c r="E733" t="s">
        <v>9</v>
      </c>
      <c r="F733" t="s">
        <v>14</v>
      </c>
      <c r="G733">
        <v>28</v>
      </c>
      <c r="H733">
        <v>27</v>
      </c>
      <c r="I733">
        <v>10.4</v>
      </c>
      <c r="J733">
        <v>5.05</v>
      </c>
      <c r="K733">
        <v>1.2</v>
      </c>
      <c r="L733">
        <v>0.71499999999999997</v>
      </c>
      <c r="M733">
        <v>9.7000000000000003E-2</v>
      </c>
      <c r="N733" s="21">
        <v>3.3432870370370371</v>
      </c>
      <c r="O733" s="21">
        <v>4.5901234567901241</v>
      </c>
      <c r="P733" s="21" t="s">
        <v>547</v>
      </c>
      <c r="Q733" s="21">
        <v>3.3432870370370371</v>
      </c>
      <c r="S733" t="s">
        <v>547</v>
      </c>
    </row>
    <row r="734" spans="1:19" x14ac:dyDescent="0.2">
      <c r="A734">
        <v>745</v>
      </c>
      <c r="B734" t="s">
        <v>248</v>
      </c>
      <c r="C734" t="s">
        <v>427</v>
      </c>
      <c r="D734" t="s">
        <v>16</v>
      </c>
      <c r="E734" t="s">
        <v>9</v>
      </c>
      <c r="F734" t="s">
        <v>10</v>
      </c>
      <c r="G734">
        <v>26</v>
      </c>
      <c r="H734">
        <v>27</v>
      </c>
      <c r="I734">
        <v>7.2</v>
      </c>
      <c r="J734">
        <v>4.4000000000000004</v>
      </c>
      <c r="K734">
        <v>1</v>
      </c>
      <c r="L734">
        <v>0.56899999999999995</v>
      </c>
      <c r="M734">
        <v>8.5000000000000006E-2</v>
      </c>
      <c r="N734" s="21">
        <v>2.7817777777777781</v>
      </c>
      <c r="O734" s="21">
        <v>3.0346666666666668</v>
      </c>
      <c r="P734" s="21">
        <v>2.7817777777777781</v>
      </c>
      <c r="Q734" s="21" t="s">
        <v>547</v>
      </c>
      <c r="S734" t="s">
        <v>547</v>
      </c>
    </row>
    <row r="735" spans="1:19" x14ac:dyDescent="0.2">
      <c r="A735">
        <v>746</v>
      </c>
      <c r="B735" t="s">
        <v>248</v>
      </c>
      <c r="C735" t="s">
        <v>427</v>
      </c>
      <c r="D735" t="s">
        <v>16</v>
      </c>
      <c r="E735" t="s">
        <v>9</v>
      </c>
      <c r="F735" t="s">
        <v>11</v>
      </c>
      <c r="G735">
        <v>35</v>
      </c>
      <c r="H735">
        <v>44</v>
      </c>
      <c r="I735">
        <v>15.4</v>
      </c>
      <c r="J735">
        <v>7.8</v>
      </c>
      <c r="K735">
        <v>1</v>
      </c>
      <c r="L735">
        <v>0.56899999999999995</v>
      </c>
      <c r="M735">
        <v>8.5000000000000006E-2</v>
      </c>
      <c r="N735" s="21">
        <v>4.9313333333333329</v>
      </c>
      <c r="O735" s="21">
        <v>6.490814814814815</v>
      </c>
      <c r="P735" s="21">
        <v>4.9313333333333329</v>
      </c>
      <c r="Q735" s="21" t="s">
        <v>547</v>
      </c>
      <c r="S735" t="s">
        <v>547</v>
      </c>
    </row>
    <row r="736" spans="1:19" x14ac:dyDescent="0.2">
      <c r="A736">
        <v>747</v>
      </c>
      <c r="B736" t="s">
        <v>248</v>
      </c>
      <c r="C736" t="s">
        <v>427</v>
      </c>
      <c r="D736" t="s">
        <v>16</v>
      </c>
      <c r="E736" t="s">
        <v>9</v>
      </c>
      <c r="F736" t="s">
        <v>12</v>
      </c>
      <c r="G736">
        <v>18</v>
      </c>
      <c r="H736">
        <v>20</v>
      </c>
      <c r="I736">
        <v>11.6</v>
      </c>
      <c r="J736">
        <v>5.45</v>
      </c>
      <c r="K736">
        <v>1</v>
      </c>
      <c r="L736">
        <v>0.501</v>
      </c>
      <c r="M736">
        <v>0.10199999999999999</v>
      </c>
      <c r="N736" s="21">
        <v>3.0338333333333338</v>
      </c>
      <c r="O736" s="21">
        <v>4.3048888888888888</v>
      </c>
      <c r="P736" s="21" t="s">
        <v>547</v>
      </c>
      <c r="Q736" s="21">
        <v>3.0338333333333338</v>
      </c>
      <c r="S736" t="s">
        <v>547</v>
      </c>
    </row>
    <row r="737" spans="1:19" x14ac:dyDescent="0.2">
      <c r="A737">
        <v>748</v>
      </c>
      <c r="B737" t="s">
        <v>248</v>
      </c>
      <c r="C737" t="s">
        <v>427</v>
      </c>
      <c r="D737" t="s">
        <v>16</v>
      </c>
      <c r="E737" t="s">
        <v>9</v>
      </c>
      <c r="F737" t="s">
        <v>14</v>
      </c>
      <c r="G737">
        <v>18</v>
      </c>
      <c r="H737">
        <v>20</v>
      </c>
      <c r="I737">
        <v>11.6</v>
      </c>
      <c r="J737">
        <v>5.45</v>
      </c>
      <c r="K737">
        <v>1</v>
      </c>
      <c r="L737">
        <v>0.501</v>
      </c>
      <c r="M737">
        <v>0.10199999999999999</v>
      </c>
      <c r="N737" s="21">
        <v>3.0338333333333338</v>
      </c>
      <c r="O737" s="21">
        <v>4.3048888888888888</v>
      </c>
      <c r="P737" s="21" t="s">
        <v>547</v>
      </c>
      <c r="Q737" s="21">
        <v>3.0338333333333338</v>
      </c>
      <c r="S737" t="s">
        <v>547</v>
      </c>
    </row>
    <row r="738" spans="1:19" x14ac:dyDescent="0.2">
      <c r="A738">
        <v>749</v>
      </c>
      <c r="B738" t="s">
        <v>249</v>
      </c>
      <c r="C738" t="s">
        <v>382</v>
      </c>
      <c r="D738" t="s">
        <v>16</v>
      </c>
      <c r="E738" t="s">
        <v>9</v>
      </c>
      <c r="F738" t="s">
        <v>10</v>
      </c>
      <c r="G738">
        <v>18</v>
      </c>
      <c r="H738">
        <v>18</v>
      </c>
      <c r="I738">
        <v>6.45</v>
      </c>
      <c r="J738">
        <v>3.35</v>
      </c>
      <c r="K738">
        <v>0.95</v>
      </c>
      <c r="L738">
        <v>0.52300000000000002</v>
      </c>
      <c r="M738">
        <v>0.129</v>
      </c>
      <c r="N738" s="21">
        <v>2.0491812865497079</v>
      </c>
      <c r="O738" s="21">
        <v>2.6302923976608192</v>
      </c>
      <c r="P738" s="21">
        <v>2.0491812865497079</v>
      </c>
      <c r="Q738" s="21" t="s">
        <v>547</v>
      </c>
      <c r="S738" t="s">
        <v>547</v>
      </c>
    </row>
    <row r="739" spans="1:19" x14ac:dyDescent="0.2">
      <c r="A739">
        <v>750</v>
      </c>
      <c r="B739" t="s">
        <v>249</v>
      </c>
      <c r="C739" t="s">
        <v>382</v>
      </c>
      <c r="D739" t="s">
        <v>16</v>
      </c>
      <c r="E739" t="s">
        <v>9</v>
      </c>
      <c r="F739" t="s">
        <v>11</v>
      </c>
      <c r="G739">
        <v>29</v>
      </c>
      <c r="H739">
        <v>31</v>
      </c>
      <c r="I739">
        <v>8.5500000000000007</v>
      </c>
      <c r="J739">
        <v>4.9000000000000004</v>
      </c>
      <c r="K739">
        <v>0.95</v>
      </c>
      <c r="L739">
        <v>0.52300000000000002</v>
      </c>
      <c r="M739">
        <v>0.129</v>
      </c>
      <c r="N739" s="21">
        <v>2.9973099415204687</v>
      </c>
      <c r="O739" s="21">
        <v>3.4866666666666677</v>
      </c>
      <c r="P739" s="21">
        <v>2.9973099415204687</v>
      </c>
      <c r="Q739" s="21" t="s">
        <v>547</v>
      </c>
      <c r="S739" t="s">
        <v>547</v>
      </c>
    </row>
    <row r="740" spans="1:19" x14ac:dyDescent="0.2">
      <c r="A740">
        <v>751</v>
      </c>
      <c r="B740" t="s">
        <v>249</v>
      </c>
      <c r="C740" t="s">
        <v>382</v>
      </c>
      <c r="D740" t="s">
        <v>16</v>
      </c>
      <c r="E740" t="s">
        <v>9</v>
      </c>
      <c r="F740" t="s">
        <v>12</v>
      </c>
      <c r="G740">
        <v>30</v>
      </c>
      <c r="H740">
        <v>26</v>
      </c>
      <c r="I740">
        <v>10.1</v>
      </c>
      <c r="J740">
        <v>3.4</v>
      </c>
      <c r="K740">
        <v>0.95</v>
      </c>
      <c r="L740">
        <v>0.54500000000000004</v>
      </c>
      <c r="M740">
        <v>0.122</v>
      </c>
      <c r="N740" s="21">
        <v>2.1672514619883048</v>
      </c>
      <c r="O740" s="21">
        <v>4.2920077972709558</v>
      </c>
      <c r="P740" s="21" t="s">
        <v>547</v>
      </c>
      <c r="Q740" s="21">
        <v>2.1672514619883048</v>
      </c>
      <c r="S740" t="s">
        <v>547</v>
      </c>
    </row>
    <row r="741" spans="1:19" x14ac:dyDescent="0.2">
      <c r="A741">
        <v>752</v>
      </c>
      <c r="B741" t="s">
        <v>249</v>
      </c>
      <c r="C741" t="s">
        <v>382</v>
      </c>
      <c r="D741" t="s">
        <v>16</v>
      </c>
      <c r="E741" t="s">
        <v>9</v>
      </c>
      <c r="F741" t="s">
        <v>14</v>
      </c>
      <c r="G741">
        <v>32</v>
      </c>
      <c r="H741">
        <v>30</v>
      </c>
      <c r="I741">
        <v>11.6</v>
      </c>
      <c r="J741">
        <v>3.95</v>
      </c>
      <c r="K741">
        <v>0.95</v>
      </c>
      <c r="L741">
        <v>0.54500000000000004</v>
      </c>
      <c r="M741">
        <v>0.122</v>
      </c>
      <c r="N741" s="21">
        <v>2.5178362573099422</v>
      </c>
      <c r="O741" s="21">
        <v>4.9294346978557515</v>
      </c>
      <c r="P741" s="21" t="s">
        <v>547</v>
      </c>
      <c r="Q741" s="21">
        <v>2.5178362573099422</v>
      </c>
      <c r="S741" t="s">
        <v>547</v>
      </c>
    </row>
    <row r="742" spans="1:19" x14ac:dyDescent="0.2">
      <c r="A742">
        <v>753</v>
      </c>
      <c r="B742" t="s">
        <v>250</v>
      </c>
      <c r="C742" t="s">
        <v>433</v>
      </c>
      <c r="D742" t="s">
        <v>16</v>
      </c>
      <c r="E742" t="s">
        <v>9</v>
      </c>
      <c r="F742" t="s">
        <v>10</v>
      </c>
      <c r="G742">
        <v>26</v>
      </c>
      <c r="H742">
        <v>26</v>
      </c>
      <c r="I742">
        <v>9.85</v>
      </c>
      <c r="J742">
        <v>6.05</v>
      </c>
      <c r="K742">
        <v>0.78</v>
      </c>
      <c r="L742">
        <v>0.72099999999999997</v>
      </c>
      <c r="M742">
        <v>0.14000000000000001</v>
      </c>
      <c r="N742" s="21">
        <v>6.2137464387464378</v>
      </c>
      <c r="O742" s="21">
        <v>6.7443969610636278</v>
      </c>
      <c r="P742" s="21">
        <v>6.2137464387464378</v>
      </c>
      <c r="Q742" s="21" t="s">
        <v>547</v>
      </c>
      <c r="S742" t="s">
        <v>547</v>
      </c>
    </row>
    <row r="743" spans="1:19" x14ac:dyDescent="0.2">
      <c r="A743">
        <v>754</v>
      </c>
      <c r="B743" t="s">
        <v>250</v>
      </c>
      <c r="C743" t="s">
        <v>433</v>
      </c>
      <c r="D743" t="s">
        <v>16</v>
      </c>
      <c r="E743" t="s">
        <v>9</v>
      </c>
      <c r="F743" t="s">
        <v>11</v>
      </c>
      <c r="G743">
        <v>35</v>
      </c>
      <c r="H743">
        <v>33</v>
      </c>
      <c r="I743">
        <v>9.19</v>
      </c>
      <c r="J743">
        <v>6.5</v>
      </c>
      <c r="K743">
        <v>0.78</v>
      </c>
      <c r="L743">
        <v>0.72099999999999997</v>
      </c>
      <c r="M743">
        <v>0.14000000000000001</v>
      </c>
      <c r="N743" s="21">
        <v>6.6759259259259256</v>
      </c>
      <c r="O743" s="21">
        <v>6.2924881291547967</v>
      </c>
      <c r="P743" s="21">
        <v>6.6759259259259256</v>
      </c>
      <c r="Q743" s="21" t="s">
        <v>547</v>
      </c>
      <c r="S743" t="s">
        <v>547</v>
      </c>
    </row>
    <row r="744" spans="1:19" x14ac:dyDescent="0.2">
      <c r="A744">
        <v>755</v>
      </c>
      <c r="B744" t="s">
        <v>250</v>
      </c>
      <c r="C744" t="s">
        <v>433</v>
      </c>
      <c r="D744" t="s">
        <v>16</v>
      </c>
      <c r="E744" t="s">
        <v>9</v>
      </c>
      <c r="F744" t="s">
        <v>12</v>
      </c>
      <c r="G744">
        <v>40</v>
      </c>
      <c r="H744">
        <v>33</v>
      </c>
      <c r="I744">
        <v>6.52</v>
      </c>
      <c r="J744">
        <v>6.87</v>
      </c>
      <c r="K744">
        <v>0.54</v>
      </c>
      <c r="L744">
        <v>0.66800000000000004</v>
      </c>
      <c r="M744">
        <v>0.108</v>
      </c>
      <c r="N744" s="21">
        <v>9.4427160493827156</v>
      </c>
      <c r="O744" s="21">
        <v>5.9744307270233197</v>
      </c>
      <c r="P744" s="21" t="s">
        <v>547</v>
      </c>
      <c r="Q744" s="21">
        <v>9.4427160493827156</v>
      </c>
      <c r="S744" t="s">
        <v>547</v>
      </c>
    </row>
    <row r="745" spans="1:19" x14ac:dyDescent="0.2">
      <c r="A745">
        <v>756</v>
      </c>
      <c r="B745" t="s">
        <v>250</v>
      </c>
      <c r="C745" t="s">
        <v>433</v>
      </c>
      <c r="D745" t="s">
        <v>16</v>
      </c>
      <c r="E745" t="s">
        <v>9</v>
      </c>
      <c r="F745" t="s">
        <v>14</v>
      </c>
      <c r="G745">
        <v>40</v>
      </c>
      <c r="H745">
        <v>32</v>
      </c>
      <c r="I745">
        <v>7.33</v>
      </c>
      <c r="J745">
        <v>9.3000000000000007</v>
      </c>
      <c r="K745">
        <v>0.54</v>
      </c>
      <c r="L745">
        <v>0.66800000000000004</v>
      </c>
      <c r="M745">
        <v>0.108</v>
      </c>
      <c r="N745" s="21">
        <v>12.782716049382717</v>
      </c>
      <c r="O745" s="21">
        <v>6.7166529492455433</v>
      </c>
      <c r="P745" s="21" t="s">
        <v>547</v>
      </c>
      <c r="Q745" s="21">
        <v>12.782716049382717</v>
      </c>
      <c r="S745" t="s">
        <v>547</v>
      </c>
    </row>
    <row r="746" spans="1:19" x14ac:dyDescent="0.2">
      <c r="A746">
        <v>757</v>
      </c>
      <c r="B746" t="s">
        <v>251</v>
      </c>
      <c r="C746" t="s">
        <v>383</v>
      </c>
      <c r="D746" t="s">
        <v>16</v>
      </c>
      <c r="E746" t="s">
        <v>9</v>
      </c>
      <c r="F746" t="s">
        <v>10</v>
      </c>
      <c r="G746">
        <v>32</v>
      </c>
      <c r="H746">
        <v>41</v>
      </c>
      <c r="I746">
        <v>9.6</v>
      </c>
      <c r="J746">
        <v>4.8099999999999996</v>
      </c>
      <c r="K746">
        <v>0.34</v>
      </c>
      <c r="L746">
        <v>0.55200000000000005</v>
      </c>
      <c r="M746">
        <v>9.8000000000000004E-2</v>
      </c>
      <c r="N746" s="21">
        <v>8.67686274509804</v>
      </c>
      <c r="O746" s="21">
        <v>11.54509803921569</v>
      </c>
      <c r="P746" s="21">
        <v>8.67686274509804</v>
      </c>
      <c r="Q746" s="21" t="s">
        <v>547</v>
      </c>
      <c r="S746" t="s">
        <v>547</v>
      </c>
    </row>
    <row r="747" spans="1:19" x14ac:dyDescent="0.2">
      <c r="A747">
        <v>758</v>
      </c>
      <c r="B747" t="s">
        <v>251</v>
      </c>
      <c r="C747" t="s">
        <v>383</v>
      </c>
      <c r="D747" t="s">
        <v>16</v>
      </c>
      <c r="E747" t="s">
        <v>9</v>
      </c>
      <c r="F747" t="s">
        <v>11</v>
      </c>
      <c r="G747">
        <v>39</v>
      </c>
      <c r="H747">
        <v>37</v>
      </c>
      <c r="I747">
        <v>7.82</v>
      </c>
      <c r="J747">
        <v>4.47</v>
      </c>
      <c r="K747">
        <v>0.34</v>
      </c>
      <c r="L747">
        <v>0.55200000000000005</v>
      </c>
      <c r="M747">
        <v>9.8000000000000004E-2</v>
      </c>
      <c r="N747" s="21">
        <v>8.0635294117647067</v>
      </c>
      <c r="O747" s="21">
        <v>9.4044444444444473</v>
      </c>
      <c r="P747" s="21">
        <v>8.0635294117647067</v>
      </c>
      <c r="Q747" s="21" t="s">
        <v>547</v>
      </c>
      <c r="S747" t="s">
        <v>547</v>
      </c>
    </row>
    <row r="748" spans="1:19" x14ac:dyDescent="0.2">
      <c r="A748">
        <v>759</v>
      </c>
      <c r="B748" t="s">
        <v>251</v>
      </c>
      <c r="C748" t="s">
        <v>383</v>
      </c>
      <c r="D748" t="s">
        <v>16</v>
      </c>
      <c r="E748" t="s">
        <v>9</v>
      </c>
      <c r="F748" t="s">
        <v>12</v>
      </c>
      <c r="G748">
        <v>22</v>
      </c>
      <c r="H748">
        <v>19</v>
      </c>
      <c r="I748">
        <v>7.39</v>
      </c>
      <c r="J748">
        <v>2.5499999999999998</v>
      </c>
      <c r="K748">
        <v>0.62</v>
      </c>
      <c r="L748">
        <v>0.46500000000000002</v>
      </c>
      <c r="M748">
        <v>0.10299999999999999</v>
      </c>
      <c r="N748" s="21">
        <v>2.125</v>
      </c>
      <c r="O748" s="21">
        <v>4.105555555555557</v>
      </c>
      <c r="P748" s="21" t="s">
        <v>547</v>
      </c>
      <c r="Q748" s="21">
        <v>2.125</v>
      </c>
      <c r="S748" t="s">
        <v>547</v>
      </c>
    </row>
    <row r="749" spans="1:19" x14ac:dyDescent="0.2">
      <c r="A749">
        <v>760</v>
      </c>
      <c r="B749" t="s">
        <v>251</v>
      </c>
      <c r="C749" t="s">
        <v>383</v>
      </c>
      <c r="D749" t="s">
        <v>16</v>
      </c>
      <c r="E749" t="s">
        <v>9</v>
      </c>
      <c r="F749" t="s">
        <v>14</v>
      </c>
      <c r="G749">
        <v>25</v>
      </c>
      <c r="H749">
        <v>26</v>
      </c>
      <c r="I749">
        <v>4.57</v>
      </c>
      <c r="J749">
        <v>6.17</v>
      </c>
      <c r="K749">
        <v>0.62</v>
      </c>
      <c r="L749">
        <v>0.46500000000000002</v>
      </c>
      <c r="M749">
        <v>0.10299999999999999</v>
      </c>
      <c r="N749" s="21">
        <v>5.1416666666666666</v>
      </c>
      <c r="O749" s="21">
        <v>2.5388888888888896</v>
      </c>
      <c r="P749" s="21" t="s">
        <v>547</v>
      </c>
      <c r="Q749" s="21">
        <v>5.1416666666666666</v>
      </c>
      <c r="S749" t="s">
        <v>547</v>
      </c>
    </row>
    <row r="750" spans="1:19" x14ac:dyDescent="0.2">
      <c r="A750">
        <v>761</v>
      </c>
      <c r="B750" t="s">
        <v>252</v>
      </c>
      <c r="C750" t="s">
        <v>252</v>
      </c>
      <c r="D750" t="s">
        <v>16</v>
      </c>
      <c r="E750" t="s">
        <v>9</v>
      </c>
      <c r="F750" t="s">
        <v>10</v>
      </c>
      <c r="G750">
        <v>27</v>
      </c>
      <c r="H750">
        <v>29</v>
      </c>
      <c r="I750">
        <v>13.05</v>
      </c>
      <c r="J750">
        <v>4.5999999999999996</v>
      </c>
      <c r="K750">
        <v>0.95</v>
      </c>
      <c r="L750">
        <v>0.49199999999999999</v>
      </c>
      <c r="M750">
        <v>0.14599999999999999</v>
      </c>
      <c r="N750" s="21">
        <v>2.6470175438596493</v>
      </c>
      <c r="O750" s="21">
        <v>5.0063157894736854</v>
      </c>
      <c r="P750" s="21">
        <v>2.6470175438596493</v>
      </c>
      <c r="Q750" s="21" t="s">
        <v>547</v>
      </c>
      <c r="S750" t="s">
        <v>547</v>
      </c>
    </row>
    <row r="751" spans="1:19" x14ac:dyDescent="0.2">
      <c r="A751">
        <v>762</v>
      </c>
      <c r="B751" t="s">
        <v>252</v>
      </c>
      <c r="C751" t="s">
        <v>252</v>
      </c>
      <c r="D751" t="s">
        <v>16</v>
      </c>
      <c r="E751" t="s">
        <v>9</v>
      </c>
      <c r="F751" t="s">
        <v>11</v>
      </c>
      <c r="G751">
        <v>41</v>
      </c>
      <c r="H751">
        <v>43</v>
      </c>
      <c r="I751">
        <v>17.149999999999999</v>
      </c>
      <c r="J751">
        <v>5.65</v>
      </c>
      <c r="K751">
        <v>0.95</v>
      </c>
      <c r="L751">
        <v>0.49199999999999999</v>
      </c>
      <c r="M751">
        <v>0.14599999999999999</v>
      </c>
      <c r="N751" s="21">
        <v>3.2512280701754395</v>
      </c>
      <c r="O751" s="21">
        <v>6.5791812865497077</v>
      </c>
      <c r="P751" s="21">
        <v>3.2512280701754395</v>
      </c>
      <c r="Q751" s="21" t="s">
        <v>547</v>
      </c>
      <c r="S751" t="s">
        <v>547</v>
      </c>
    </row>
    <row r="752" spans="1:19" x14ac:dyDescent="0.2">
      <c r="A752">
        <v>763</v>
      </c>
      <c r="B752" t="s">
        <v>252</v>
      </c>
      <c r="C752" t="s">
        <v>252</v>
      </c>
      <c r="D752" t="s">
        <v>16</v>
      </c>
      <c r="E752" t="s">
        <v>9</v>
      </c>
      <c r="F752" t="s">
        <v>12</v>
      </c>
      <c r="G752">
        <v>25</v>
      </c>
      <c r="H752">
        <v>19</v>
      </c>
      <c r="I752">
        <v>7.4</v>
      </c>
      <c r="J752">
        <v>1.4</v>
      </c>
      <c r="K752">
        <v>0.45</v>
      </c>
      <c r="L752">
        <v>0.247</v>
      </c>
      <c r="M752">
        <v>5.1999999999999998E-2</v>
      </c>
      <c r="N752" s="21">
        <v>0.85382716049382712</v>
      </c>
      <c r="O752" s="21">
        <v>3.0087242798353908</v>
      </c>
      <c r="P752" s="21" t="s">
        <v>547</v>
      </c>
      <c r="Q752" s="21">
        <v>0.85382716049382712</v>
      </c>
      <c r="S752" t="s">
        <v>547</v>
      </c>
    </row>
    <row r="753" spans="1:19" x14ac:dyDescent="0.2">
      <c r="A753">
        <v>764</v>
      </c>
      <c r="B753" t="s">
        <v>252</v>
      </c>
      <c r="C753" t="s">
        <v>252</v>
      </c>
      <c r="D753" t="s">
        <v>16</v>
      </c>
      <c r="E753" t="s">
        <v>9</v>
      </c>
      <c r="F753" t="s">
        <v>14</v>
      </c>
      <c r="G753">
        <v>30</v>
      </c>
      <c r="H753">
        <v>25</v>
      </c>
      <c r="I753">
        <v>10.1</v>
      </c>
      <c r="J753">
        <v>2.65</v>
      </c>
      <c r="K753">
        <v>0.45</v>
      </c>
      <c r="L753">
        <v>0.247</v>
      </c>
      <c r="M753">
        <v>5.1999999999999998E-2</v>
      </c>
      <c r="N753" s="21">
        <v>1.6161728395061727</v>
      </c>
      <c r="O753" s="21">
        <v>4.1065020576131683</v>
      </c>
      <c r="P753" s="21" t="s">
        <v>547</v>
      </c>
      <c r="Q753" s="21">
        <v>1.6161728395061727</v>
      </c>
      <c r="S753" t="s">
        <v>547</v>
      </c>
    </row>
    <row r="754" spans="1:19" x14ac:dyDescent="0.2">
      <c r="A754">
        <v>765</v>
      </c>
      <c r="B754" t="s">
        <v>253</v>
      </c>
      <c r="C754" t="s">
        <v>430</v>
      </c>
      <c r="D754" t="s">
        <v>16</v>
      </c>
      <c r="E754" t="s">
        <v>9</v>
      </c>
      <c r="F754" t="s">
        <v>10</v>
      </c>
      <c r="G754">
        <v>40</v>
      </c>
      <c r="H754">
        <v>41</v>
      </c>
      <c r="I754">
        <v>8.17</v>
      </c>
      <c r="J754">
        <v>4.0999999999999996</v>
      </c>
      <c r="K754">
        <v>0.62</v>
      </c>
      <c r="L754">
        <v>0.39800000000000002</v>
      </c>
      <c r="M754">
        <v>0.111</v>
      </c>
      <c r="N754" s="21">
        <v>2.9243727598566309</v>
      </c>
      <c r="O754" s="21">
        <v>3.8848984468339314</v>
      </c>
      <c r="P754" s="21">
        <v>2.9243727598566309</v>
      </c>
      <c r="Q754" s="21" t="s">
        <v>547</v>
      </c>
      <c r="S754" t="s">
        <v>547</v>
      </c>
    </row>
    <row r="755" spans="1:19" x14ac:dyDescent="0.2">
      <c r="A755">
        <v>766</v>
      </c>
      <c r="B755" t="s">
        <v>253</v>
      </c>
      <c r="C755" t="s">
        <v>430</v>
      </c>
      <c r="D755" t="s">
        <v>16</v>
      </c>
      <c r="E755" t="s">
        <v>9</v>
      </c>
      <c r="F755" t="s">
        <v>11</v>
      </c>
      <c r="G755">
        <v>39</v>
      </c>
      <c r="H755">
        <v>42</v>
      </c>
      <c r="I755">
        <v>9.2200000000000006</v>
      </c>
      <c r="J755">
        <v>4.93</v>
      </c>
      <c r="K755">
        <v>0.62</v>
      </c>
      <c r="L755">
        <v>0.39800000000000002</v>
      </c>
      <c r="M755">
        <v>0.111</v>
      </c>
      <c r="N755" s="21">
        <v>3.5163799283154122</v>
      </c>
      <c r="O755" s="21">
        <v>4.3841816009557952</v>
      </c>
      <c r="P755" s="21">
        <v>3.5163799283154122</v>
      </c>
      <c r="Q755" s="21" t="s">
        <v>547</v>
      </c>
      <c r="S755" t="s">
        <v>547</v>
      </c>
    </row>
    <row r="756" spans="1:19" x14ac:dyDescent="0.2">
      <c r="A756">
        <v>767</v>
      </c>
      <c r="B756" t="s">
        <v>253</v>
      </c>
      <c r="C756" t="s">
        <v>430</v>
      </c>
      <c r="D756" t="s">
        <v>16</v>
      </c>
      <c r="E756" t="s">
        <v>9</v>
      </c>
      <c r="F756" t="s">
        <v>12</v>
      </c>
      <c r="G756">
        <v>25</v>
      </c>
      <c r="H756">
        <v>22</v>
      </c>
      <c r="I756">
        <v>3.7</v>
      </c>
      <c r="J756">
        <v>1.88</v>
      </c>
      <c r="K756">
        <v>0.64</v>
      </c>
      <c r="L756">
        <v>0.46700000000000003</v>
      </c>
      <c r="M756">
        <v>8.2000000000000003E-2</v>
      </c>
      <c r="N756" s="21">
        <v>1.5242361111111113</v>
      </c>
      <c r="O756" s="21">
        <v>1.9998842592592598</v>
      </c>
      <c r="P756" s="21" t="s">
        <v>547</v>
      </c>
      <c r="Q756" s="21">
        <v>1.5242361111111113</v>
      </c>
      <c r="S756" t="s">
        <v>547</v>
      </c>
    </row>
    <row r="757" spans="1:19" x14ac:dyDescent="0.2">
      <c r="A757">
        <v>768</v>
      </c>
      <c r="B757" t="s">
        <v>253</v>
      </c>
      <c r="C757" t="s">
        <v>430</v>
      </c>
      <c r="D757" t="s">
        <v>16</v>
      </c>
      <c r="E757" t="s">
        <v>9</v>
      </c>
      <c r="F757" t="s">
        <v>14</v>
      </c>
      <c r="G757">
        <v>37</v>
      </c>
      <c r="H757">
        <v>33</v>
      </c>
      <c r="I757">
        <v>6.46</v>
      </c>
      <c r="J757">
        <v>3.16</v>
      </c>
      <c r="K757">
        <v>0.64</v>
      </c>
      <c r="L757">
        <v>0.46700000000000003</v>
      </c>
      <c r="M757">
        <v>8.2000000000000003E-2</v>
      </c>
      <c r="N757" s="21">
        <v>2.562013888888889</v>
      </c>
      <c r="O757" s="21">
        <v>3.4916898148148152</v>
      </c>
      <c r="P757" s="21" t="s">
        <v>547</v>
      </c>
      <c r="Q757" s="21">
        <v>2.562013888888889</v>
      </c>
      <c r="S757" t="s">
        <v>547</v>
      </c>
    </row>
    <row r="758" spans="1:19" x14ac:dyDescent="0.2">
      <c r="A758">
        <v>769</v>
      </c>
      <c r="B758" t="s">
        <v>254</v>
      </c>
      <c r="C758" t="s">
        <v>384</v>
      </c>
      <c r="D758" t="s">
        <v>16</v>
      </c>
      <c r="E758" t="s">
        <v>9</v>
      </c>
      <c r="F758" t="s">
        <v>10</v>
      </c>
      <c r="G758">
        <v>28</v>
      </c>
      <c r="H758">
        <v>32</v>
      </c>
      <c r="I758">
        <v>5.64</v>
      </c>
      <c r="J758">
        <v>5.41</v>
      </c>
      <c r="K758">
        <v>0.47</v>
      </c>
      <c r="L758">
        <v>0.35899999999999999</v>
      </c>
      <c r="M758">
        <v>0.10199999999999999</v>
      </c>
      <c r="N758" s="21">
        <v>4.5914657210401897</v>
      </c>
      <c r="O758" s="21">
        <v>3.1911111111111108</v>
      </c>
      <c r="P758" s="21">
        <v>4.5914657210401897</v>
      </c>
      <c r="Q758" s="21" t="s">
        <v>547</v>
      </c>
      <c r="S758" t="s">
        <v>547</v>
      </c>
    </row>
    <row r="759" spans="1:19" x14ac:dyDescent="0.2">
      <c r="A759">
        <v>770</v>
      </c>
      <c r="B759" t="s">
        <v>254</v>
      </c>
      <c r="C759" t="s">
        <v>384</v>
      </c>
      <c r="D759" t="s">
        <v>16</v>
      </c>
      <c r="E759" t="s">
        <v>9</v>
      </c>
      <c r="F759" t="s">
        <v>11</v>
      </c>
      <c r="G759">
        <v>36</v>
      </c>
      <c r="H759">
        <v>44</v>
      </c>
      <c r="I759">
        <v>7.62</v>
      </c>
      <c r="J759">
        <v>6.58</v>
      </c>
      <c r="K759">
        <v>0.47</v>
      </c>
      <c r="L759">
        <v>0.35899999999999999</v>
      </c>
      <c r="M759">
        <v>0.10199999999999999</v>
      </c>
      <c r="N759" s="21">
        <v>5.5844444444444452</v>
      </c>
      <c r="O759" s="21">
        <v>4.3113947990543728</v>
      </c>
      <c r="P759" s="21">
        <v>5.5844444444444452</v>
      </c>
      <c r="Q759" s="21" t="s">
        <v>547</v>
      </c>
      <c r="S759" t="s">
        <v>547</v>
      </c>
    </row>
    <row r="760" spans="1:19" x14ac:dyDescent="0.2">
      <c r="A760">
        <v>771</v>
      </c>
      <c r="B760" t="s">
        <v>254</v>
      </c>
      <c r="C760" t="s">
        <v>384</v>
      </c>
      <c r="D760" t="s">
        <v>16</v>
      </c>
      <c r="E760" t="s">
        <v>9</v>
      </c>
      <c r="F760" t="s">
        <v>12</v>
      </c>
      <c r="G760">
        <v>33</v>
      </c>
      <c r="H760">
        <v>35</v>
      </c>
      <c r="I760">
        <v>6.31</v>
      </c>
      <c r="J760">
        <v>5.89</v>
      </c>
      <c r="K760">
        <v>0.48</v>
      </c>
      <c r="L760">
        <v>0.47299999999999998</v>
      </c>
      <c r="M760">
        <v>0.13100000000000001</v>
      </c>
      <c r="N760" s="21">
        <v>6.4490046296296288</v>
      </c>
      <c r="O760" s="21">
        <v>4.6059104938271611</v>
      </c>
      <c r="P760" s="21" t="s">
        <v>547</v>
      </c>
      <c r="Q760" s="21">
        <v>6.4490046296296288</v>
      </c>
      <c r="S760" t="s">
        <v>547</v>
      </c>
    </row>
    <row r="761" spans="1:19" x14ac:dyDescent="0.2">
      <c r="A761">
        <v>772</v>
      </c>
      <c r="B761" t="s">
        <v>254</v>
      </c>
      <c r="C761" t="s">
        <v>384</v>
      </c>
      <c r="D761" t="s">
        <v>16</v>
      </c>
      <c r="E761" t="s">
        <v>9</v>
      </c>
      <c r="F761" t="s">
        <v>14</v>
      </c>
      <c r="G761">
        <v>35</v>
      </c>
      <c r="H761">
        <v>44</v>
      </c>
      <c r="I761">
        <v>8.4</v>
      </c>
      <c r="J761">
        <v>8.1199999999999992</v>
      </c>
      <c r="K761">
        <v>0.48</v>
      </c>
      <c r="L761">
        <v>0.47299999999999998</v>
      </c>
      <c r="M761">
        <v>0.13100000000000001</v>
      </c>
      <c r="N761" s="21">
        <v>8.8906481481481485</v>
      </c>
      <c r="O761" s="21">
        <v>6.1314814814814822</v>
      </c>
      <c r="P761" s="21" t="s">
        <v>547</v>
      </c>
      <c r="Q761" s="21">
        <v>8.8906481481481485</v>
      </c>
      <c r="S761" t="s">
        <v>547</v>
      </c>
    </row>
    <row r="762" spans="1:19" x14ac:dyDescent="0.2">
      <c r="A762">
        <v>773</v>
      </c>
      <c r="B762" t="s">
        <v>255</v>
      </c>
      <c r="C762" t="s">
        <v>255</v>
      </c>
      <c r="D762" t="s">
        <v>16</v>
      </c>
      <c r="E762" t="s">
        <v>9</v>
      </c>
      <c r="F762" t="s">
        <v>10</v>
      </c>
      <c r="G762">
        <v>38</v>
      </c>
      <c r="H762">
        <v>34</v>
      </c>
      <c r="I762">
        <v>19.350000000000001</v>
      </c>
      <c r="J762">
        <v>5.8</v>
      </c>
      <c r="K762">
        <v>1.2</v>
      </c>
      <c r="L762">
        <v>0.55200000000000005</v>
      </c>
      <c r="M762">
        <v>0.123</v>
      </c>
      <c r="N762" s="21">
        <v>2.9644444444444447</v>
      </c>
      <c r="O762" s="21">
        <v>6.5933333333333346</v>
      </c>
      <c r="P762" s="21">
        <v>2.9644444444444447</v>
      </c>
      <c r="Q762" s="21" t="s">
        <v>547</v>
      </c>
      <c r="S762" t="s">
        <v>547</v>
      </c>
    </row>
    <row r="763" spans="1:19" x14ac:dyDescent="0.2">
      <c r="A763">
        <v>774</v>
      </c>
      <c r="B763" t="s">
        <v>255</v>
      </c>
      <c r="C763" t="s">
        <v>255</v>
      </c>
      <c r="D763" t="s">
        <v>16</v>
      </c>
      <c r="E763" t="s">
        <v>9</v>
      </c>
      <c r="F763" t="s">
        <v>11</v>
      </c>
      <c r="G763">
        <v>41</v>
      </c>
      <c r="H763">
        <v>39</v>
      </c>
      <c r="I763">
        <v>23.1</v>
      </c>
      <c r="J763">
        <v>7.05</v>
      </c>
      <c r="K763">
        <v>1.2</v>
      </c>
      <c r="L763">
        <v>0.55200000000000005</v>
      </c>
      <c r="M763">
        <v>0.123</v>
      </c>
      <c r="N763" s="21">
        <v>3.6033333333333339</v>
      </c>
      <c r="O763" s="21">
        <v>7.8711111111111132</v>
      </c>
      <c r="P763" s="21">
        <v>3.6033333333333339</v>
      </c>
      <c r="Q763" s="21" t="s">
        <v>547</v>
      </c>
      <c r="S763" t="s">
        <v>547</v>
      </c>
    </row>
    <row r="764" spans="1:19" x14ac:dyDescent="0.2">
      <c r="A764">
        <v>775</v>
      </c>
      <c r="B764" t="s">
        <v>255</v>
      </c>
      <c r="C764" t="s">
        <v>255</v>
      </c>
      <c r="D764" t="s">
        <v>16</v>
      </c>
      <c r="E764" t="s">
        <v>9</v>
      </c>
      <c r="F764" t="s">
        <v>12</v>
      </c>
      <c r="G764">
        <v>31</v>
      </c>
      <c r="H764">
        <v>33</v>
      </c>
      <c r="I764">
        <v>16.7</v>
      </c>
      <c r="J764">
        <v>7.15</v>
      </c>
      <c r="K764">
        <v>1.05</v>
      </c>
      <c r="L764">
        <v>0.47199999999999998</v>
      </c>
      <c r="M764">
        <v>8.2000000000000003E-2</v>
      </c>
      <c r="N764" s="21">
        <v>3.5712169312169313</v>
      </c>
      <c r="O764" s="21">
        <v>5.5607760141093454</v>
      </c>
      <c r="P764" s="21" t="s">
        <v>547</v>
      </c>
      <c r="Q764" s="21">
        <v>3.5712169312169313</v>
      </c>
      <c r="S764" t="s">
        <v>547</v>
      </c>
    </row>
    <row r="765" spans="1:19" x14ac:dyDescent="0.2">
      <c r="A765">
        <v>776</v>
      </c>
      <c r="B765" t="s">
        <v>255</v>
      </c>
      <c r="C765" t="s">
        <v>255</v>
      </c>
      <c r="D765" t="s">
        <v>16</v>
      </c>
      <c r="E765" t="s">
        <v>9</v>
      </c>
      <c r="F765" t="s">
        <v>14</v>
      </c>
      <c r="G765">
        <v>25</v>
      </c>
      <c r="H765">
        <v>24</v>
      </c>
      <c r="I765">
        <v>12.65</v>
      </c>
      <c r="J765">
        <v>3.95</v>
      </c>
      <c r="K765">
        <v>1.05</v>
      </c>
      <c r="L765">
        <v>0.47199999999999998</v>
      </c>
      <c r="M765">
        <v>8.2000000000000003E-2</v>
      </c>
      <c r="N765" s="21">
        <v>1.9729100529100529</v>
      </c>
      <c r="O765" s="21">
        <v>4.2122045855379184</v>
      </c>
      <c r="P765" s="21" t="s">
        <v>547</v>
      </c>
      <c r="Q765" s="21">
        <v>1.9729100529100529</v>
      </c>
      <c r="S765" t="s">
        <v>547</v>
      </c>
    </row>
    <row r="766" spans="1:19" x14ac:dyDescent="0.2">
      <c r="A766">
        <v>777</v>
      </c>
      <c r="B766" t="s">
        <v>256</v>
      </c>
      <c r="C766" t="s">
        <v>385</v>
      </c>
      <c r="D766" t="s">
        <v>16</v>
      </c>
      <c r="E766" t="s">
        <v>9</v>
      </c>
      <c r="F766" t="s">
        <v>10</v>
      </c>
      <c r="G766">
        <v>33</v>
      </c>
      <c r="H766">
        <v>32</v>
      </c>
      <c r="I766">
        <v>10.7</v>
      </c>
      <c r="J766">
        <v>5.6</v>
      </c>
      <c r="K766">
        <v>0.9</v>
      </c>
      <c r="L766">
        <v>0.44800000000000001</v>
      </c>
      <c r="M766">
        <v>0.11799999999999999</v>
      </c>
      <c r="N766" s="21">
        <v>3.0972839506172836</v>
      </c>
      <c r="O766" s="21">
        <v>3.945349794238683</v>
      </c>
      <c r="P766" s="21">
        <v>3.0972839506172836</v>
      </c>
      <c r="Q766" s="21" t="s">
        <v>547</v>
      </c>
      <c r="S766" t="s">
        <v>547</v>
      </c>
    </row>
    <row r="767" spans="1:19" x14ac:dyDescent="0.2">
      <c r="A767">
        <v>778</v>
      </c>
      <c r="B767" t="s">
        <v>256</v>
      </c>
      <c r="C767" t="s">
        <v>385</v>
      </c>
      <c r="D767" t="s">
        <v>16</v>
      </c>
      <c r="E767" t="s">
        <v>9</v>
      </c>
      <c r="F767" t="s">
        <v>11</v>
      </c>
      <c r="G767">
        <v>33</v>
      </c>
      <c r="H767">
        <v>28</v>
      </c>
      <c r="I767">
        <v>8.3000000000000007</v>
      </c>
      <c r="J767">
        <v>4.3</v>
      </c>
      <c r="K767">
        <v>0.9</v>
      </c>
      <c r="L767">
        <v>0.44800000000000001</v>
      </c>
      <c r="M767">
        <v>0.11799999999999999</v>
      </c>
      <c r="N767" s="21">
        <v>2.3782716049382717</v>
      </c>
      <c r="O767" s="21">
        <v>3.0604115226337454</v>
      </c>
      <c r="P767" s="21">
        <v>2.3782716049382717</v>
      </c>
      <c r="Q767" s="21" t="s">
        <v>547</v>
      </c>
      <c r="S767" t="s">
        <v>547</v>
      </c>
    </row>
    <row r="768" spans="1:19" x14ac:dyDescent="0.2">
      <c r="A768">
        <v>779</v>
      </c>
      <c r="B768" t="s">
        <v>256</v>
      </c>
      <c r="C768" t="s">
        <v>385</v>
      </c>
      <c r="D768" t="s">
        <v>16</v>
      </c>
      <c r="E768" t="s">
        <v>9</v>
      </c>
      <c r="F768" t="s">
        <v>12</v>
      </c>
      <c r="G768">
        <v>29</v>
      </c>
      <c r="H768">
        <v>29</v>
      </c>
      <c r="I768">
        <v>5.75</v>
      </c>
      <c r="J768">
        <v>3.5</v>
      </c>
      <c r="K768">
        <v>0.85</v>
      </c>
      <c r="L768">
        <v>0.46100000000000002</v>
      </c>
      <c r="M768">
        <v>8.6999999999999994E-2</v>
      </c>
      <c r="N768" s="21">
        <v>2.1091503267973857</v>
      </c>
      <c r="O768" s="21">
        <v>2.3100217864923756</v>
      </c>
      <c r="P768" s="21" t="s">
        <v>547</v>
      </c>
      <c r="Q768" s="21">
        <v>2.1091503267973857</v>
      </c>
      <c r="S768" t="s">
        <v>547</v>
      </c>
    </row>
    <row r="769" spans="1:19" x14ac:dyDescent="0.2">
      <c r="A769">
        <v>780</v>
      </c>
      <c r="B769" t="s">
        <v>256</v>
      </c>
      <c r="C769" t="s">
        <v>385</v>
      </c>
      <c r="D769" t="s">
        <v>16</v>
      </c>
      <c r="E769" t="s">
        <v>9</v>
      </c>
      <c r="F769" t="s">
        <v>14</v>
      </c>
      <c r="G769">
        <v>32</v>
      </c>
      <c r="H769">
        <v>29</v>
      </c>
      <c r="I769">
        <v>6.8</v>
      </c>
      <c r="J769">
        <v>4</v>
      </c>
      <c r="K769">
        <v>0.85</v>
      </c>
      <c r="L769">
        <v>0.46100000000000002</v>
      </c>
      <c r="M769">
        <v>8.6999999999999994E-2</v>
      </c>
      <c r="N769" s="21">
        <v>2.4104575163398696</v>
      </c>
      <c r="O769" s="21">
        <v>2.7318518518518524</v>
      </c>
      <c r="P769" s="21" t="s">
        <v>547</v>
      </c>
      <c r="Q769" s="21">
        <v>2.4104575163398696</v>
      </c>
      <c r="S769" t="s">
        <v>547</v>
      </c>
    </row>
    <row r="770" spans="1:19" x14ac:dyDescent="0.2">
      <c r="A770">
        <v>781</v>
      </c>
      <c r="B770" t="s">
        <v>257</v>
      </c>
      <c r="C770" t="s">
        <v>257</v>
      </c>
      <c r="D770" t="s">
        <v>24</v>
      </c>
      <c r="E770" t="s">
        <v>9</v>
      </c>
      <c r="F770" t="s">
        <v>10</v>
      </c>
      <c r="G770">
        <v>33</v>
      </c>
      <c r="H770">
        <v>32</v>
      </c>
      <c r="I770">
        <v>3.18</v>
      </c>
      <c r="J770">
        <v>2.67</v>
      </c>
      <c r="K770">
        <v>0.53</v>
      </c>
      <c r="L770">
        <v>0.35099999999999998</v>
      </c>
      <c r="M770">
        <v>7.0000000000000007E-2</v>
      </c>
      <c r="N770" s="21">
        <v>1.9647169811320753</v>
      </c>
      <c r="O770" s="21">
        <v>1.56</v>
      </c>
      <c r="P770" s="21">
        <v>1.9647169811320753</v>
      </c>
      <c r="Q770" s="21" t="s">
        <v>547</v>
      </c>
      <c r="S770" t="s">
        <v>547</v>
      </c>
    </row>
    <row r="771" spans="1:19" x14ac:dyDescent="0.2">
      <c r="A771">
        <v>782</v>
      </c>
      <c r="B771" t="s">
        <v>257</v>
      </c>
      <c r="C771" t="s">
        <v>257</v>
      </c>
      <c r="D771" t="s">
        <v>24</v>
      </c>
      <c r="E771" t="s">
        <v>9</v>
      </c>
      <c r="F771" t="s">
        <v>11</v>
      </c>
      <c r="G771">
        <v>22</v>
      </c>
      <c r="H771">
        <v>21</v>
      </c>
      <c r="I771">
        <v>2.5</v>
      </c>
      <c r="J771">
        <v>1.78</v>
      </c>
      <c r="K771">
        <v>0.53</v>
      </c>
      <c r="L771">
        <v>0.35099999999999998</v>
      </c>
      <c r="M771">
        <v>7.0000000000000007E-2</v>
      </c>
      <c r="N771" s="21">
        <v>1.3098113207547168</v>
      </c>
      <c r="O771" s="21">
        <v>1.2264150943396226</v>
      </c>
      <c r="P771" s="21">
        <v>1.3098113207547168</v>
      </c>
      <c r="Q771" s="21" t="s">
        <v>547</v>
      </c>
      <c r="S771" t="s">
        <v>547</v>
      </c>
    </row>
    <row r="772" spans="1:19" x14ac:dyDescent="0.2">
      <c r="A772">
        <v>783</v>
      </c>
      <c r="B772" t="s">
        <v>257</v>
      </c>
      <c r="C772" t="s">
        <v>257</v>
      </c>
      <c r="D772" t="s">
        <v>24</v>
      </c>
      <c r="E772" t="s">
        <v>9</v>
      </c>
      <c r="F772" t="s">
        <v>12</v>
      </c>
      <c r="G772">
        <v>34</v>
      </c>
      <c r="H772">
        <v>31</v>
      </c>
      <c r="I772">
        <v>3.82</v>
      </c>
      <c r="J772">
        <v>3.7</v>
      </c>
      <c r="K772">
        <v>0.71</v>
      </c>
      <c r="L772">
        <v>0.495</v>
      </c>
      <c r="M772">
        <v>8.8999999999999996E-2</v>
      </c>
      <c r="N772" s="21">
        <v>2.8661971830985924</v>
      </c>
      <c r="O772" s="21">
        <v>1.9727699530516434</v>
      </c>
      <c r="P772" s="21" t="s">
        <v>547</v>
      </c>
      <c r="Q772" s="21">
        <v>2.8661971830985924</v>
      </c>
      <c r="S772" t="s">
        <v>547</v>
      </c>
    </row>
    <row r="773" spans="1:19" x14ac:dyDescent="0.2">
      <c r="A773">
        <v>784</v>
      </c>
      <c r="B773" t="s">
        <v>257</v>
      </c>
      <c r="C773" t="s">
        <v>257</v>
      </c>
      <c r="D773" t="s">
        <v>24</v>
      </c>
      <c r="E773" t="s">
        <v>9</v>
      </c>
      <c r="F773" t="s">
        <v>14</v>
      </c>
      <c r="G773">
        <v>29</v>
      </c>
      <c r="H773">
        <v>31</v>
      </c>
      <c r="I773">
        <v>4.01</v>
      </c>
      <c r="J773">
        <v>4.32</v>
      </c>
      <c r="K773">
        <v>0.71</v>
      </c>
      <c r="L773">
        <v>0.495</v>
      </c>
      <c r="M773">
        <v>8.8999999999999996E-2</v>
      </c>
      <c r="N773" s="21">
        <v>3.3464788732394375</v>
      </c>
      <c r="O773" s="21">
        <v>2.0708920187793427</v>
      </c>
      <c r="P773" s="21" t="s">
        <v>547</v>
      </c>
      <c r="Q773" s="21">
        <v>3.3464788732394375</v>
      </c>
      <c r="S773" t="s">
        <v>547</v>
      </c>
    </row>
    <row r="774" spans="1:19" x14ac:dyDescent="0.2">
      <c r="A774">
        <v>785</v>
      </c>
      <c r="B774" t="s">
        <v>258</v>
      </c>
      <c r="C774" t="s">
        <v>258</v>
      </c>
      <c r="D774" t="s">
        <v>24</v>
      </c>
      <c r="E774" t="s">
        <v>9</v>
      </c>
      <c r="F774" t="s">
        <v>10</v>
      </c>
      <c r="G774">
        <v>59</v>
      </c>
      <c r="H774">
        <v>47</v>
      </c>
      <c r="I774">
        <v>8.68</v>
      </c>
      <c r="J774">
        <v>5.83</v>
      </c>
      <c r="K774">
        <v>1.01</v>
      </c>
      <c r="L774">
        <v>0.55800000000000005</v>
      </c>
      <c r="M774">
        <v>0.11600000000000001</v>
      </c>
      <c r="N774" s="21">
        <v>3.5788118811881193</v>
      </c>
      <c r="O774" s="21">
        <v>3.552211221122112</v>
      </c>
      <c r="P774" s="21">
        <v>3.5788118811881193</v>
      </c>
      <c r="Q774" s="21" t="s">
        <v>547</v>
      </c>
      <c r="S774" t="s">
        <v>547</v>
      </c>
    </row>
    <row r="775" spans="1:19" x14ac:dyDescent="0.2">
      <c r="A775">
        <v>786</v>
      </c>
      <c r="B775" t="s">
        <v>258</v>
      </c>
      <c r="C775" t="s">
        <v>258</v>
      </c>
      <c r="D775" t="s">
        <v>24</v>
      </c>
      <c r="E775" t="s">
        <v>9</v>
      </c>
      <c r="F775" t="s">
        <v>11</v>
      </c>
      <c r="G775">
        <v>36</v>
      </c>
      <c r="H775">
        <v>41</v>
      </c>
      <c r="I775">
        <v>6.66</v>
      </c>
      <c r="J775">
        <v>10.48</v>
      </c>
      <c r="K775">
        <v>1.01</v>
      </c>
      <c r="L775">
        <v>0.55800000000000005</v>
      </c>
      <c r="M775">
        <v>0.11600000000000001</v>
      </c>
      <c r="N775" s="21">
        <v>6.4332673267326745</v>
      </c>
      <c r="O775" s="21">
        <v>2.7255445544554457</v>
      </c>
      <c r="P775" s="21">
        <v>6.4332673267326745</v>
      </c>
      <c r="Q775" s="21" t="s">
        <v>547</v>
      </c>
      <c r="S775" t="s">
        <v>547</v>
      </c>
    </row>
    <row r="776" spans="1:19" x14ac:dyDescent="0.2">
      <c r="A776">
        <v>787</v>
      </c>
      <c r="B776" t="s">
        <v>258</v>
      </c>
      <c r="C776" t="s">
        <v>258</v>
      </c>
      <c r="D776" t="s">
        <v>24</v>
      </c>
      <c r="E776" t="s">
        <v>9</v>
      </c>
      <c r="F776" t="s">
        <v>12</v>
      </c>
      <c r="G776">
        <v>29</v>
      </c>
      <c r="H776">
        <v>24</v>
      </c>
      <c r="I776">
        <v>2.5099999999999998</v>
      </c>
      <c r="J776">
        <v>3.65</v>
      </c>
      <c r="K776">
        <v>0.76</v>
      </c>
      <c r="L776">
        <v>0.46200000000000002</v>
      </c>
      <c r="M776">
        <v>7.4999999999999997E-2</v>
      </c>
      <c r="N776" s="21">
        <v>2.4653508771929822</v>
      </c>
      <c r="O776" s="21">
        <v>1.1302339181286549</v>
      </c>
      <c r="P776" s="21" t="s">
        <v>547</v>
      </c>
      <c r="Q776" s="21">
        <v>2.4653508771929822</v>
      </c>
      <c r="S776" t="s">
        <v>547</v>
      </c>
    </row>
    <row r="777" spans="1:19" x14ac:dyDescent="0.2">
      <c r="A777">
        <v>788</v>
      </c>
      <c r="B777" t="s">
        <v>258</v>
      </c>
      <c r="C777" t="s">
        <v>258</v>
      </c>
      <c r="D777" t="s">
        <v>24</v>
      </c>
      <c r="E777" t="s">
        <v>9</v>
      </c>
      <c r="F777" t="s">
        <v>14</v>
      </c>
      <c r="G777">
        <v>49</v>
      </c>
      <c r="H777">
        <v>49</v>
      </c>
      <c r="I777">
        <v>4.2699999999999996</v>
      </c>
      <c r="J777">
        <v>6.72</v>
      </c>
      <c r="K777">
        <v>0.76</v>
      </c>
      <c r="L777">
        <v>0.46200000000000002</v>
      </c>
      <c r="M777">
        <v>7.4999999999999997E-2</v>
      </c>
      <c r="N777" s="21">
        <v>4.5389473684210531</v>
      </c>
      <c r="O777" s="21">
        <v>1.9227485380116958</v>
      </c>
      <c r="P777" s="21" t="s">
        <v>547</v>
      </c>
      <c r="Q777" s="21">
        <v>4.5389473684210531</v>
      </c>
      <c r="S777" t="s">
        <v>547</v>
      </c>
    </row>
    <row r="778" spans="1:19" x14ac:dyDescent="0.2">
      <c r="A778">
        <v>789</v>
      </c>
      <c r="B778" t="s">
        <v>259</v>
      </c>
      <c r="C778" t="s">
        <v>259</v>
      </c>
      <c r="D778" t="s">
        <v>24</v>
      </c>
      <c r="E778" t="s">
        <v>17</v>
      </c>
      <c r="F778">
        <v>1</v>
      </c>
      <c r="G778">
        <v>41</v>
      </c>
      <c r="H778">
        <v>60</v>
      </c>
      <c r="I778">
        <v>10.37</v>
      </c>
      <c r="J778">
        <v>9.4</v>
      </c>
      <c r="K778">
        <v>1.1000000000000001</v>
      </c>
      <c r="L778">
        <v>0.28199999999999997</v>
      </c>
      <c r="M778">
        <v>0.08</v>
      </c>
      <c r="N778" s="21">
        <v>2.6775757575757573</v>
      </c>
      <c r="O778" s="21">
        <v>1.9692525252525248</v>
      </c>
      <c r="P778" s="21" t="s">
        <v>547</v>
      </c>
      <c r="Q778" s="21" t="s">
        <v>547</v>
      </c>
      <c r="R778" t="s">
        <v>25</v>
      </c>
      <c r="S778" t="s">
        <v>547</v>
      </c>
    </row>
    <row r="779" spans="1:19" x14ac:dyDescent="0.2">
      <c r="A779">
        <v>790</v>
      </c>
      <c r="B779" t="s">
        <v>259</v>
      </c>
      <c r="C779" t="s">
        <v>259</v>
      </c>
      <c r="D779" t="s">
        <v>24</v>
      </c>
      <c r="E779" t="s">
        <v>17</v>
      </c>
      <c r="F779">
        <v>2</v>
      </c>
      <c r="G779">
        <v>45</v>
      </c>
      <c r="H779">
        <v>46</v>
      </c>
      <c r="I779">
        <v>9.81</v>
      </c>
      <c r="J779">
        <v>7.64</v>
      </c>
      <c r="K779">
        <v>1.1000000000000001</v>
      </c>
      <c r="L779">
        <v>0.28199999999999997</v>
      </c>
      <c r="M779">
        <v>0.08</v>
      </c>
      <c r="N779" s="21">
        <v>2.1762424242424236</v>
      </c>
      <c r="O779" s="21">
        <v>1.8629090909090906</v>
      </c>
      <c r="P779" s="21" t="s">
        <v>547</v>
      </c>
      <c r="Q779" s="21" t="s">
        <v>547</v>
      </c>
      <c r="R779" t="s">
        <v>25</v>
      </c>
      <c r="S779" t="s">
        <v>547</v>
      </c>
    </row>
    <row r="780" spans="1:19" x14ac:dyDescent="0.2">
      <c r="A780">
        <v>791</v>
      </c>
      <c r="B780" t="s">
        <v>260</v>
      </c>
      <c r="C780" t="s">
        <v>260</v>
      </c>
      <c r="D780" t="s">
        <v>24</v>
      </c>
      <c r="E780" t="s">
        <v>9</v>
      </c>
      <c r="F780" t="s">
        <v>10</v>
      </c>
      <c r="G780">
        <v>36</v>
      </c>
      <c r="H780">
        <v>38</v>
      </c>
      <c r="I780">
        <v>5.8</v>
      </c>
      <c r="J780">
        <v>5.34</v>
      </c>
      <c r="K780">
        <v>0.91</v>
      </c>
      <c r="L780">
        <v>0.60299999999999998</v>
      </c>
      <c r="M780">
        <v>0.11</v>
      </c>
      <c r="N780" s="21">
        <v>3.9316483516483514</v>
      </c>
      <c r="O780" s="21">
        <v>2.846886446886447</v>
      </c>
      <c r="P780" s="21">
        <v>3.9316483516483514</v>
      </c>
      <c r="Q780" s="21" t="s">
        <v>547</v>
      </c>
      <c r="S780" t="s">
        <v>547</v>
      </c>
    </row>
    <row r="781" spans="1:19" x14ac:dyDescent="0.2">
      <c r="A781">
        <v>792</v>
      </c>
      <c r="B781" t="s">
        <v>260</v>
      </c>
      <c r="C781" t="s">
        <v>260</v>
      </c>
      <c r="D781" t="s">
        <v>24</v>
      </c>
      <c r="E781" t="s">
        <v>9</v>
      </c>
      <c r="F781" t="s">
        <v>11</v>
      </c>
      <c r="G781">
        <v>37</v>
      </c>
      <c r="H781">
        <v>36</v>
      </c>
      <c r="I781">
        <v>7.46</v>
      </c>
      <c r="J781">
        <v>5.4</v>
      </c>
      <c r="K781">
        <v>0.91</v>
      </c>
      <c r="L781">
        <v>0.60299999999999998</v>
      </c>
      <c r="M781">
        <v>0.11</v>
      </c>
      <c r="N781" s="21">
        <v>3.9758241758241764</v>
      </c>
      <c r="O781" s="21">
        <v>3.6616849816849819</v>
      </c>
      <c r="P781" s="21">
        <v>3.9758241758241764</v>
      </c>
      <c r="Q781" s="21" t="s">
        <v>547</v>
      </c>
      <c r="S781" t="s">
        <v>547</v>
      </c>
    </row>
    <row r="782" spans="1:19" x14ac:dyDescent="0.2">
      <c r="A782">
        <v>793</v>
      </c>
      <c r="B782" t="s">
        <v>260</v>
      </c>
      <c r="C782" t="s">
        <v>260</v>
      </c>
      <c r="D782" t="s">
        <v>24</v>
      </c>
      <c r="E782" t="s">
        <v>9</v>
      </c>
      <c r="F782" t="s">
        <v>12</v>
      </c>
      <c r="G782">
        <v>29</v>
      </c>
      <c r="H782">
        <v>25</v>
      </c>
      <c r="I782">
        <v>3.36</v>
      </c>
      <c r="J782">
        <v>1.98</v>
      </c>
      <c r="K782">
        <v>0.56000000000000005</v>
      </c>
      <c r="L782">
        <v>0.42599999999999999</v>
      </c>
      <c r="M782">
        <v>7.1999999999999995E-2</v>
      </c>
      <c r="N782" s="21">
        <v>1.6735714285714287</v>
      </c>
      <c r="O782" s="21">
        <v>1.8933333333333333</v>
      </c>
      <c r="P782" s="21" t="s">
        <v>547</v>
      </c>
      <c r="Q782" s="21">
        <v>1.6735714285714287</v>
      </c>
      <c r="S782" t="s">
        <v>547</v>
      </c>
    </row>
    <row r="783" spans="1:19" x14ac:dyDescent="0.2">
      <c r="A783">
        <v>794</v>
      </c>
      <c r="B783" t="s">
        <v>260</v>
      </c>
      <c r="C783" t="s">
        <v>260</v>
      </c>
      <c r="D783" t="s">
        <v>24</v>
      </c>
      <c r="E783" t="s">
        <v>9</v>
      </c>
      <c r="F783" t="s">
        <v>14</v>
      </c>
      <c r="G783">
        <v>28</v>
      </c>
      <c r="H783">
        <v>28</v>
      </c>
      <c r="I783">
        <v>3.92</v>
      </c>
      <c r="J783">
        <v>3.17</v>
      </c>
      <c r="K783">
        <v>0.56000000000000005</v>
      </c>
      <c r="L783">
        <v>0.42599999999999999</v>
      </c>
      <c r="M783">
        <v>7.1999999999999995E-2</v>
      </c>
      <c r="N783" s="21">
        <v>2.6794047619047618</v>
      </c>
      <c r="O783" s="21">
        <v>2.2088888888888887</v>
      </c>
      <c r="P783" s="21" t="s">
        <v>547</v>
      </c>
      <c r="Q783" s="21">
        <v>2.6794047619047618</v>
      </c>
      <c r="S783" t="s">
        <v>547</v>
      </c>
    </row>
    <row r="784" spans="1:19" x14ac:dyDescent="0.2">
      <c r="A784">
        <v>795</v>
      </c>
      <c r="B784" t="s">
        <v>261</v>
      </c>
      <c r="C784" t="s">
        <v>261</v>
      </c>
      <c r="D784" t="s">
        <v>24</v>
      </c>
      <c r="E784" t="s">
        <v>9</v>
      </c>
      <c r="F784" t="s">
        <v>10</v>
      </c>
      <c r="G784">
        <v>34</v>
      </c>
      <c r="H784">
        <v>32</v>
      </c>
      <c r="I784">
        <v>3.28</v>
      </c>
      <c r="J784">
        <v>2.97</v>
      </c>
      <c r="K784">
        <v>0.74</v>
      </c>
      <c r="L784">
        <v>0.5</v>
      </c>
      <c r="M784">
        <v>0.1</v>
      </c>
      <c r="N784" s="21">
        <v>2.2297297297297303</v>
      </c>
      <c r="O784" s="21">
        <v>1.6416416416416417</v>
      </c>
      <c r="P784" s="21">
        <v>2.2297297297297303</v>
      </c>
      <c r="Q784" s="21" t="s">
        <v>547</v>
      </c>
      <c r="S784" t="s">
        <v>547</v>
      </c>
    </row>
    <row r="785" spans="1:19" x14ac:dyDescent="0.2">
      <c r="A785">
        <v>796</v>
      </c>
      <c r="B785" t="s">
        <v>261</v>
      </c>
      <c r="C785" t="s">
        <v>261</v>
      </c>
      <c r="D785" t="s">
        <v>24</v>
      </c>
      <c r="E785" t="s">
        <v>9</v>
      </c>
      <c r="F785" t="s">
        <v>11</v>
      </c>
      <c r="G785">
        <v>32</v>
      </c>
      <c r="H785">
        <v>27</v>
      </c>
      <c r="I785">
        <v>2.4</v>
      </c>
      <c r="J785">
        <v>2.48</v>
      </c>
      <c r="K785">
        <v>0.74</v>
      </c>
      <c r="L785">
        <v>0.5</v>
      </c>
      <c r="M785">
        <v>0.1</v>
      </c>
      <c r="N785" s="21">
        <v>1.8618618618618619</v>
      </c>
      <c r="O785" s="21">
        <v>1.2012012012012012</v>
      </c>
      <c r="P785" s="21">
        <v>1.8618618618618619</v>
      </c>
      <c r="Q785" s="21" t="s">
        <v>547</v>
      </c>
      <c r="S785" t="s">
        <v>547</v>
      </c>
    </row>
    <row r="786" spans="1:19" x14ac:dyDescent="0.2">
      <c r="A786">
        <v>797</v>
      </c>
      <c r="B786" t="s">
        <v>261</v>
      </c>
      <c r="C786" t="s">
        <v>261</v>
      </c>
      <c r="D786" t="s">
        <v>24</v>
      </c>
      <c r="E786" t="s">
        <v>9</v>
      </c>
      <c r="F786" t="s">
        <v>12</v>
      </c>
      <c r="G786">
        <v>23</v>
      </c>
      <c r="H786">
        <v>27</v>
      </c>
      <c r="I786">
        <v>7.96</v>
      </c>
      <c r="J786">
        <v>6.62</v>
      </c>
      <c r="K786">
        <v>1.1399999999999999</v>
      </c>
      <c r="L786">
        <v>0.79200000000000004</v>
      </c>
      <c r="M786">
        <v>7.8E-2</v>
      </c>
      <c r="N786" s="21">
        <v>5.1101754385964924</v>
      </c>
      <c r="O786" s="21">
        <v>4.0963742690058487</v>
      </c>
      <c r="P786" s="21" t="s">
        <v>547</v>
      </c>
      <c r="Q786" s="21">
        <v>5.1101754385964924</v>
      </c>
      <c r="S786" t="s">
        <v>547</v>
      </c>
    </row>
    <row r="787" spans="1:19" x14ac:dyDescent="0.2">
      <c r="A787">
        <v>798</v>
      </c>
      <c r="B787" t="s">
        <v>261</v>
      </c>
      <c r="C787" t="s">
        <v>261</v>
      </c>
      <c r="D787" t="s">
        <v>24</v>
      </c>
      <c r="E787" t="s">
        <v>9</v>
      </c>
      <c r="F787" t="s">
        <v>14</v>
      </c>
      <c r="G787">
        <v>32</v>
      </c>
      <c r="H787">
        <v>36</v>
      </c>
      <c r="I787">
        <v>4.76</v>
      </c>
      <c r="J787">
        <v>6.48</v>
      </c>
      <c r="K787">
        <v>1.1399999999999999</v>
      </c>
      <c r="L787">
        <v>0.79200000000000004</v>
      </c>
      <c r="M787">
        <v>7.8E-2</v>
      </c>
      <c r="N787" s="21">
        <v>5.0021052631578957</v>
      </c>
      <c r="O787" s="21">
        <v>2.4495906432748544</v>
      </c>
      <c r="P787" s="21" t="s">
        <v>547</v>
      </c>
      <c r="Q787" s="21">
        <v>5.0021052631578957</v>
      </c>
      <c r="S787" t="s">
        <v>547</v>
      </c>
    </row>
    <row r="788" spans="1:19" x14ac:dyDescent="0.2">
      <c r="A788">
        <v>799</v>
      </c>
      <c r="B788" t="s">
        <v>262</v>
      </c>
      <c r="C788" t="s">
        <v>262</v>
      </c>
      <c r="D788" t="s">
        <v>24</v>
      </c>
      <c r="E788" t="s">
        <v>9</v>
      </c>
      <c r="F788" t="s">
        <v>10</v>
      </c>
      <c r="G788">
        <v>51</v>
      </c>
      <c r="H788">
        <v>36</v>
      </c>
      <c r="I788">
        <v>15.43</v>
      </c>
      <c r="J788">
        <v>7.85</v>
      </c>
      <c r="K788">
        <v>1.1000000000000001</v>
      </c>
      <c r="L788">
        <v>0.54100000000000004</v>
      </c>
      <c r="M788">
        <v>6.3E-2</v>
      </c>
      <c r="N788" s="21">
        <v>4.2897474747474753</v>
      </c>
      <c r="O788" s="21">
        <v>5.6212996632996637</v>
      </c>
      <c r="P788" s="21">
        <v>4.2897474747474753</v>
      </c>
      <c r="Q788" s="21" t="s">
        <v>547</v>
      </c>
      <c r="S788" t="s">
        <v>547</v>
      </c>
    </row>
    <row r="789" spans="1:19" x14ac:dyDescent="0.2">
      <c r="A789">
        <v>800</v>
      </c>
      <c r="B789" t="s">
        <v>262</v>
      </c>
      <c r="C789" t="s">
        <v>262</v>
      </c>
      <c r="D789" t="s">
        <v>24</v>
      </c>
      <c r="E789" t="s">
        <v>9</v>
      </c>
      <c r="F789" t="s">
        <v>11</v>
      </c>
      <c r="G789">
        <v>41</v>
      </c>
      <c r="H789">
        <v>49</v>
      </c>
      <c r="I789">
        <v>18.309999999999999</v>
      </c>
      <c r="J789">
        <v>11.5</v>
      </c>
      <c r="K789">
        <v>1.1000000000000001</v>
      </c>
      <c r="L789">
        <v>0.54100000000000004</v>
      </c>
      <c r="M789">
        <v>6.3E-2</v>
      </c>
      <c r="N789" s="21">
        <v>6.2843434343434348</v>
      </c>
      <c r="O789" s="21">
        <v>6.6705117845117847</v>
      </c>
      <c r="P789" s="21">
        <v>6.2843434343434348</v>
      </c>
      <c r="Q789" s="21" t="s">
        <v>547</v>
      </c>
      <c r="S789" t="s">
        <v>547</v>
      </c>
    </row>
    <row r="790" spans="1:19" x14ac:dyDescent="0.2">
      <c r="A790">
        <v>801</v>
      </c>
      <c r="B790" t="s">
        <v>262</v>
      </c>
      <c r="C790" t="s">
        <v>262</v>
      </c>
      <c r="D790" t="s">
        <v>24</v>
      </c>
      <c r="E790" t="s">
        <v>9</v>
      </c>
      <c r="F790" t="s">
        <v>12</v>
      </c>
      <c r="G790">
        <v>34</v>
      </c>
      <c r="H790">
        <v>28</v>
      </c>
      <c r="I790">
        <v>12.13</v>
      </c>
      <c r="J790">
        <v>5.38</v>
      </c>
      <c r="K790">
        <v>0.97</v>
      </c>
      <c r="L790">
        <v>0.48599999999999999</v>
      </c>
      <c r="M790">
        <v>9.1999999999999998E-2</v>
      </c>
      <c r="N790" s="21">
        <v>2.9950515463917529</v>
      </c>
      <c r="O790" s="21">
        <v>4.501855670103093</v>
      </c>
      <c r="P790" s="21" t="s">
        <v>547</v>
      </c>
      <c r="Q790" s="21">
        <v>2.9950515463917529</v>
      </c>
      <c r="S790" t="s">
        <v>547</v>
      </c>
    </row>
    <row r="791" spans="1:19" x14ac:dyDescent="0.2">
      <c r="A791">
        <v>802</v>
      </c>
      <c r="B791" t="s">
        <v>262</v>
      </c>
      <c r="C791" t="s">
        <v>262</v>
      </c>
      <c r="D791" t="s">
        <v>24</v>
      </c>
      <c r="E791" t="s">
        <v>9</v>
      </c>
      <c r="F791" t="s">
        <v>14</v>
      </c>
      <c r="G791">
        <v>31</v>
      </c>
      <c r="H791">
        <v>29</v>
      </c>
      <c r="I791">
        <v>10.64</v>
      </c>
      <c r="J791">
        <v>3.38</v>
      </c>
      <c r="K791">
        <v>0.97</v>
      </c>
      <c r="L791">
        <v>0.48599999999999999</v>
      </c>
      <c r="M791">
        <v>9.1999999999999998E-2</v>
      </c>
      <c r="N791" s="21">
        <v>1.8816494845360825</v>
      </c>
      <c r="O791" s="21">
        <v>3.9488659793814431</v>
      </c>
      <c r="P791" s="21" t="s">
        <v>547</v>
      </c>
      <c r="Q791" s="21">
        <v>1.8816494845360825</v>
      </c>
      <c r="S791" t="s">
        <v>547</v>
      </c>
    </row>
    <row r="792" spans="1:19" x14ac:dyDescent="0.2">
      <c r="A792">
        <v>803</v>
      </c>
      <c r="B792" t="s">
        <v>263</v>
      </c>
      <c r="C792" t="s">
        <v>263</v>
      </c>
      <c r="D792" t="s">
        <v>24</v>
      </c>
      <c r="F792" t="s">
        <v>10</v>
      </c>
      <c r="G792">
        <v>42</v>
      </c>
      <c r="H792">
        <v>48</v>
      </c>
      <c r="I792">
        <v>12.84</v>
      </c>
      <c r="J792">
        <v>10.59</v>
      </c>
      <c r="K792">
        <v>1.26</v>
      </c>
      <c r="L792">
        <v>0.31</v>
      </c>
      <c r="M792">
        <v>0.128</v>
      </c>
      <c r="N792" s="21">
        <v>2.8949735449735448</v>
      </c>
      <c r="O792" s="21">
        <v>2.3400352733686067</v>
      </c>
      <c r="P792" s="21" t="s">
        <v>547</v>
      </c>
      <c r="Q792" s="21" t="s">
        <v>547</v>
      </c>
      <c r="R792" t="s">
        <v>25</v>
      </c>
      <c r="S792" t="s">
        <v>547</v>
      </c>
    </row>
    <row r="793" spans="1:19" x14ac:dyDescent="0.2">
      <c r="A793">
        <v>804</v>
      </c>
      <c r="B793" t="s">
        <v>263</v>
      </c>
      <c r="C793" t="s">
        <v>263</v>
      </c>
      <c r="D793" t="s">
        <v>24</v>
      </c>
      <c r="F793" t="s">
        <v>11</v>
      </c>
      <c r="G793">
        <v>32</v>
      </c>
      <c r="H793">
        <v>43</v>
      </c>
      <c r="I793">
        <v>9.35</v>
      </c>
      <c r="J793">
        <v>7.43</v>
      </c>
      <c r="K793">
        <v>1.26</v>
      </c>
      <c r="L793">
        <v>0.31</v>
      </c>
      <c r="M793">
        <v>0.128</v>
      </c>
      <c r="N793" s="21">
        <v>2.0311287477954143</v>
      </c>
      <c r="O793" s="21">
        <v>1.7039976484420927</v>
      </c>
      <c r="P793" s="21" t="s">
        <v>547</v>
      </c>
      <c r="Q793" s="21" t="s">
        <v>547</v>
      </c>
      <c r="S793" t="s">
        <v>547</v>
      </c>
    </row>
    <row r="794" spans="1:19" x14ac:dyDescent="0.2">
      <c r="A794">
        <v>805</v>
      </c>
      <c r="B794" t="s">
        <v>264</v>
      </c>
      <c r="C794" t="s">
        <v>264</v>
      </c>
      <c r="D794" t="s">
        <v>24</v>
      </c>
      <c r="E794" t="s">
        <v>9</v>
      </c>
      <c r="F794" t="s">
        <v>10</v>
      </c>
      <c r="G794">
        <v>61</v>
      </c>
      <c r="H794">
        <v>58</v>
      </c>
      <c r="I794">
        <v>5.71</v>
      </c>
      <c r="J794">
        <v>10.35</v>
      </c>
      <c r="K794">
        <v>0.98</v>
      </c>
      <c r="L794">
        <v>0.65700000000000003</v>
      </c>
      <c r="M794">
        <v>0.107</v>
      </c>
      <c r="N794" s="21">
        <v>7.7096938775510209</v>
      </c>
      <c r="O794" s="21">
        <v>2.8355782312925175</v>
      </c>
      <c r="P794" s="21">
        <v>7.7096938775510209</v>
      </c>
      <c r="Q794" s="21" t="s">
        <v>547</v>
      </c>
      <c r="S794" t="s">
        <v>547</v>
      </c>
    </row>
    <row r="795" spans="1:19" x14ac:dyDescent="0.2">
      <c r="A795">
        <v>806</v>
      </c>
      <c r="B795" t="s">
        <v>264</v>
      </c>
      <c r="C795" t="s">
        <v>264</v>
      </c>
      <c r="D795" t="s">
        <v>24</v>
      </c>
      <c r="E795" t="s">
        <v>9</v>
      </c>
      <c r="F795" t="s">
        <v>11</v>
      </c>
      <c r="G795">
        <v>57</v>
      </c>
      <c r="H795">
        <v>55</v>
      </c>
      <c r="I795">
        <v>6.4</v>
      </c>
      <c r="J795">
        <v>9.9600000000000009</v>
      </c>
      <c r="K795">
        <v>0.98</v>
      </c>
      <c r="L795">
        <v>0.65700000000000003</v>
      </c>
      <c r="M795">
        <v>0.107</v>
      </c>
      <c r="N795" s="21">
        <v>7.4191836734693899</v>
      </c>
      <c r="O795" s="21">
        <v>3.1782312925170078</v>
      </c>
      <c r="P795" s="21">
        <v>7.4191836734693899</v>
      </c>
      <c r="Q795" s="21" t="s">
        <v>547</v>
      </c>
      <c r="S795" t="s">
        <v>547</v>
      </c>
    </row>
    <row r="796" spans="1:19" x14ac:dyDescent="0.2">
      <c r="A796">
        <v>807</v>
      </c>
      <c r="B796" t="s">
        <v>264</v>
      </c>
      <c r="C796" t="s">
        <v>264</v>
      </c>
      <c r="D796" t="s">
        <v>24</v>
      </c>
      <c r="E796" t="s">
        <v>9</v>
      </c>
      <c r="F796" t="s">
        <v>12</v>
      </c>
      <c r="G796">
        <v>38</v>
      </c>
      <c r="H796">
        <v>47</v>
      </c>
      <c r="I796">
        <v>9.17</v>
      </c>
      <c r="J796">
        <v>7.28</v>
      </c>
      <c r="K796">
        <v>0.7</v>
      </c>
      <c r="L796">
        <v>0.51500000000000001</v>
      </c>
      <c r="M796">
        <v>8.5000000000000006E-2</v>
      </c>
      <c r="N796" s="21">
        <v>5.9511111111111124</v>
      </c>
      <c r="O796" s="21">
        <v>4.9974074074074082</v>
      </c>
      <c r="P796" s="21" t="s">
        <v>547</v>
      </c>
      <c r="Q796" s="21">
        <v>5.9511111111111124</v>
      </c>
      <c r="S796" t="s">
        <v>547</v>
      </c>
    </row>
    <row r="797" spans="1:19" x14ac:dyDescent="0.2">
      <c r="A797">
        <v>808</v>
      </c>
      <c r="B797" t="s">
        <v>264</v>
      </c>
      <c r="C797" t="s">
        <v>264</v>
      </c>
      <c r="D797" t="s">
        <v>24</v>
      </c>
      <c r="E797" t="s">
        <v>9</v>
      </c>
      <c r="F797" t="s">
        <v>14</v>
      </c>
      <c r="G797">
        <v>24</v>
      </c>
      <c r="H797">
        <v>28</v>
      </c>
      <c r="I797">
        <v>7.75</v>
      </c>
      <c r="J797">
        <v>4.54</v>
      </c>
      <c r="K797">
        <v>0.7</v>
      </c>
      <c r="L797">
        <v>0.51500000000000001</v>
      </c>
      <c r="M797">
        <v>8.5000000000000006E-2</v>
      </c>
      <c r="N797" s="21">
        <v>3.7112698412698415</v>
      </c>
      <c r="O797" s="21">
        <v>4.2235449735449748</v>
      </c>
      <c r="P797" s="21" t="s">
        <v>547</v>
      </c>
      <c r="Q797" s="21">
        <v>3.7112698412698415</v>
      </c>
      <c r="S797" t="s">
        <v>547</v>
      </c>
    </row>
    <row r="798" spans="1:19" x14ac:dyDescent="0.2">
      <c r="A798">
        <v>809</v>
      </c>
      <c r="B798" t="s">
        <v>265</v>
      </c>
      <c r="C798" t="s">
        <v>386</v>
      </c>
      <c r="D798" t="s">
        <v>24</v>
      </c>
      <c r="E798" t="s">
        <v>9</v>
      </c>
      <c r="F798" t="s">
        <v>10</v>
      </c>
      <c r="G798">
        <v>41</v>
      </c>
      <c r="H798">
        <v>57</v>
      </c>
      <c r="I798">
        <v>7.96</v>
      </c>
      <c r="J798">
        <v>9.07</v>
      </c>
      <c r="K798">
        <v>0.93</v>
      </c>
      <c r="L798">
        <v>0.56200000000000006</v>
      </c>
      <c r="M798">
        <v>0.11600000000000001</v>
      </c>
      <c r="N798" s="21">
        <v>6.0900119474313028</v>
      </c>
      <c r="O798" s="21">
        <v>3.5631381919553968</v>
      </c>
      <c r="P798" s="21">
        <v>6.0900119474313028</v>
      </c>
      <c r="Q798" s="21" t="s">
        <v>547</v>
      </c>
      <c r="S798" t="s">
        <v>547</v>
      </c>
    </row>
    <row r="799" spans="1:19" x14ac:dyDescent="0.2">
      <c r="A799">
        <v>810</v>
      </c>
      <c r="B799" t="s">
        <v>265</v>
      </c>
      <c r="C799" t="s">
        <v>386</v>
      </c>
      <c r="D799" t="s">
        <v>24</v>
      </c>
      <c r="E799" t="s">
        <v>9</v>
      </c>
      <c r="F799" t="s">
        <v>11</v>
      </c>
      <c r="G799">
        <v>40</v>
      </c>
      <c r="H799">
        <v>43</v>
      </c>
      <c r="I799">
        <v>8.1</v>
      </c>
      <c r="J799">
        <v>8.7899999999999991</v>
      </c>
      <c r="K799">
        <v>0.93</v>
      </c>
      <c r="L799">
        <v>0.56200000000000006</v>
      </c>
      <c r="M799">
        <v>0.11600000000000001</v>
      </c>
      <c r="N799" s="21">
        <v>5.9020071684587814</v>
      </c>
      <c r="O799" s="21">
        <v>3.6258064516129038</v>
      </c>
      <c r="P799" s="21">
        <v>5.9020071684587814</v>
      </c>
      <c r="Q799" s="21" t="s">
        <v>547</v>
      </c>
      <c r="S799" t="s">
        <v>547</v>
      </c>
    </row>
    <row r="800" spans="1:19" x14ac:dyDescent="0.2">
      <c r="A800">
        <v>811</v>
      </c>
      <c r="B800" t="s">
        <v>265</v>
      </c>
      <c r="C800" t="s">
        <v>386</v>
      </c>
      <c r="D800" t="s">
        <v>24</v>
      </c>
      <c r="E800" t="s">
        <v>9</v>
      </c>
      <c r="F800" t="s">
        <v>12</v>
      </c>
      <c r="G800">
        <v>39</v>
      </c>
      <c r="H800">
        <v>41</v>
      </c>
      <c r="I800">
        <v>4.72</v>
      </c>
      <c r="J800">
        <v>6.74</v>
      </c>
      <c r="K800">
        <v>0.8</v>
      </c>
      <c r="L800">
        <v>0.56399999999999995</v>
      </c>
      <c r="M800">
        <v>8.3000000000000004E-2</v>
      </c>
      <c r="N800" s="21">
        <v>5.2796666666666656</v>
      </c>
      <c r="O800" s="21">
        <v>2.464888888888888</v>
      </c>
      <c r="P800" s="21" t="s">
        <v>547</v>
      </c>
      <c r="Q800" s="21">
        <v>5.2796666666666656</v>
      </c>
      <c r="S800" t="s">
        <v>547</v>
      </c>
    </row>
    <row r="801" spans="1:19" x14ac:dyDescent="0.2">
      <c r="A801">
        <v>812</v>
      </c>
      <c r="B801" t="s">
        <v>265</v>
      </c>
      <c r="C801" t="s">
        <v>386</v>
      </c>
      <c r="D801" t="s">
        <v>24</v>
      </c>
      <c r="E801" t="s">
        <v>9</v>
      </c>
      <c r="F801" t="s">
        <v>14</v>
      </c>
      <c r="G801">
        <v>40</v>
      </c>
      <c r="H801">
        <v>37</v>
      </c>
      <c r="I801">
        <v>4.0599999999999996</v>
      </c>
      <c r="J801">
        <v>5.41</v>
      </c>
      <c r="K801">
        <v>0.8</v>
      </c>
      <c r="L801">
        <v>0.56399999999999995</v>
      </c>
      <c r="M801">
        <v>8.3000000000000004E-2</v>
      </c>
      <c r="N801" s="21">
        <v>4.2378333333333327</v>
      </c>
      <c r="O801" s="21">
        <v>2.1202222222222216</v>
      </c>
      <c r="P801" s="21" t="s">
        <v>547</v>
      </c>
      <c r="Q801" s="21">
        <v>4.2378333333333327</v>
      </c>
      <c r="S801" t="s">
        <v>547</v>
      </c>
    </row>
    <row r="802" spans="1:19" x14ac:dyDescent="0.2">
      <c r="A802">
        <v>813</v>
      </c>
      <c r="B802" t="s">
        <v>266</v>
      </c>
      <c r="C802" t="s">
        <v>266</v>
      </c>
      <c r="D802" t="s">
        <v>24</v>
      </c>
      <c r="F802" t="s">
        <v>10</v>
      </c>
      <c r="G802">
        <v>48</v>
      </c>
      <c r="H802">
        <v>53</v>
      </c>
      <c r="I802">
        <v>6.48</v>
      </c>
      <c r="J802">
        <v>7.1</v>
      </c>
      <c r="K802">
        <v>0.8</v>
      </c>
      <c r="L802">
        <v>0.57799999999999996</v>
      </c>
      <c r="M802">
        <v>0.127</v>
      </c>
      <c r="N802" s="21">
        <v>5.6997222222222224</v>
      </c>
      <c r="O802" s="21">
        <v>3.4679999999999995</v>
      </c>
      <c r="P802" s="21" t="s">
        <v>547</v>
      </c>
      <c r="Q802" s="21" t="s">
        <v>547</v>
      </c>
      <c r="S802" t="s">
        <v>547</v>
      </c>
    </row>
    <row r="803" spans="1:19" x14ac:dyDescent="0.2">
      <c r="A803">
        <v>814</v>
      </c>
      <c r="B803" t="s">
        <v>266</v>
      </c>
      <c r="C803" t="s">
        <v>266</v>
      </c>
      <c r="D803" t="s">
        <v>24</v>
      </c>
      <c r="F803" t="s">
        <v>11</v>
      </c>
      <c r="G803">
        <v>37</v>
      </c>
      <c r="H803">
        <v>40</v>
      </c>
      <c r="I803">
        <v>4.32</v>
      </c>
      <c r="J803">
        <v>5.13</v>
      </c>
      <c r="K803">
        <v>0.8</v>
      </c>
      <c r="L803">
        <v>0.57799999999999996</v>
      </c>
      <c r="M803">
        <v>0.127</v>
      </c>
      <c r="N803" s="21">
        <v>4.1182499999999997</v>
      </c>
      <c r="O803" s="21">
        <v>2.3119999999999994</v>
      </c>
      <c r="P803" s="21" t="s">
        <v>547</v>
      </c>
      <c r="Q803" s="21" t="s">
        <v>547</v>
      </c>
      <c r="S803" t="s">
        <v>547</v>
      </c>
    </row>
    <row r="804" spans="1:19" x14ac:dyDescent="0.2">
      <c r="A804">
        <v>815</v>
      </c>
      <c r="B804" t="s">
        <v>267</v>
      </c>
      <c r="C804" t="s">
        <v>387</v>
      </c>
      <c r="D804" t="s">
        <v>24</v>
      </c>
      <c r="E804" t="s">
        <v>9</v>
      </c>
      <c r="F804" t="s">
        <v>10</v>
      </c>
      <c r="G804">
        <v>33</v>
      </c>
      <c r="H804">
        <v>30</v>
      </c>
      <c r="I804">
        <v>4.46</v>
      </c>
      <c r="J804">
        <v>3.76</v>
      </c>
      <c r="K804">
        <v>0.99</v>
      </c>
      <c r="L804">
        <v>0.59799999999999998</v>
      </c>
      <c r="M804">
        <v>0.11700000000000001</v>
      </c>
      <c r="N804" s="21">
        <v>2.5235465768799101</v>
      </c>
      <c r="O804" s="21">
        <v>1.9955705200149647</v>
      </c>
      <c r="P804" s="21">
        <v>2.5235465768799101</v>
      </c>
      <c r="Q804" s="21" t="s">
        <v>547</v>
      </c>
      <c r="S804" t="s">
        <v>547</v>
      </c>
    </row>
    <row r="805" spans="1:19" x14ac:dyDescent="0.2">
      <c r="A805">
        <v>816</v>
      </c>
      <c r="B805" t="s">
        <v>267</v>
      </c>
      <c r="C805" t="s">
        <v>387</v>
      </c>
      <c r="D805" t="s">
        <v>24</v>
      </c>
      <c r="E805" t="s">
        <v>9</v>
      </c>
      <c r="F805" t="s">
        <v>11</v>
      </c>
      <c r="G805">
        <v>32</v>
      </c>
      <c r="H805">
        <v>35</v>
      </c>
      <c r="I805">
        <v>7.03</v>
      </c>
      <c r="J805">
        <v>5.12</v>
      </c>
      <c r="K805">
        <v>0.99</v>
      </c>
      <c r="L805">
        <v>0.59799999999999998</v>
      </c>
      <c r="M805">
        <v>0.11700000000000001</v>
      </c>
      <c r="N805" s="21">
        <v>3.4363187429854096</v>
      </c>
      <c r="O805" s="21">
        <v>3.1454844743733634</v>
      </c>
      <c r="P805" s="21">
        <v>3.4363187429854096</v>
      </c>
      <c r="Q805" s="21" t="s">
        <v>547</v>
      </c>
      <c r="S805" t="s">
        <v>547</v>
      </c>
    </row>
    <row r="806" spans="1:19" x14ac:dyDescent="0.2">
      <c r="A806">
        <v>817</v>
      </c>
      <c r="B806" t="s">
        <v>267</v>
      </c>
      <c r="C806" t="s">
        <v>387</v>
      </c>
      <c r="D806" t="s">
        <v>24</v>
      </c>
      <c r="E806" t="s">
        <v>9</v>
      </c>
      <c r="F806" t="s">
        <v>12</v>
      </c>
      <c r="G806">
        <v>35</v>
      </c>
      <c r="H806">
        <v>35</v>
      </c>
      <c r="I806">
        <v>3.37</v>
      </c>
      <c r="J806">
        <v>5.55</v>
      </c>
      <c r="K806">
        <v>0.72</v>
      </c>
      <c r="L806">
        <v>0.54800000000000004</v>
      </c>
      <c r="M806">
        <v>8.5000000000000006E-2</v>
      </c>
      <c r="N806" s="21">
        <v>4.6935185185185189</v>
      </c>
      <c r="O806" s="21">
        <v>1.8999588477366258</v>
      </c>
      <c r="P806" s="21" t="s">
        <v>547</v>
      </c>
      <c r="Q806" s="21">
        <v>4.6935185185185189</v>
      </c>
      <c r="S806" t="s">
        <v>547</v>
      </c>
    </row>
    <row r="807" spans="1:19" x14ac:dyDescent="0.2">
      <c r="A807">
        <v>818</v>
      </c>
      <c r="B807" t="s">
        <v>267</v>
      </c>
      <c r="C807" t="s">
        <v>387</v>
      </c>
      <c r="D807" t="s">
        <v>24</v>
      </c>
      <c r="E807" t="s">
        <v>9</v>
      </c>
      <c r="F807" t="s">
        <v>14</v>
      </c>
      <c r="G807">
        <v>38</v>
      </c>
      <c r="H807">
        <v>39</v>
      </c>
      <c r="I807">
        <v>3.59</v>
      </c>
      <c r="J807">
        <v>5.39</v>
      </c>
      <c r="K807">
        <v>0.72</v>
      </c>
      <c r="L807">
        <v>0.54800000000000004</v>
      </c>
      <c r="M807">
        <v>8.5000000000000006E-2</v>
      </c>
      <c r="N807" s="21">
        <v>4.5582098765432102</v>
      </c>
      <c r="O807" s="21">
        <v>2.0239917695473251</v>
      </c>
      <c r="P807" s="21" t="s">
        <v>547</v>
      </c>
      <c r="Q807" s="21">
        <v>4.5582098765432102</v>
      </c>
      <c r="S807" t="s">
        <v>547</v>
      </c>
    </row>
    <row r="808" spans="1:19" x14ac:dyDescent="0.2">
      <c r="A808">
        <v>819</v>
      </c>
      <c r="B808" t="s">
        <v>268</v>
      </c>
      <c r="C808" t="s">
        <v>388</v>
      </c>
      <c r="D808" t="s">
        <v>24</v>
      </c>
      <c r="E808" t="s">
        <v>9</v>
      </c>
      <c r="F808" t="s">
        <v>10</v>
      </c>
      <c r="G808">
        <v>32</v>
      </c>
      <c r="H808">
        <v>36</v>
      </c>
      <c r="I808">
        <v>8.86</v>
      </c>
      <c r="J808">
        <v>6.23</v>
      </c>
      <c r="K808">
        <v>0.95</v>
      </c>
      <c r="L808">
        <v>0.59</v>
      </c>
      <c r="M808">
        <v>9.2999999999999999E-2</v>
      </c>
      <c r="N808" s="21">
        <v>4.2990643274853815</v>
      </c>
      <c r="O808" s="21">
        <v>4.0759454191033138</v>
      </c>
      <c r="P808" s="21">
        <v>4.2990643274853815</v>
      </c>
      <c r="Q808" s="21" t="s">
        <v>547</v>
      </c>
      <c r="S808" t="s">
        <v>547</v>
      </c>
    </row>
    <row r="809" spans="1:19" x14ac:dyDescent="0.2">
      <c r="A809">
        <v>820</v>
      </c>
      <c r="B809" t="s">
        <v>268</v>
      </c>
      <c r="C809" t="s">
        <v>388</v>
      </c>
      <c r="D809" t="s">
        <v>24</v>
      </c>
      <c r="E809" t="s">
        <v>9</v>
      </c>
      <c r="F809" t="s">
        <v>11</v>
      </c>
      <c r="G809">
        <v>34</v>
      </c>
      <c r="H809">
        <v>37</v>
      </c>
      <c r="I809">
        <v>5.99</v>
      </c>
      <c r="J809">
        <v>4.91</v>
      </c>
      <c r="K809">
        <v>0.95</v>
      </c>
      <c r="L809">
        <v>0.59</v>
      </c>
      <c r="M809">
        <v>9.2999999999999999E-2</v>
      </c>
      <c r="N809" s="21">
        <v>3.3881871345029242</v>
      </c>
      <c r="O809" s="21">
        <v>2.7556335282651072</v>
      </c>
      <c r="P809" s="21">
        <v>3.3881871345029242</v>
      </c>
      <c r="Q809" s="21" t="s">
        <v>547</v>
      </c>
      <c r="S809" t="s">
        <v>547</v>
      </c>
    </row>
    <row r="810" spans="1:19" x14ac:dyDescent="0.2">
      <c r="A810">
        <v>821</v>
      </c>
      <c r="B810" t="s">
        <v>268</v>
      </c>
      <c r="C810" t="s">
        <v>388</v>
      </c>
      <c r="D810" t="s">
        <v>24</v>
      </c>
      <c r="E810" t="s">
        <v>9</v>
      </c>
      <c r="F810" t="s">
        <v>12</v>
      </c>
      <c r="G810">
        <v>40</v>
      </c>
      <c r="H810">
        <v>39</v>
      </c>
      <c r="I810">
        <v>11.07</v>
      </c>
      <c r="J810">
        <v>7.77</v>
      </c>
      <c r="K810">
        <v>1.07</v>
      </c>
      <c r="L810">
        <v>0.53300000000000003</v>
      </c>
      <c r="M810">
        <v>9.6000000000000002E-2</v>
      </c>
      <c r="N810" s="21">
        <v>4.3005295950155764</v>
      </c>
      <c r="O810" s="21">
        <v>4.0846728971962616</v>
      </c>
      <c r="P810" s="21" t="s">
        <v>547</v>
      </c>
      <c r="Q810" s="21">
        <v>4.3005295950155764</v>
      </c>
      <c r="S810" t="s">
        <v>547</v>
      </c>
    </row>
    <row r="811" spans="1:19" x14ac:dyDescent="0.2">
      <c r="A811">
        <v>822</v>
      </c>
      <c r="B811" t="s">
        <v>268</v>
      </c>
      <c r="C811" t="s">
        <v>388</v>
      </c>
      <c r="D811" t="s">
        <v>24</v>
      </c>
      <c r="E811" t="s">
        <v>9</v>
      </c>
      <c r="F811" t="s">
        <v>14</v>
      </c>
      <c r="G811">
        <v>34</v>
      </c>
      <c r="H811">
        <v>33</v>
      </c>
      <c r="I811">
        <v>9.4</v>
      </c>
      <c r="J811">
        <v>5.28</v>
      </c>
      <c r="K811">
        <v>1.07</v>
      </c>
      <c r="L811">
        <v>0.53300000000000003</v>
      </c>
      <c r="M811">
        <v>9.6000000000000002E-2</v>
      </c>
      <c r="N811" s="21">
        <v>2.9223676012461062</v>
      </c>
      <c r="O811" s="21">
        <v>3.4684665974385602</v>
      </c>
      <c r="P811" s="21" t="s">
        <v>547</v>
      </c>
      <c r="Q811" s="21">
        <v>2.9223676012461062</v>
      </c>
      <c r="S811" t="s">
        <v>547</v>
      </c>
    </row>
    <row r="812" spans="1:19" x14ac:dyDescent="0.2">
      <c r="A812">
        <v>823</v>
      </c>
      <c r="B812" t="s">
        <v>269</v>
      </c>
      <c r="C812" t="s">
        <v>269</v>
      </c>
      <c r="D812" t="s">
        <v>24</v>
      </c>
      <c r="E812" t="s">
        <v>9</v>
      </c>
      <c r="F812" t="s">
        <v>10</v>
      </c>
      <c r="G812">
        <v>48</v>
      </c>
      <c r="H812">
        <v>52</v>
      </c>
      <c r="I812">
        <v>6.29</v>
      </c>
      <c r="J812">
        <v>6.98</v>
      </c>
      <c r="K812">
        <v>0.82</v>
      </c>
      <c r="L812">
        <v>0.56100000000000005</v>
      </c>
      <c r="M812">
        <v>0.11799999999999999</v>
      </c>
      <c r="N812" s="21">
        <v>5.3059349593495941</v>
      </c>
      <c r="O812" s="21">
        <v>3.1876151761517622</v>
      </c>
      <c r="P812" s="21">
        <v>5.3059349593495941</v>
      </c>
      <c r="Q812" s="21" t="s">
        <v>547</v>
      </c>
      <c r="S812" t="s">
        <v>547</v>
      </c>
    </row>
    <row r="813" spans="1:19" x14ac:dyDescent="0.2">
      <c r="A813">
        <v>824</v>
      </c>
      <c r="B813" t="s">
        <v>269</v>
      </c>
      <c r="C813" t="s">
        <v>269</v>
      </c>
      <c r="D813" t="s">
        <v>24</v>
      </c>
      <c r="E813" t="s">
        <v>9</v>
      </c>
      <c r="F813" t="s">
        <v>11</v>
      </c>
      <c r="G813">
        <v>49</v>
      </c>
      <c r="H813">
        <v>48</v>
      </c>
      <c r="I813">
        <v>5.64</v>
      </c>
      <c r="J813">
        <v>6.76</v>
      </c>
      <c r="K813">
        <v>0.82</v>
      </c>
      <c r="L813">
        <v>0.56100000000000005</v>
      </c>
      <c r="M813">
        <v>0.11799999999999999</v>
      </c>
      <c r="N813" s="21">
        <v>5.1386991869918708</v>
      </c>
      <c r="O813" s="21">
        <v>2.8582113821138213</v>
      </c>
      <c r="P813" s="21">
        <v>5.1386991869918708</v>
      </c>
      <c r="Q813" s="21" t="s">
        <v>547</v>
      </c>
      <c r="S813" t="s">
        <v>547</v>
      </c>
    </row>
    <row r="814" spans="1:19" x14ac:dyDescent="0.2">
      <c r="A814">
        <v>825</v>
      </c>
      <c r="B814" t="s">
        <v>269</v>
      </c>
      <c r="C814" t="s">
        <v>269</v>
      </c>
      <c r="D814" t="s">
        <v>24</v>
      </c>
      <c r="E814" t="s">
        <v>9</v>
      </c>
      <c r="F814" t="s">
        <v>12</v>
      </c>
      <c r="G814">
        <v>34</v>
      </c>
      <c r="H814">
        <v>33</v>
      </c>
      <c r="I814">
        <v>3.15</v>
      </c>
      <c r="J814">
        <v>3.45</v>
      </c>
      <c r="K814">
        <v>0.56999999999999995</v>
      </c>
      <c r="L814">
        <v>0.40799999999999997</v>
      </c>
      <c r="M814">
        <v>8.4000000000000005E-2</v>
      </c>
      <c r="N814" s="21">
        <v>2.7438596491228071</v>
      </c>
      <c r="O814" s="21">
        <v>1.6701754385964913</v>
      </c>
      <c r="P814" s="21" t="s">
        <v>547</v>
      </c>
      <c r="Q814" s="21">
        <v>2.7438596491228071</v>
      </c>
      <c r="S814" t="s">
        <v>547</v>
      </c>
    </row>
    <row r="815" spans="1:19" x14ac:dyDescent="0.2">
      <c r="A815">
        <v>826</v>
      </c>
      <c r="B815" t="s">
        <v>269</v>
      </c>
      <c r="C815" t="s">
        <v>269</v>
      </c>
      <c r="D815" t="s">
        <v>24</v>
      </c>
      <c r="E815" t="s">
        <v>9</v>
      </c>
      <c r="F815" t="s">
        <v>14</v>
      </c>
      <c r="G815">
        <v>46</v>
      </c>
      <c r="H815">
        <v>37</v>
      </c>
      <c r="I815">
        <v>2.19</v>
      </c>
      <c r="J815">
        <v>1.65</v>
      </c>
      <c r="K815">
        <v>0.56999999999999995</v>
      </c>
      <c r="L815">
        <v>0.40799999999999997</v>
      </c>
      <c r="M815">
        <v>8.4000000000000005E-2</v>
      </c>
      <c r="N815" s="21">
        <v>1.312280701754386</v>
      </c>
      <c r="O815" s="21">
        <v>1.1611695906432749</v>
      </c>
      <c r="P815" s="21" t="s">
        <v>547</v>
      </c>
      <c r="Q815" s="21">
        <v>1.312280701754386</v>
      </c>
      <c r="S815" t="s">
        <v>547</v>
      </c>
    </row>
    <row r="816" spans="1:19" x14ac:dyDescent="0.2">
      <c r="A816">
        <v>827</v>
      </c>
      <c r="B816" t="s">
        <v>270</v>
      </c>
      <c r="C816" t="s">
        <v>270</v>
      </c>
      <c r="D816" t="s">
        <v>24</v>
      </c>
      <c r="E816" t="s">
        <v>9</v>
      </c>
      <c r="F816" t="s">
        <v>10</v>
      </c>
      <c r="G816">
        <v>44</v>
      </c>
      <c r="H816">
        <v>47</v>
      </c>
      <c r="I816">
        <v>5.14</v>
      </c>
      <c r="J816">
        <v>7.01</v>
      </c>
      <c r="K816">
        <v>0.91</v>
      </c>
      <c r="L816">
        <v>0.66300000000000003</v>
      </c>
      <c r="M816">
        <v>0.11799999999999999</v>
      </c>
      <c r="N816" s="21">
        <v>5.6747619047619047</v>
      </c>
      <c r="O816" s="21">
        <v>2.7739682539682544</v>
      </c>
      <c r="P816" s="21">
        <v>5.6747619047619047</v>
      </c>
      <c r="Q816" s="21" t="s">
        <v>547</v>
      </c>
      <c r="S816" t="s">
        <v>547</v>
      </c>
    </row>
    <row r="817" spans="1:19" x14ac:dyDescent="0.2">
      <c r="A817">
        <v>828</v>
      </c>
      <c r="B817" t="s">
        <v>270</v>
      </c>
      <c r="C817" t="s">
        <v>270</v>
      </c>
      <c r="D817" t="s">
        <v>24</v>
      </c>
      <c r="E817" t="s">
        <v>9</v>
      </c>
      <c r="F817" t="s">
        <v>11</v>
      </c>
      <c r="G817">
        <v>30</v>
      </c>
      <c r="H817">
        <v>30</v>
      </c>
      <c r="I817">
        <v>3.43</v>
      </c>
      <c r="J817">
        <v>5.21</v>
      </c>
      <c r="K817">
        <v>0.91</v>
      </c>
      <c r="L817">
        <v>0.66300000000000003</v>
      </c>
      <c r="M817">
        <v>0.11799999999999999</v>
      </c>
      <c r="N817" s="21">
        <v>4.2176190476190474</v>
      </c>
      <c r="O817" s="21">
        <v>1.8511111111111114</v>
      </c>
      <c r="P817" s="21">
        <v>4.2176190476190474</v>
      </c>
      <c r="Q817" s="21" t="s">
        <v>547</v>
      </c>
      <c r="S817" t="s">
        <v>547</v>
      </c>
    </row>
    <row r="818" spans="1:19" x14ac:dyDescent="0.2">
      <c r="A818">
        <v>829</v>
      </c>
      <c r="B818" t="s">
        <v>270</v>
      </c>
      <c r="C818" t="s">
        <v>270</v>
      </c>
      <c r="D818" t="s">
        <v>24</v>
      </c>
      <c r="E818" t="s">
        <v>9</v>
      </c>
      <c r="F818" t="s">
        <v>12</v>
      </c>
      <c r="G818">
        <v>37</v>
      </c>
      <c r="H818">
        <v>37</v>
      </c>
      <c r="I818">
        <v>4.17</v>
      </c>
      <c r="J818">
        <v>5.46</v>
      </c>
      <c r="K818">
        <v>0.81</v>
      </c>
      <c r="L818">
        <v>0.56000000000000005</v>
      </c>
      <c r="M818">
        <v>7.0000000000000007E-2</v>
      </c>
      <c r="N818" s="21">
        <v>4.1942386831275726</v>
      </c>
      <c r="O818" s="21">
        <v>2.1355281207133059</v>
      </c>
      <c r="P818" s="21" t="s">
        <v>547</v>
      </c>
      <c r="Q818" s="21">
        <v>4.1942386831275726</v>
      </c>
      <c r="S818" t="s">
        <v>547</v>
      </c>
    </row>
    <row r="819" spans="1:19" x14ac:dyDescent="0.2">
      <c r="A819">
        <v>830</v>
      </c>
      <c r="B819" t="s">
        <v>270</v>
      </c>
      <c r="C819" t="s">
        <v>270</v>
      </c>
      <c r="D819" t="s">
        <v>24</v>
      </c>
      <c r="E819" t="s">
        <v>9</v>
      </c>
      <c r="F819" t="s">
        <v>14</v>
      </c>
      <c r="G819">
        <v>27</v>
      </c>
      <c r="H819">
        <v>28</v>
      </c>
      <c r="I819">
        <v>3.98</v>
      </c>
      <c r="J819">
        <v>4.96</v>
      </c>
      <c r="K819">
        <v>0.81</v>
      </c>
      <c r="L819">
        <v>0.56000000000000005</v>
      </c>
      <c r="M819">
        <v>7.0000000000000007E-2</v>
      </c>
      <c r="N819" s="21">
        <v>3.8101508916323734</v>
      </c>
      <c r="O819" s="21">
        <v>2.038225880201189</v>
      </c>
      <c r="P819" s="21" t="s">
        <v>547</v>
      </c>
      <c r="Q819" s="21">
        <v>3.8101508916323734</v>
      </c>
      <c r="S819" t="s">
        <v>547</v>
      </c>
    </row>
    <row r="820" spans="1:19" x14ac:dyDescent="0.2">
      <c r="A820">
        <v>831</v>
      </c>
      <c r="B820" t="s">
        <v>271</v>
      </c>
      <c r="C820" t="s">
        <v>389</v>
      </c>
      <c r="D820" t="s">
        <v>24</v>
      </c>
      <c r="F820" t="s">
        <v>10</v>
      </c>
      <c r="G820">
        <v>57</v>
      </c>
      <c r="H820">
        <v>34</v>
      </c>
      <c r="I820">
        <v>3.1</v>
      </c>
      <c r="J820">
        <v>1.01</v>
      </c>
      <c r="K820">
        <v>0.34</v>
      </c>
      <c r="L820">
        <v>0.184</v>
      </c>
      <c r="M820">
        <v>0.12</v>
      </c>
      <c r="N820" s="21">
        <v>0.60732026143790852</v>
      </c>
      <c r="O820" s="21">
        <v>1.2427015250544662</v>
      </c>
      <c r="P820" s="21" t="s">
        <v>547</v>
      </c>
      <c r="Q820" s="21" t="s">
        <v>547</v>
      </c>
      <c r="S820" t="s">
        <v>547</v>
      </c>
    </row>
    <row r="821" spans="1:19" x14ac:dyDescent="0.2">
      <c r="A821">
        <v>832</v>
      </c>
      <c r="B821" t="s">
        <v>271</v>
      </c>
      <c r="C821" t="s">
        <v>389</v>
      </c>
      <c r="D821" t="s">
        <v>24</v>
      </c>
      <c r="F821" t="s">
        <v>11</v>
      </c>
      <c r="G821">
        <v>33</v>
      </c>
      <c r="H821">
        <v>16</v>
      </c>
      <c r="I821">
        <v>2.13</v>
      </c>
      <c r="J821">
        <v>0.56000000000000005</v>
      </c>
      <c r="K821">
        <v>0.34</v>
      </c>
      <c r="L821">
        <v>0.184</v>
      </c>
      <c r="M821">
        <v>0.12</v>
      </c>
      <c r="N821" s="21">
        <v>0.33673202614379089</v>
      </c>
      <c r="O821" s="21">
        <v>0.85385620915032667</v>
      </c>
      <c r="P821" s="21" t="s">
        <v>547</v>
      </c>
      <c r="Q821" s="21" t="s">
        <v>547</v>
      </c>
      <c r="S821" t="s">
        <v>547</v>
      </c>
    </row>
    <row r="822" spans="1:19" x14ac:dyDescent="0.2">
      <c r="A822">
        <v>833</v>
      </c>
      <c r="B822" t="s">
        <v>272</v>
      </c>
      <c r="C822" t="s">
        <v>272</v>
      </c>
      <c r="D822" t="s">
        <v>24</v>
      </c>
      <c r="E822" t="s">
        <v>9</v>
      </c>
      <c r="F822" t="s">
        <v>10</v>
      </c>
      <c r="G822">
        <v>30</v>
      </c>
      <c r="H822">
        <v>26</v>
      </c>
      <c r="I822">
        <v>3.7</v>
      </c>
      <c r="J822">
        <v>3.96</v>
      </c>
      <c r="K822">
        <v>0.6</v>
      </c>
      <c r="L822">
        <v>0.53400000000000003</v>
      </c>
      <c r="M822">
        <v>8.6999999999999994E-2</v>
      </c>
      <c r="N822" s="21">
        <v>3.9160000000000008</v>
      </c>
      <c r="O822" s="21">
        <v>2.4392592592592597</v>
      </c>
      <c r="P822" s="21">
        <v>3.9160000000000008</v>
      </c>
      <c r="Q822" s="21" t="s">
        <v>547</v>
      </c>
      <c r="S822" t="s">
        <v>547</v>
      </c>
    </row>
    <row r="823" spans="1:19" x14ac:dyDescent="0.2">
      <c r="A823">
        <v>834</v>
      </c>
      <c r="B823" t="s">
        <v>272</v>
      </c>
      <c r="C823" t="s">
        <v>272</v>
      </c>
      <c r="D823" t="s">
        <v>24</v>
      </c>
      <c r="E823" t="s">
        <v>9</v>
      </c>
      <c r="F823" t="s">
        <v>11</v>
      </c>
      <c r="G823">
        <v>28</v>
      </c>
      <c r="H823">
        <v>25</v>
      </c>
      <c r="I823">
        <v>3.25</v>
      </c>
      <c r="J823">
        <v>4.32</v>
      </c>
      <c r="K823">
        <v>0.6</v>
      </c>
      <c r="L823">
        <v>0.53400000000000003</v>
      </c>
      <c r="M823">
        <v>8.6999999999999994E-2</v>
      </c>
      <c r="N823" s="21">
        <v>4.2720000000000011</v>
      </c>
      <c r="O823" s="21">
        <v>2.1425925925925928</v>
      </c>
      <c r="P823" s="21">
        <v>4.2720000000000011</v>
      </c>
      <c r="Q823" s="21" t="s">
        <v>547</v>
      </c>
      <c r="S823" t="s">
        <v>547</v>
      </c>
    </row>
    <row r="824" spans="1:19" x14ac:dyDescent="0.2">
      <c r="A824">
        <v>835</v>
      </c>
      <c r="B824" t="s">
        <v>272</v>
      </c>
      <c r="C824" t="s">
        <v>272</v>
      </c>
      <c r="D824" t="s">
        <v>24</v>
      </c>
      <c r="E824" t="s">
        <v>9</v>
      </c>
      <c r="F824" t="s">
        <v>12</v>
      </c>
      <c r="G824">
        <v>31</v>
      </c>
      <c r="H824">
        <v>28</v>
      </c>
      <c r="I824">
        <v>6.57</v>
      </c>
      <c r="J824">
        <v>6.14</v>
      </c>
      <c r="K824">
        <v>1.1200000000000001</v>
      </c>
      <c r="L824">
        <v>0.73899999999999999</v>
      </c>
      <c r="M824">
        <v>9.7000000000000003E-2</v>
      </c>
      <c r="N824" s="21">
        <v>4.5014484126984113</v>
      </c>
      <c r="O824" s="21">
        <v>3.2111309523809521</v>
      </c>
      <c r="P824" s="21" t="s">
        <v>547</v>
      </c>
      <c r="Q824" s="21">
        <v>4.5014484126984113</v>
      </c>
      <c r="S824" t="s">
        <v>547</v>
      </c>
    </row>
    <row r="825" spans="1:19" x14ac:dyDescent="0.2">
      <c r="A825">
        <v>836</v>
      </c>
      <c r="B825" t="s">
        <v>272</v>
      </c>
      <c r="C825" t="s">
        <v>272</v>
      </c>
      <c r="D825" t="s">
        <v>24</v>
      </c>
      <c r="E825" t="s">
        <v>9</v>
      </c>
      <c r="F825" t="s">
        <v>14</v>
      </c>
      <c r="G825">
        <v>34</v>
      </c>
      <c r="H825">
        <v>33</v>
      </c>
      <c r="I825">
        <v>7.66</v>
      </c>
      <c r="J825">
        <v>6.54</v>
      </c>
      <c r="K825">
        <v>1.1200000000000001</v>
      </c>
      <c r="L825">
        <v>0.73899999999999999</v>
      </c>
      <c r="M825">
        <v>9.7000000000000003E-2</v>
      </c>
      <c r="N825" s="21">
        <v>4.7947023809523799</v>
      </c>
      <c r="O825" s="21">
        <v>3.743875661375661</v>
      </c>
      <c r="P825" s="21" t="s">
        <v>547</v>
      </c>
      <c r="Q825" s="21">
        <v>4.7947023809523799</v>
      </c>
      <c r="S825" t="s">
        <v>547</v>
      </c>
    </row>
    <row r="826" spans="1:19" x14ac:dyDescent="0.2">
      <c r="A826">
        <v>837</v>
      </c>
      <c r="B826" t="s">
        <v>273</v>
      </c>
      <c r="C826" t="s">
        <v>390</v>
      </c>
      <c r="D826" t="s">
        <v>24</v>
      </c>
      <c r="E826" t="s">
        <v>9</v>
      </c>
      <c r="F826" t="s">
        <v>10</v>
      </c>
      <c r="G826">
        <v>42</v>
      </c>
      <c r="H826">
        <v>41</v>
      </c>
      <c r="I826">
        <v>9.59</v>
      </c>
      <c r="J826">
        <v>5.52</v>
      </c>
      <c r="K826">
        <v>0.82</v>
      </c>
      <c r="L826">
        <v>0.48499999999999999</v>
      </c>
      <c r="M826">
        <v>7.0999999999999994E-2</v>
      </c>
      <c r="N826" s="21">
        <v>3.627642276422764</v>
      </c>
      <c r="O826" s="21">
        <v>4.2015808491418252</v>
      </c>
      <c r="P826" s="21">
        <v>3.627642276422764</v>
      </c>
      <c r="Q826" s="21" t="s">
        <v>547</v>
      </c>
      <c r="S826" t="s">
        <v>547</v>
      </c>
    </row>
    <row r="827" spans="1:19" x14ac:dyDescent="0.2">
      <c r="A827">
        <v>838</v>
      </c>
      <c r="B827" t="s">
        <v>273</v>
      </c>
      <c r="C827" t="s">
        <v>390</v>
      </c>
      <c r="D827" t="s">
        <v>24</v>
      </c>
      <c r="E827" t="s">
        <v>9</v>
      </c>
      <c r="F827" t="s">
        <v>11</v>
      </c>
      <c r="G827">
        <v>36</v>
      </c>
      <c r="H827">
        <v>38</v>
      </c>
      <c r="I827">
        <v>8.3000000000000007</v>
      </c>
      <c r="J827">
        <v>8.81</v>
      </c>
      <c r="K827">
        <v>0.82</v>
      </c>
      <c r="L827">
        <v>0.48499999999999999</v>
      </c>
      <c r="M827">
        <v>7.0999999999999994E-2</v>
      </c>
      <c r="N827" s="21">
        <v>5.7897696476964775</v>
      </c>
      <c r="O827" s="21">
        <v>3.6364046973803075</v>
      </c>
      <c r="P827" s="21">
        <v>5.7897696476964775</v>
      </c>
      <c r="Q827" s="21" t="s">
        <v>547</v>
      </c>
      <c r="S827" t="s">
        <v>547</v>
      </c>
    </row>
    <row r="828" spans="1:19" x14ac:dyDescent="0.2">
      <c r="A828">
        <v>839</v>
      </c>
      <c r="B828" t="s">
        <v>273</v>
      </c>
      <c r="C828" t="s">
        <v>390</v>
      </c>
      <c r="D828" t="s">
        <v>24</v>
      </c>
      <c r="E828" t="s">
        <v>9</v>
      </c>
      <c r="F828" t="s">
        <v>12</v>
      </c>
      <c r="G828">
        <v>44</v>
      </c>
      <c r="H828">
        <v>47</v>
      </c>
      <c r="I828">
        <v>16.399999999999999</v>
      </c>
      <c r="J828">
        <v>9.5399999999999991</v>
      </c>
      <c r="K828">
        <v>0.97</v>
      </c>
      <c r="L828">
        <v>0.56999999999999995</v>
      </c>
      <c r="N828" s="21">
        <v>6.2288659793814425</v>
      </c>
      <c r="O828" s="21">
        <v>7.1386025200458176</v>
      </c>
      <c r="P828" s="21" t="s">
        <v>547</v>
      </c>
      <c r="Q828" s="21">
        <v>6.2288659793814425</v>
      </c>
      <c r="S828" t="s">
        <v>547</v>
      </c>
    </row>
    <row r="829" spans="1:19" x14ac:dyDescent="0.2">
      <c r="A829">
        <v>840</v>
      </c>
      <c r="B829" t="s">
        <v>273</v>
      </c>
      <c r="C829" t="s">
        <v>390</v>
      </c>
      <c r="D829" t="s">
        <v>24</v>
      </c>
      <c r="E829" t="s">
        <v>9</v>
      </c>
      <c r="F829" t="s">
        <v>14</v>
      </c>
      <c r="G829">
        <v>43</v>
      </c>
      <c r="H829">
        <v>47</v>
      </c>
      <c r="I829">
        <v>14.3</v>
      </c>
      <c r="J829">
        <v>8.34</v>
      </c>
      <c r="K829">
        <v>0.97</v>
      </c>
      <c r="L829">
        <v>0.56999999999999995</v>
      </c>
      <c r="N829" s="21">
        <v>5.4453608247422665</v>
      </c>
      <c r="O829" s="21">
        <v>6.2245131729667813</v>
      </c>
      <c r="P829" s="21" t="s">
        <v>547</v>
      </c>
      <c r="Q829" s="21">
        <v>5.4453608247422665</v>
      </c>
      <c r="S829" t="s">
        <v>547</v>
      </c>
    </row>
    <row r="830" spans="1:19" x14ac:dyDescent="0.2">
      <c r="A830">
        <v>841</v>
      </c>
      <c r="B830" t="s">
        <v>274</v>
      </c>
      <c r="C830" t="s">
        <v>391</v>
      </c>
      <c r="D830" t="s">
        <v>24</v>
      </c>
      <c r="F830" t="s">
        <v>10</v>
      </c>
      <c r="G830">
        <v>41</v>
      </c>
      <c r="H830">
        <v>42</v>
      </c>
      <c r="I830">
        <v>10.48</v>
      </c>
      <c r="J830">
        <v>7.59</v>
      </c>
      <c r="K830">
        <v>0.7</v>
      </c>
      <c r="L830">
        <v>0.56499999999999995</v>
      </c>
      <c r="M830">
        <v>7.6999999999999999E-2</v>
      </c>
      <c r="N830" s="21">
        <v>6.8069047619047627</v>
      </c>
      <c r="O830" s="21">
        <v>6.2658201058201071</v>
      </c>
      <c r="P830" s="21" t="s">
        <v>547</v>
      </c>
      <c r="Q830" s="21" t="s">
        <v>547</v>
      </c>
      <c r="S830" t="s">
        <v>547</v>
      </c>
    </row>
    <row r="831" spans="1:19" x14ac:dyDescent="0.2">
      <c r="A831">
        <v>842</v>
      </c>
      <c r="B831" t="s">
        <v>274</v>
      </c>
      <c r="C831" t="s">
        <v>391</v>
      </c>
      <c r="D831" t="s">
        <v>24</v>
      </c>
      <c r="F831" t="s">
        <v>11</v>
      </c>
      <c r="G831">
        <v>31</v>
      </c>
      <c r="H831">
        <v>32</v>
      </c>
      <c r="I831">
        <v>7.7</v>
      </c>
      <c r="J831">
        <v>6.23</v>
      </c>
      <c r="K831">
        <v>0.7</v>
      </c>
      <c r="L831">
        <v>0.56499999999999995</v>
      </c>
      <c r="M831">
        <v>7.6999999999999999E-2</v>
      </c>
      <c r="N831" s="21">
        <v>5.5872222222222225</v>
      </c>
      <c r="O831" s="21">
        <v>4.6037037037037054</v>
      </c>
      <c r="P831" s="21" t="s">
        <v>547</v>
      </c>
      <c r="Q831" s="21" t="s">
        <v>547</v>
      </c>
      <c r="S831" t="s">
        <v>547</v>
      </c>
    </row>
    <row r="832" spans="1:19" x14ac:dyDescent="0.2">
      <c r="A832">
        <v>843</v>
      </c>
      <c r="B832" t="s">
        <v>275</v>
      </c>
      <c r="C832" t="s">
        <v>392</v>
      </c>
      <c r="D832" t="s">
        <v>3</v>
      </c>
      <c r="E832" t="s">
        <v>9</v>
      </c>
      <c r="F832" t="s">
        <v>10</v>
      </c>
      <c r="G832">
        <v>31</v>
      </c>
      <c r="H832">
        <v>33</v>
      </c>
      <c r="I832">
        <v>10.25</v>
      </c>
      <c r="J832">
        <v>8.73</v>
      </c>
      <c r="K832">
        <v>1.1299999999999999</v>
      </c>
      <c r="L832">
        <v>0.58799999999999997</v>
      </c>
      <c r="M832">
        <v>0.11</v>
      </c>
      <c r="N832" s="21">
        <v>5.0474336283185837</v>
      </c>
      <c r="O832" s="21">
        <v>3.950835791543756</v>
      </c>
      <c r="P832" s="21">
        <v>5.0474336283185837</v>
      </c>
      <c r="Q832" s="21" t="s">
        <v>547</v>
      </c>
      <c r="S832" t="s">
        <v>547</v>
      </c>
    </row>
    <row r="833" spans="1:19" x14ac:dyDescent="0.2">
      <c r="A833">
        <v>844</v>
      </c>
      <c r="B833" t="s">
        <v>275</v>
      </c>
      <c r="C833" t="s">
        <v>392</v>
      </c>
      <c r="D833" t="s">
        <v>3</v>
      </c>
      <c r="E833" t="s">
        <v>9</v>
      </c>
      <c r="F833" t="s">
        <v>11</v>
      </c>
      <c r="G833">
        <v>31</v>
      </c>
      <c r="H833">
        <v>32</v>
      </c>
      <c r="I833">
        <v>7.57</v>
      </c>
      <c r="J833">
        <v>5.59</v>
      </c>
      <c r="K833">
        <v>1.1299999999999999</v>
      </c>
      <c r="L833">
        <v>0.58799999999999997</v>
      </c>
      <c r="M833">
        <v>0.11</v>
      </c>
      <c r="N833" s="21">
        <v>3.2319764011799408</v>
      </c>
      <c r="O833" s="21">
        <v>2.9178367748279253</v>
      </c>
      <c r="P833" s="21">
        <v>3.2319764011799408</v>
      </c>
      <c r="Q833" s="21" t="s">
        <v>547</v>
      </c>
      <c r="S833" t="s">
        <v>547</v>
      </c>
    </row>
    <row r="834" spans="1:19" x14ac:dyDescent="0.2">
      <c r="A834">
        <v>845</v>
      </c>
      <c r="B834" t="s">
        <v>275</v>
      </c>
      <c r="C834" t="s">
        <v>392</v>
      </c>
      <c r="D834" t="s">
        <v>3</v>
      </c>
      <c r="E834" t="s">
        <v>9</v>
      </c>
      <c r="F834" t="s">
        <v>12</v>
      </c>
      <c r="G834">
        <v>29</v>
      </c>
      <c r="H834">
        <v>25</v>
      </c>
      <c r="I834">
        <v>5.25</v>
      </c>
      <c r="J834">
        <v>3.06</v>
      </c>
      <c r="K834">
        <v>0.91</v>
      </c>
      <c r="L834">
        <v>0.37</v>
      </c>
      <c r="M834">
        <v>4.1000000000000002E-2</v>
      </c>
      <c r="N834" s="21">
        <v>1.3824175824175826</v>
      </c>
      <c r="O834" s="21">
        <v>1.5811965811965811</v>
      </c>
      <c r="P834" s="21" t="s">
        <v>547</v>
      </c>
      <c r="Q834" s="21">
        <v>1.3824175824175826</v>
      </c>
      <c r="S834" t="s">
        <v>547</v>
      </c>
    </row>
    <row r="835" spans="1:19" x14ac:dyDescent="0.2">
      <c r="A835">
        <v>846</v>
      </c>
      <c r="B835" t="s">
        <v>275</v>
      </c>
      <c r="C835" t="s">
        <v>392</v>
      </c>
      <c r="D835" t="s">
        <v>3</v>
      </c>
      <c r="E835" t="s">
        <v>9</v>
      </c>
      <c r="F835" t="s">
        <v>14</v>
      </c>
      <c r="G835">
        <v>24</v>
      </c>
      <c r="H835">
        <v>19</v>
      </c>
      <c r="I835">
        <v>6.1</v>
      </c>
      <c r="J835">
        <v>3.26</v>
      </c>
      <c r="K835">
        <v>0.91</v>
      </c>
      <c r="L835">
        <v>0.37</v>
      </c>
      <c r="M835">
        <v>4.1000000000000002E-2</v>
      </c>
      <c r="N835" s="21">
        <v>1.4727716727716726</v>
      </c>
      <c r="O835" s="21">
        <v>1.8371998371998368</v>
      </c>
      <c r="P835" s="21" t="s">
        <v>547</v>
      </c>
      <c r="Q835" s="21">
        <v>1.4727716727716726</v>
      </c>
      <c r="S835" t="s">
        <v>547</v>
      </c>
    </row>
    <row r="836" spans="1:19" x14ac:dyDescent="0.2">
      <c r="A836">
        <v>847</v>
      </c>
      <c r="B836" t="s">
        <v>276</v>
      </c>
      <c r="C836" t="s">
        <v>393</v>
      </c>
      <c r="D836" t="s">
        <v>3</v>
      </c>
      <c r="E836" t="s">
        <v>9</v>
      </c>
      <c r="F836" t="s">
        <v>10</v>
      </c>
      <c r="G836">
        <v>41</v>
      </c>
      <c r="H836">
        <v>42</v>
      </c>
      <c r="I836">
        <v>6.17</v>
      </c>
      <c r="J836">
        <v>7.44</v>
      </c>
      <c r="K836">
        <v>0.85</v>
      </c>
      <c r="L836">
        <v>0.51200000000000001</v>
      </c>
      <c r="M836">
        <v>0.1</v>
      </c>
      <c r="N836" s="21">
        <v>4.9794509803921585</v>
      </c>
      <c r="O836" s="21">
        <v>2.752976034858388</v>
      </c>
      <c r="P836" s="21">
        <v>4.9794509803921585</v>
      </c>
      <c r="Q836" s="21" t="s">
        <v>547</v>
      </c>
      <c r="S836" t="s">
        <v>547</v>
      </c>
    </row>
    <row r="837" spans="1:19" x14ac:dyDescent="0.2">
      <c r="A837">
        <v>848</v>
      </c>
      <c r="B837" t="s">
        <v>276</v>
      </c>
      <c r="C837" t="s">
        <v>393</v>
      </c>
      <c r="D837" t="s">
        <v>3</v>
      </c>
      <c r="E837" t="s">
        <v>9</v>
      </c>
      <c r="F837" t="s">
        <v>11</v>
      </c>
      <c r="G837">
        <v>39</v>
      </c>
      <c r="H837">
        <v>40</v>
      </c>
      <c r="I837">
        <v>5.86</v>
      </c>
      <c r="J837">
        <v>6.99</v>
      </c>
      <c r="K837">
        <v>0.85</v>
      </c>
      <c r="L837">
        <v>0.51200000000000001</v>
      </c>
      <c r="M837">
        <v>0.1</v>
      </c>
      <c r="N837" s="21">
        <v>4.6782745098039227</v>
      </c>
      <c r="O837" s="21">
        <v>2.6146579520697171</v>
      </c>
      <c r="P837" s="21">
        <v>4.6782745098039227</v>
      </c>
      <c r="Q837" s="21" t="s">
        <v>547</v>
      </c>
      <c r="S837" t="s">
        <v>547</v>
      </c>
    </row>
    <row r="838" spans="1:19" x14ac:dyDescent="0.2">
      <c r="A838">
        <v>849</v>
      </c>
      <c r="B838" t="s">
        <v>276</v>
      </c>
      <c r="C838" t="s">
        <v>393</v>
      </c>
      <c r="D838" t="s">
        <v>3</v>
      </c>
      <c r="E838" t="s">
        <v>9</v>
      </c>
      <c r="F838" t="s">
        <v>12</v>
      </c>
      <c r="G838">
        <v>39</v>
      </c>
      <c r="H838">
        <v>22</v>
      </c>
      <c r="I838">
        <v>5.3</v>
      </c>
      <c r="J838">
        <v>5.91</v>
      </c>
      <c r="K838">
        <v>0.97</v>
      </c>
      <c r="L838">
        <v>0.33900000000000002</v>
      </c>
      <c r="M838">
        <v>0.10299999999999999</v>
      </c>
      <c r="N838" s="21">
        <v>2.2949484536082476</v>
      </c>
      <c r="O838" s="21">
        <v>1.3720504009163803</v>
      </c>
      <c r="P838" s="21" t="s">
        <v>547</v>
      </c>
      <c r="Q838" s="21">
        <v>2.2949484536082476</v>
      </c>
      <c r="S838" t="s">
        <v>547</v>
      </c>
    </row>
    <row r="839" spans="1:19" x14ac:dyDescent="0.2">
      <c r="A839">
        <v>850</v>
      </c>
      <c r="B839" t="s">
        <v>276</v>
      </c>
      <c r="C839" t="s">
        <v>393</v>
      </c>
      <c r="D839" t="s">
        <v>3</v>
      </c>
      <c r="E839" t="s">
        <v>9</v>
      </c>
      <c r="F839" t="s">
        <v>14</v>
      </c>
      <c r="G839">
        <v>34</v>
      </c>
      <c r="H839">
        <v>25</v>
      </c>
      <c r="I839">
        <v>4.9000000000000004</v>
      </c>
      <c r="J839">
        <v>5.4</v>
      </c>
      <c r="K839">
        <v>0.97</v>
      </c>
      <c r="L839">
        <v>0.33900000000000002</v>
      </c>
      <c r="M839">
        <v>0.10299999999999999</v>
      </c>
      <c r="N839" s="21">
        <v>2.0969072164948459</v>
      </c>
      <c r="O839" s="21">
        <v>1.268499427262314</v>
      </c>
      <c r="P839" s="21" t="s">
        <v>547</v>
      </c>
      <c r="Q839" s="21">
        <v>2.0969072164948459</v>
      </c>
      <c r="S839" t="s">
        <v>547</v>
      </c>
    </row>
    <row r="840" spans="1:19" x14ac:dyDescent="0.2">
      <c r="A840">
        <v>851</v>
      </c>
      <c r="B840" t="s">
        <v>277</v>
      </c>
      <c r="C840" t="s">
        <v>394</v>
      </c>
      <c r="D840" t="s">
        <v>3</v>
      </c>
      <c r="E840" t="s">
        <v>9</v>
      </c>
      <c r="F840" t="s">
        <v>10</v>
      </c>
      <c r="G840">
        <v>24</v>
      </c>
      <c r="H840">
        <v>28</v>
      </c>
      <c r="I840">
        <v>6.61</v>
      </c>
      <c r="J840">
        <v>4.3600000000000003</v>
      </c>
      <c r="K840">
        <v>0.91</v>
      </c>
      <c r="L840">
        <v>0.40200000000000002</v>
      </c>
      <c r="M840">
        <v>0.10199999999999999</v>
      </c>
      <c r="N840" s="21">
        <v>2.1400732600732604</v>
      </c>
      <c r="O840" s="21">
        <v>2.1629792429792434</v>
      </c>
      <c r="P840" s="21">
        <v>2.1400732600732604</v>
      </c>
      <c r="Q840" s="21" t="s">
        <v>547</v>
      </c>
      <c r="S840" t="s">
        <v>547</v>
      </c>
    </row>
    <row r="841" spans="1:19" x14ac:dyDescent="0.2">
      <c r="A841">
        <v>852</v>
      </c>
      <c r="B841" t="s">
        <v>277</v>
      </c>
      <c r="C841" t="s">
        <v>394</v>
      </c>
      <c r="D841" t="s">
        <v>3</v>
      </c>
      <c r="E841" t="s">
        <v>9</v>
      </c>
      <c r="F841" t="s">
        <v>11</v>
      </c>
      <c r="G841">
        <v>36</v>
      </c>
      <c r="H841">
        <v>39</v>
      </c>
      <c r="I841">
        <v>13.57</v>
      </c>
      <c r="J841">
        <v>7.21</v>
      </c>
      <c r="K841">
        <v>0.91</v>
      </c>
      <c r="L841">
        <v>0.40200000000000002</v>
      </c>
      <c r="M841">
        <v>0.10199999999999999</v>
      </c>
      <c r="N841" s="21">
        <v>3.5389743589743587</v>
      </c>
      <c r="O841" s="21">
        <v>4.4404884004884009</v>
      </c>
      <c r="P841" s="21">
        <v>3.5389743589743587</v>
      </c>
      <c r="Q841" s="21" t="s">
        <v>547</v>
      </c>
      <c r="S841" t="s">
        <v>547</v>
      </c>
    </row>
    <row r="842" spans="1:19" x14ac:dyDescent="0.2">
      <c r="A842">
        <v>853</v>
      </c>
      <c r="B842" t="s">
        <v>277</v>
      </c>
      <c r="C842" t="s">
        <v>394</v>
      </c>
      <c r="D842" t="s">
        <v>3</v>
      </c>
      <c r="E842" t="s">
        <v>9</v>
      </c>
      <c r="F842" t="s">
        <v>12</v>
      </c>
      <c r="G842">
        <v>46</v>
      </c>
      <c r="H842">
        <v>40</v>
      </c>
      <c r="I842">
        <v>8.16</v>
      </c>
      <c r="J842">
        <v>8.9499999999999993</v>
      </c>
      <c r="K842">
        <v>1.32</v>
      </c>
      <c r="L842">
        <v>0.75</v>
      </c>
      <c r="M842">
        <v>0.12</v>
      </c>
      <c r="N842" s="21">
        <v>5.6502525252525242</v>
      </c>
      <c r="O842" s="21">
        <v>3.4343434343434343</v>
      </c>
      <c r="P842" s="21" t="s">
        <v>547</v>
      </c>
      <c r="Q842" s="21">
        <v>5.6502525252525242</v>
      </c>
      <c r="S842" t="s">
        <v>547</v>
      </c>
    </row>
    <row r="843" spans="1:19" x14ac:dyDescent="0.2">
      <c r="A843">
        <v>854</v>
      </c>
      <c r="B843" t="s">
        <v>277</v>
      </c>
      <c r="C843" t="s">
        <v>394</v>
      </c>
      <c r="D843" t="s">
        <v>3</v>
      </c>
      <c r="E843" t="s">
        <v>9</v>
      </c>
      <c r="F843" t="s">
        <v>14</v>
      </c>
      <c r="G843">
        <v>35</v>
      </c>
      <c r="H843">
        <v>37</v>
      </c>
      <c r="I843">
        <v>5.28</v>
      </c>
      <c r="J843">
        <v>7.06</v>
      </c>
      <c r="K843">
        <v>1.32</v>
      </c>
      <c r="L843">
        <v>0.75</v>
      </c>
      <c r="M843">
        <v>0.12</v>
      </c>
      <c r="N843" s="21">
        <v>4.4570707070707067</v>
      </c>
      <c r="O843" s="21">
        <v>2.2222222222222223</v>
      </c>
      <c r="P843" s="21" t="s">
        <v>547</v>
      </c>
      <c r="Q843" s="21">
        <v>4.4570707070707067</v>
      </c>
      <c r="S843" t="s">
        <v>547</v>
      </c>
    </row>
    <row r="844" spans="1:19" x14ac:dyDescent="0.2">
      <c r="A844">
        <v>855</v>
      </c>
      <c r="B844" t="s">
        <v>278</v>
      </c>
      <c r="C844" t="s">
        <v>396</v>
      </c>
      <c r="D844" t="s">
        <v>3</v>
      </c>
      <c r="E844" t="s">
        <v>9</v>
      </c>
      <c r="F844" t="s">
        <v>10</v>
      </c>
      <c r="G844">
        <v>24</v>
      </c>
      <c r="H844">
        <v>23</v>
      </c>
      <c r="I844">
        <v>5.44</v>
      </c>
      <c r="J844">
        <v>3.61</v>
      </c>
      <c r="K844">
        <v>1.24</v>
      </c>
      <c r="L844">
        <v>0.76100000000000001</v>
      </c>
      <c r="M844">
        <v>0.15</v>
      </c>
      <c r="N844" s="21">
        <v>2.4616577060931899</v>
      </c>
      <c r="O844" s="21">
        <v>2.4730227001194747</v>
      </c>
      <c r="P844" s="21">
        <v>2.4616577060931899</v>
      </c>
      <c r="Q844" s="21" t="s">
        <v>547</v>
      </c>
      <c r="S844" t="s">
        <v>547</v>
      </c>
    </row>
    <row r="845" spans="1:19" x14ac:dyDescent="0.2">
      <c r="A845">
        <v>856</v>
      </c>
      <c r="B845" t="s">
        <v>278</v>
      </c>
      <c r="C845" t="s">
        <v>396</v>
      </c>
      <c r="D845" t="s">
        <v>3</v>
      </c>
      <c r="E845" t="s">
        <v>9</v>
      </c>
      <c r="F845" t="s">
        <v>11</v>
      </c>
      <c r="G845">
        <v>31</v>
      </c>
      <c r="H845">
        <v>31</v>
      </c>
      <c r="I845">
        <v>5.64</v>
      </c>
      <c r="J845">
        <v>4.92</v>
      </c>
      <c r="K845">
        <v>1.24</v>
      </c>
      <c r="L845">
        <v>0.76100000000000001</v>
      </c>
      <c r="M845">
        <v>0.15</v>
      </c>
      <c r="N845" s="21">
        <v>3.3549462365591403</v>
      </c>
      <c r="O845" s="21">
        <v>2.5639426523297493</v>
      </c>
      <c r="P845" s="21">
        <v>3.3549462365591403</v>
      </c>
      <c r="Q845" s="21" t="s">
        <v>547</v>
      </c>
      <c r="S845" t="s">
        <v>547</v>
      </c>
    </row>
    <row r="846" spans="1:19" x14ac:dyDescent="0.2">
      <c r="A846">
        <v>857</v>
      </c>
      <c r="B846" t="s">
        <v>278</v>
      </c>
      <c r="C846" t="s">
        <v>396</v>
      </c>
      <c r="D846" t="s">
        <v>3</v>
      </c>
      <c r="E846" t="s">
        <v>9</v>
      </c>
      <c r="F846" t="s">
        <v>12</v>
      </c>
      <c r="G846">
        <v>40</v>
      </c>
      <c r="H846">
        <v>41</v>
      </c>
      <c r="I846">
        <v>6.72</v>
      </c>
      <c r="J846">
        <v>7.31</v>
      </c>
      <c r="K846">
        <v>1.04</v>
      </c>
      <c r="L846">
        <v>0.71799999999999997</v>
      </c>
      <c r="M846">
        <v>0.14699999999999999</v>
      </c>
      <c r="N846" s="21">
        <v>5.6074572649572643</v>
      </c>
      <c r="O846" s="21">
        <v>3.4365811965811965</v>
      </c>
      <c r="P846" s="21" t="s">
        <v>547</v>
      </c>
      <c r="Q846" s="21">
        <v>5.6074572649572643</v>
      </c>
      <c r="S846" t="s">
        <v>547</v>
      </c>
    </row>
    <row r="847" spans="1:19" x14ac:dyDescent="0.2">
      <c r="A847">
        <v>858</v>
      </c>
      <c r="B847" t="s">
        <v>278</v>
      </c>
      <c r="C847" t="s">
        <v>396</v>
      </c>
      <c r="D847" t="s">
        <v>3</v>
      </c>
      <c r="E847" t="s">
        <v>9</v>
      </c>
      <c r="F847" t="s">
        <v>14</v>
      </c>
      <c r="G847">
        <v>31</v>
      </c>
      <c r="H847">
        <v>32</v>
      </c>
      <c r="I847">
        <v>5.34</v>
      </c>
      <c r="J847">
        <v>4.43</v>
      </c>
      <c r="K847">
        <v>1.04</v>
      </c>
      <c r="L847">
        <v>0.71799999999999997</v>
      </c>
      <c r="M847">
        <v>0.14699999999999999</v>
      </c>
      <c r="N847" s="21">
        <v>3.3982264957264956</v>
      </c>
      <c r="O847" s="21">
        <v>2.7308547008547008</v>
      </c>
      <c r="P847" s="21" t="s">
        <v>547</v>
      </c>
      <c r="Q847" s="21">
        <v>3.3982264957264956</v>
      </c>
      <c r="S847" t="s">
        <v>547</v>
      </c>
    </row>
    <row r="848" spans="1:19" x14ac:dyDescent="0.2">
      <c r="A848">
        <v>859</v>
      </c>
      <c r="B848" t="s">
        <v>279</v>
      </c>
      <c r="C848" t="s">
        <v>397</v>
      </c>
      <c r="D848" t="s">
        <v>3</v>
      </c>
      <c r="E848" t="s">
        <v>9</v>
      </c>
      <c r="F848" t="s">
        <v>10</v>
      </c>
      <c r="G848">
        <v>25</v>
      </c>
      <c r="H848">
        <v>25</v>
      </c>
      <c r="I848">
        <v>2.92</v>
      </c>
      <c r="J848">
        <v>5.25</v>
      </c>
      <c r="K848">
        <v>0.8</v>
      </c>
      <c r="L848">
        <v>0.54700000000000004</v>
      </c>
      <c r="M848">
        <v>0.09</v>
      </c>
      <c r="N848" s="21">
        <v>3.9885416666666664</v>
      </c>
      <c r="O848" s="21">
        <v>1.478925925925926</v>
      </c>
      <c r="P848" s="21">
        <v>3.9885416666666664</v>
      </c>
      <c r="Q848" s="21" t="s">
        <v>547</v>
      </c>
      <c r="S848" t="s">
        <v>547</v>
      </c>
    </row>
    <row r="849" spans="1:19" x14ac:dyDescent="0.2">
      <c r="A849">
        <v>860</v>
      </c>
      <c r="B849" t="s">
        <v>279</v>
      </c>
      <c r="C849" t="s">
        <v>397</v>
      </c>
      <c r="D849" t="s">
        <v>3</v>
      </c>
      <c r="E849" t="s">
        <v>9</v>
      </c>
      <c r="F849" t="s">
        <v>11</v>
      </c>
      <c r="G849">
        <v>35</v>
      </c>
      <c r="H849">
        <v>35</v>
      </c>
      <c r="I849">
        <v>2.69</v>
      </c>
      <c r="J849">
        <v>5.08</v>
      </c>
      <c r="K849">
        <v>0.8</v>
      </c>
      <c r="L849">
        <v>0.54700000000000004</v>
      </c>
      <c r="M849">
        <v>0.09</v>
      </c>
      <c r="N849" s="21">
        <v>3.8593888888888888</v>
      </c>
      <c r="O849" s="21">
        <v>1.362435185185185</v>
      </c>
      <c r="P849" s="21">
        <v>3.8593888888888888</v>
      </c>
      <c r="Q849" s="21" t="s">
        <v>547</v>
      </c>
      <c r="S849" t="s">
        <v>547</v>
      </c>
    </row>
    <row r="850" spans="1:19" x14ac:dyDescent="0.2">
      <c r="A850">
        <v>861</v>
      </c>
      <c r="B850" t="s">
        <v>279</v>
      </c>
      <c r="C850" t="s">
        <v>397</v>
      </c>
      <c r="D850" t="s">
        <v>3</v>
      </c>
      <c r="E850" t="s">
        <v>9</v>
      </c>
      <c r="F850" t="s">
        <v>12</v>
      </c>
      <c r="G850">
        <v>26</v>
      </c>
      <c r="H850">
        <v>26</v>
      </c>
      <c r="I850">
        <v>2.62</v>
      </c>
      <c r="J850">
        <v>4.53</v>
      </c>
      <c r="K850">
        <v>0.76</v>
      </c>
      <c r="L850">
        <v>0.52900000000000003</v>
      </c>
      <c r="M850">
        <v>8.6999999999999994E-2</v>
      </c>
      <c r="N850" s="21">
        <v>3.5034649122807022</v>
      </c>
      <c r="O850" s="21">
        <v>1.3508576998050683</v>
      </c>
      <c r="P850" s="21" t="s">
        <v>547</v>
      </c>
      <c r="Q850" s="21">
        <v>3.5034649122807022</v>
      </c>
      <c r="S850" t="s">
        <v>547</v>
      </c>
    </row>
    <row r="851" spans="1:19" x14ac:dyDescent="0.2">
      <c r="A851">
        <v>862</v>
      </c>
      <c r="B851" t="s">
        <v>279</v>
      </c>
      <c r="C851" t="s">
        <v>397</v>
      </c>
      <c r="D851" t="s">
        <v>3</v>
      </c>
      <c r="E851" t="s">
        <v>9</v>
      </c>
      <c r="F851" t="s">
        <v>14</v>
      </c>
      <c r="G851">
        <v>18</v>
      </c>
      <c r="H851">
        <v>18</v>
      </c>
      <c r="I851">
        <v>3.16</v>
      </c>
      <c r="J851">
        <v>4.4400000000000004</v>
      </c>
      <c r="K851">
        <v>0.76</v>
      </c>
      <c r="L851">
        <v>0.52900000000000003</v>
      </c>
      <c r="M851">
        <v>8.6999999999999994E-2</v>
      </c>
      <c r="N851" s="21">
        <v>3.4338596491228075</v>
      </c>
      <c r="O851" s="21">
        <v>1.6292787524366472</v>
      </c>
      <c r="P851" s="21" t="s">
        <v>547</v>
      </c>
      <c r="Q851" s="21">
        <v>3.4338596491228075</v>
      </c>
      <c r="S851" t="s">
        <v>547</v>
      </c>
    </row>
    <row r="852" spans="1:19" x14ac:dyDescent="0.2">
      <c r="A852">
        <v>863</v>
      </c>
      <c r="B852" t="s">
        <v>280</v>
      </c>
      <c r="C852" t="s">
        <v>395</v>
      </c>
      <c r="D852" t="s">
        <v>23</v>
      </c>
      <c r="E852" t="s">
        <v>9</v>
      </c>
      <c r="F852" t="s">
        <v>10</v>
      </c>
      <c r="G852">
        <v>49</v>
      </c>
      <c r="H852">
        <v>57</v>
      </c>
      <c r="I852">
        <v>7.2</v>
      </c>
      <c r="J852">
        <v>10.5</v>
      </c>
      <c r="K852">
        <v>1.25</v>
      </c>
      <c r="L852">
        <v>0.76400000000000001</v>
      </c>
      <c r="M852">
        <v>0.14499999999999999</v>
      </c>
      <c r="N852" s="21">
        <v>7.1306666666666665</v>
      </c>
      <c r="O852" s="21">
        <v>3.259733333333334</v>
      </c>
      <c r="P852" s="21">
        <v>7.1306666666666665</v>
      </c>
      <c r="Q852" s="21" t="s">
        <v>547</v>
      </c>
      <c r="S852" t="s">
        <v>547</v>
      </c>
    </row>
    <row r="853" spans="1:19" x14ac:dyDescent="0.2">
      <c r="A853">
        <v>864</v>
      </c>
      <c r="B853" t="s">
        <v>280</v>
      </c>
      <c r="C853" t="s">
        <v>395</v>
      </c>
      <c r="D853" t="s">
        <v>23</v>
      </c>
      <c r="E853" t="s">
        <v>9</v>
      </c>
      <c r="F853" t="s">
        <v>11</v>
      </c>
      <c r="G853">
        <v>30</v>
      </c>
      <c r="H853">
        <v>44</v>
      </c>
      <c r="I853">
        <v>6.2</v>
      </c>
      <c r="J853">
        <v>8</v>
      </c>
      <c r="K853">
        <v>1.25</v>
      </c>
      <c r="L853">
        <v>0.76400000000000001</v>
      </c>
      <c r="M853">
        <v>0.14499999999999999</v>
      </c>
      <c r="N853" s="21">
        <v>5.4328888888888889</v>
      </c>
      <c r="O853" s="21">
        <v>2.8069925925925934</v>
      </c>
      <c r="P853" s="21">
        <v>5.4328888888888889</v>
      </c>
      <c r="Q853" s="21" t="s">
        <v>547</v>
      </c>
      <c r="S853" t="s">
        <v>547</v>
      </c>
    </row>
    <row r="854" spans="1:19" x14ac:dyDescent="0.2">
      <c r="A854">
        <v>865</v>
      </c>
      <c r="B854" t="s">
        <v>280</v>
      </c>
      <c r="C854" t="s">
        <v>395</v>
      </c>
      <c r="D854" t="s">
        <v>23</v>
      </c>
      <c r="E854" t="s">
        <v>9</v>
      </c>
      <c r="F854" t="s">
        <v>12</v>
      </c>
      <c r="G854">
        <v>34</v>
      </c>
      <c r="H854">
        <v>34</v>
      </c>
      <c r="I854">
        <v>7.54</v>
      </c>
      <c r="J854">
        <v>6.65</v>
      </c>
      <c r="K854">
        <v>1</v>
      </c>
      <c r="L854">
        <v>0.78</v>
      </c>
      <c r="M854">
        <v>0.111</v>
      </c>
      <c r="N854" s="21">
        <v>5.7633333333333336</v>
      </c>
      <c r="O854" s="21">
        <v>4.3564444444444446</v>
      </c>
      <c r="P854" s="21" t="s">
        <v>547</v>
      </c>
      <c r="Q854" s="21">
        <v>5.7633333333333336</v>
      </c>
      <c r="S854" t="s">
        <v>547</v>
      </c>
    </row>
    <row r="855" spans="1:19" x14ac:dyDescent="0.2">
      <c r="A855">
        <v>866</v>
      </c>
      <c r="B855" t="s">
        <v>280</v>
      </c>
      <c r="C855" t="s">
        <v>395</v>
      </c>
      <c r="D855" t="s">
        <v>23</v>
      </c>
      <c r="E855" t="s">
        <v>9</v>
      </c>
      <c r="F855" t="s">
        <v>14</v>
      </c>
      <c r="G855">
        <v>26</v>
      </c>
      <c r="H855">
        <v>27</v>
      </c>
      <c r="I855">
        <v>7.55</v>
      </c>
      <c r="J855">
        <v>6.9</v>
      </c>
      <c r="K855">
        <v>1</v>
      </c>
      <c r="L855">
        <v>0.78</v>
      </c>
      <c r="M855">
        <v>0.111</v>
      </c>
      <c r="N855" s="21">
        <v>5.9800000000000013</v>
      </c>
      <c r="O855" s="21">
        <v>4.3622222222222229</v>
      </c>
      <c r="P855" s="21" t="s">
        <v>547</v>
      </c>
      <c r="Q855" s="21">
        <v>5.9800000000000013</v>
      </c>
      <c r="S855" t="s">
        <v>547</v>
      </c>
    </row>
    <row r="856" spans="1:19" x14ac:dyDescent="0.2">
      <c r="A856">
        <v>867</v>
      </c>
      <c r="B856" t="s">
        <v>281</v>
      </c>
      <c r="C856" t="s">
        <v>281</v>
      </c>
      <c r="D856" t="s">
        <v>23</v>
      </c>
      <c r="E856" t="s">
        <v>9</v>
      </c>
      <c r="F856" t="s">
        <v>10</v>
      </c>
      <c r="G856">
        <v>39</v>
      </c>
      <c r="H856">
        <v>41</v>
      </c>
      <c r="I856">
        <v>14.4</v>
      </c>
      <c r="J856">
        <v>7.45</v>
      </c>
      <c r="K856">
        <v>0.85</v>
      </c>
      <c r="L856">
        <v>0.57799999999999996</v>
      </c>
      <c r="M856">
        <v>8.5999999999999993E-2</v>
      </c>
      <c r="N856" s="21">
        <v>5.6288888888888886</v>
      </c>
      <c r="O856" s="21">
        <v>7.253333333333333</v>
      </c>
      <c r="P856" s="21">
        <v>5.6288888888888886</v>
      </c>
      <c r="Q856" s="21" t="s">
        <v>547</v>
      </c>
      <c r="S856" t="s">
        <v>547</v>
      </c>
    </row>
    <row r="857" spans="1:19" x14ac:dyDescent="0.2">
      <c r="A857">
        <v>868</v>
      </c>
      <c r="B857" t="s">
        <v>281</v>
      </c>
      <c r="C857" t="s">
        <v>281</v>
      </c>
      <c r="D857" t="s">
        <v>23</v>
      </c>
      <c r="E857" t="s">
        <v>9</v>
      </c>
      <c r="F857" t="s">
        <v>11</v>
      </c>
      <c r="G857">
        <v>34</v>
      </c>
      <c r="H857">
        <v>39</v>
      </c>
      <c r="I857">
        <v>15.65</v>
      </c>
      <c r="J857">
        <v>7.95</v>
      </c>
      <c r="K857">
        <v>0.85</v>
      </c>
      <c r="L857">
        <v>0.57799999999999996</v>
      </c>
      <c r="M857">
        <v>8.5999999999999993E-2</v>
      </c>
      <c r="N857" s="21">
        <v>6.0066666666666668</v>
      </c>
      <c r="O857" s="21">
        <v>7.8829629629629636</v>
      </c>
      <c r="P857" s="21">
        <v>6.0066666666666668</v>
      </c>
      <c r="Q857" s="21" t="s">
        <v>547</v>
      </c>
      <c r="S857" t="s">
        <v>547</v>
      </c>
    </row>
    <row r="858" spans="1:19" x14ac:dyDescent="0.2">
      <c r="A858">
        <v>869</v>
      </c>
      <c r="B858" t="s">
        <v>281</v>
      </c>
      <c r="C858" t="s">
        <v>281</v>
      </c>
      <c r="D858" t="s">
        <v>23</v>
      </c>
      <c r="E858" t="s">
        <v>9</v>
      </c>
      <c r="F858" t="s">
        <v>12</v>
      </c>
      <c r="G858">
        <v>57</v>
      </c>
      <c r="H858">
        <v>54</v>
      </c>
      <c r="I858">
        <v>24.5</v>
      </c>
      <c r="J858">
        <v>12.35</v>
      </c>
      <c r="K858">
        <v>1.25</v>
      </c>
      <c r="L858">
        <v>0.42399999999999999</v>
      </c>
      <c r="M858">
        <v>9.5000000000000001E-2</v>
      </c>
      <c r="N858" s="21">
        <v>4.6545777777777779</v>
      </c>
      <c r="O858" s="21">
        <v>6.1558518518518524</v>
      </c>
      <c r="P858" s="21" t="s">
        <v>547</v>
      </c>
      <c r="Q858" s="21">
        <v>4.6545777777777779</v>
      </c>
      <c r="S858" t="s">
        <v>547</v>
      </c>
    </row>
    <row r="859" spans="1:19" x14ac:dyDescent="0.2">
      <c r="A859">
        <v>870</v>
      </c>
      <c r="B859" t="s">
        <v>281</v>
      </c>
      <c r="C859" t="s">
        <v>281</v>
      </c>
      <c r="D859" t="s">
        <v>23</v>
      </c>
      <c r="E859" t="s">
        <v>9</v>
      </c>
      <c r="F859" t="s">
        <v>14</v>
      </c>
      <c r="G859">
        <v>50</v>
      </c>
      <c r="H859">
        <v>52</v>
      </c>
      <c r="I859">
        <v>24</v>
      </c>
      <c r="J859">
        <v>11.75</v>
      </c>
      <c r="K859">
        <v>1.25</v>
      </c>
      <c r="L859">
        <v>0.42399999999999999</v>
      </c>
      <c r="M859">
        <v>9.5000000000000001E-2</v>
      </c>
      <c r="N859" s="21">
        <v>4.4284444444444446</v>
      </c>
      <c r="O859" s="21">
        <v>6.0302222222222222</v>
      </c>
      <c r="P859" s="21" t="s">
        <v>547</v>
      </c>
      <c r="Q859" s="21">
        <v>4.4284444444444446</v>
      </c>
      <c r="S859" t="s">
        <v>547</v>
      </c>
    </row>
    <row r="860" spans="1:19" x14ac:dyDescent="0.2">
      <c r="A860">
        <v>871</v>
      </c>
      <c r="B860" t="s">
        <v>282</v>
      </c>
      <c r="C860" t="s">
        <v>282</v>
      </c>
      <c r="D860" t="s">
        <v>23</v>
      </c>
      <c r="E860" t="s">
        <v>9</v>
      </c>
      <c r="F860" t="s">
        <v>10</v>
      </c>
      <c r="G860">
        <v>32</v>
      </c>
      <c r="H860">
        <v>30</v>
      </c>
      <c r="I860">
        <v>9.32</v>
      </c>
      <c r="J860">
        <v>7.71</v>
      </c>
      <c r="K860">
        <v>0.87</v>
      </c>
      <c r="L860">
        <v>0.36</v>
      </c>
      <c r="M860">
        <v>0.08</v>
      </c>
      <c r="N860" s="21">
        <v>3.5448275862068965</v>
      </c>
      <c r="O860" s="21">
        <v>2.8567049808429119</v>
      </c>
      <c r="P860" s="21">
        <v>3.5448275862068965</v>
      </c>
      <c r="Q860" s="21" t="s">
        <v>547</v>
      </c>
      <c r="S860" t="s">
        <v>547</v>
      </c>
    </row>
    <row r="861" spans="1:19" x14ac:dyDescent="0.2">
      <c r="A861">
        <v>872</v>
      </c>
      <c r="B861" t="s">
        <v>282</v>
      </c>
      <c r="C861" t="s">
        <v>282</v>
      </c>
      <c r="D861" t="s">
        <v>23</v>
      </c>
      <c r="E861" t="s">
        <v>9</v>
      </c>
      <c r="F861" t="s">
        <v>11</v>
      </c>
      <c r="G861">
        <v>29</v>
      </c>
      <c r="H861">
        <v>27</v>
      </c>
      <c r="I861">
        <v>7.34</v>
      </c>
      <c r="J861">
        <v>5.49</v>
      </c>
      <c r="K861">
        <v>0.87</v>
      </c>
      <c r="L861">
        <v>0.36</v>
      </c>
      <c r="M861">
        <v>0.08</v>
      </c>
      <c r="N861" s="21">
        <v>2.5241379310344829</v>
      </c>
      <c r="O861" s="21">
        <v>2.2498084291187741</v>
      </c>
      <c r="P861" s="21">
        <v>2.5241379310344829</v>
      </c>
      <c r="Q861" s="21" t="s">
        <v>547</v>
      </c>
      <c r="S861" t="s">
        <v>547</v>
      </c>
    </row>
    <row r="862" spans="1:19" x14ac:dyDescent="0.2">
      <c r="A862">
        <v>873</v>
      </c>
      <c r="B862" t="s">
        <v>282</v>
      </c>
      <c r="C862" t="s">
        <v>282</v>
      </c>
      <c r="D862" t="s">
        <v>23</v>
      </c>
      <c r="E862" t="s">
        <v>9</v>
      </c>
      <c r="F862" t="s">
        <v>12</v>
      </c>
      <c r="G862">
        <v>24</v>
      </c>
      <c r="H862">
        <v>20</v>
      </c>
      <c r="I862">
        <v>5.1100000000000003</v>
      </c>
      <c r="J862">
        <v>3.11</v>
      </c>
      <c r="K862">
        <v>0.89</v>
      </c>
      <c r="L862">
        <v>0.436</v>
      </c>
      <c r="M862">
        <v>8.6999999999999994E-2</v>
      </c>
      <c r="N862" s="21">
        <v>1.6928339575530587</v>
      </c>
      <c r="O862" s="21">
        <v>1.8543154390345407</v>
      </c>
      <c r="P862" s="21" t="s">
        <v>547</v>
      </c>
      <c r="Q862" s="21">
        <v>1.6928339575530587</v>
      </c>
      <c r="S862" t="s">
        <v>547</v>
      </c>
    </row>
    <row r="863" spans="1:19" x14ac:dyDescent="0.2">
      <c r="A863">
        <v>874</v>
      </c>
      <c r="B863" t="s">
        <v>282</v>
      </c>
      <c r="C863" t="s">
        <v>282</v>
      </c>
      <c r="D863" t="s">
        <v>23</v>
      </c>
      <c r="E863" t="s">
        <v>9</v>
      </c>
      <c r="F863" t="s">
        <v>14</v>
      </c>
      <c r="G863">
        <v>30</v>
      </c>
      <c r="H863">
        <v>29</v>
      </c>
      <c r="I863">
        <v>5.24</v>
      </c>
      <c r="J863">
        <v>3.24</v>
      </c>
      <c r="K863">
        <v>0.89</v>
      </c>
      <c r="L863">
        <v>0.436</v>
      </c>
      <c r="M863">
        <v>8.6999999999999994E-2</v>
      </c>
      <c r="N863" s="21">
        <v>1.7635955056179777</v>
      </c>
      <c r="O863" s="21">
        <v>1.901489804411153</v>
      </c>
      <c r="P863" s="21" t="s">
        <v>547</v>
      </c>
      <c r="Q863" s="21">
        <v>1.7635955056179777</v>
      </c>
      <c r="S863" t="s">
        <v>547</v>
      </c>
    </row>
    <row r="864" spans="1:19" x14ac:dyDescent="0.2">
      <c r="A864">
        <v>875</v>
      </c>
      <c r="B864" t="s">
        <v>283</v>
      </c>
      <c r="C864" t="s">
        <v>283</v>
      </c>
      <c r="D864" t="s">
        <v>23</v>
      </c>
      <c r="E864" t="s">
        <v>9</v>
      </c>
      <c r="F864" t="s">
        <v>10</v>
      </c>
      <c r="G864">
        <v>27</v>
      </c>
      <c r="H864">
        <v>30</v>
      </c>
      <c r="I864">
        <v>6.1</v>
      </c>
      <c r="J864">
        <v>6.6</v>
      </c>
      <c r="K864">
        <v>1.4</v>
      </c>
      <c r="L864">
        <v>0.56399999999999995</v>
      </c>
      <c r="M864">
        <v>0.11600000000000001</v>
      </c>
      <c r="N864" s="21">
        <v>2.9542857142857142</v>
      </c>
      <c r="O864" s="21">
        <v>1.8203174603174601</v>
      </c>
      <c r="P864" s="21">
        <v>2.9542857142857142</v>
      </c>
      <c r="Q864" s="21" t="s">
        <v>547</v>
      </c>
      <c r="S864" t="s">
        <v>547</v>
      </c>
    </row>
    <row r="865" spans="1:19" x14ac:dyDescent="0.2">
      <c r="A865">
        <v>876</v>
      </c>
      <c r="B865" t="s">
        <v>283</v>
      </c>
      <c r="C865" t="s">
        <v>283</v>
      </c>
      <c r="D865" t="s">
        <v>23</v>
      </c>
      <c r="E865" t="s">
        <v>9</v>
      </c>
      <c r="F865" t="s">
        <v>11</v>
      </c>
      <c r="G865">
        <v>35</v>
      </c>
      <c r="H865">
        <v>38</v>
      </c>
      <c r="I865">
        <v>6.6</v>
      </c>
      <c r="J865">
        <v>6.75</v>
      </c>
      <c r="K865">
        <v>1.4</v>
      </c>
      <c r="L865">
        <v>0.56399999999999995</v>
      </c>
      <c r="M865">
        <v>0.11600000000000001</v>
      </c>
      <c r="N865" s="21">
        <v>3.0214285714285718</v>
      </c>
      <c r="O865" s="21">
        <v>1.9695238095238095</v>
      </c>
      <c r="P865" s="21">
        <v>3.0214285714285718</v>
      </c>
      <c r="Q865" s="21" t="s">
        <v>547</v>
      </c>
      <c r="S865" t="s">
        <v>547</v>
      </c>
    </row>
    <row r="866" spans="1:19" x14ac:dyDescent="0.2">
      <c r="A866">
        <v>877</v>
      </c>
      <c r="B866" t="s">
        <v>283</v>
      </c>
      <c r="C866" t="s">
        <v>283</v>
      </c>
      <c r="D866" t="s">
        <v>23</v>
      </c>
      <c r="E866" t="s">
        <v>9</v>
      </c>
      <c r="F866" t="s">
        <v>12</v>
      </c>
      <c r="G866">
        <v>36</v>
      </c>
      <c r="H866">
        <v>39</v>
      </c>
      <c r="I866">
        <v>7.25</v>
      </c>
      <c r="J866">
        <v>7.25</v>
      </c>
      <c r="K866">
        <v>0.95</v>
      </c>
      <c r="L866">
        <v>0.50800000000000001</v>
      </c>
      <c r="M866">
        <v>0.11</v>
      </c>
      <c r="N866" s="21">
        <v>4.3076023391812868</v>
      </c>
      <c r="O866" s="21">
        <v>2.8717348927875248</v>
      </c>
      <c r="P866" s="21" t="s">
        <v>547</v>
      </c>
      <c r="Q866" s="21">
        <v>4.3076023391812868</v>
      </c>
      <c r="S866" t="s">
        <v>547</v>
      </c>
    </row>
    <row r="867" spans="1:19" x14ac:dyDescent="0.2">
      <c r="A867">
        <v>878</v>
      </c>
      <c r="B867" t="s">
        <v>283</v>
      </c>
      <c r="C867" t="s">
        <v>283</v>
      </c>
      <c r="D867" t="s">
        <v>23</v>
      </c>
      <c r="E867" t="s">
        <v>9</v>
      </c>
      <c r="F867" t="s">
        <v>14</v>
      </c>
      <c r="G867">
        <v>24</v>
      </c>
      <c r="H867">
        <v>28</v>
      </c>
      <c r="I867">
        <v>5.65</v>
      </c>
      <c r="J867">
        <v>5.3</v>
      </c>
      <c r="K867">
        <v>0.95</v>
      </c>
      <c r="L867">
        <v>0.50800000000000001</v>
      </c>
      <c r="M867">
        <v>0.11</v>
      </c>
      <c r="N867" s="21">
        <v>3.1490058479532164</v>
      </c>
      <c r="O867" s="21">
        <v>2.2379727095516571</v>
      </c>
      <c r="P867" s="21" t="s">
        <v>547</v>
      </c>
      <c r="Q867" s="21">
        <v>3.1490058479532164</v>
      </c>
      <c r="S867" t="s">
        <v>547</v>
      </c>
    </row>
    <row r="868" spans="1:19" x14ac:dyDescent="0.2">
      <c r="A868">
        <v>879</v>
      </c>
      <c r="B868" t="s">
        <v>284</v>
      </c>
      <c r="C868" t="s">
        <v>398</v>
      </c>
      <c r="D868" t="s">
        <v>23</v>
      </c>
      <c r="E868" t="s">
        <v>9</v>
      </c>
      <c r="F868" t="s">
        <v>10</v>
      </c>
      <c r="G868">
        <v>57</v>
      </c>
      <c r="H868">
        <v>53</v>
      </c>
      <c r="I868">
        <v>3.35</v>
      </c>
      <c r="J868">
        <v>3.6</v>
      </c>
      <c r="K868">
        <v>0.5</v>
      </c>
      <c r="L868">
        <v>0.186</v>
      </c>
      <c r="M868">
        <v>5.8999999999999997E-2</v>
      </c>
      <c r="N868" s="21">
        <v>1.488</v>
      </c>
      <c r="O868" s="21">
        <v>0.9231111111111111</v>
      </c>
      <c r="P868" s="21">
        <v>1.488</v>
      </c>
      <c r="Q868" s="21" t="s">
        <v>547</v>
      </c>
      <c r="S868" t="s">
        <v>547</v>
      </c>
    </row>
    <row r="869" spans="1:19" x14ac:dyDescent="0.2">
      <c r="A869">
        <v>880</v>
      </c>
      <c r="B869" t="s">
        <v>284</v>
      </c>
      <c r="C869" t="s">
        <v>398</v>
      </c>
      <c r="D869" t="s">
        <v>23</v>
      </c>
      <c r="E869" t="s">
        <v>9</v>
      </c>
      <c r="F869" t="s">
        <v>11</v>
      </c>
      <c r="G869">
        <v>42</v>
      </c>
      <c r="H869">
        <v>40</v>
      </c>
      <c r="I869">
        <v>3.05</v>
      </c>
      <c r="J869">
        <v>3.75</v>
      </c>
      <c r="K869">
        <v>0.5</v>
      </c>
      <c r="L869">
        <v>0.186</v>
      </c>
      <c r="M869">
        <v>5.8999999999999997E-2</v>
      </c>
      <c r="N869" s="21">
        <v>1.55</v>
      </c>
      <c r="O869" s="21">
        <v>0.84044444444444444</v>
      </c>
      <c r="P869" s="21">
        <v>1.55</v>
      </c>
      <c r="Q869" s="21" t="s">
        <v>547</v>
      </c>
      <c r="S869" t="s">
        <v>547</v>
      </c>
    </row>
    <row r="870" spans="1:19" x14ac:dyDescent="0.2">
      <c r="A870">
        <v>881</v>
      </c>
      <c r="B870" t="s">
        <v>284</v>
      </c>
      <c r="C870" t="s">
        <v>398</v>
      </c>
      <c r="D870" t="s">
        <v>23</v>
      </c>
      <c r="E870" t="s">
        <v>9</v>
      </c>
      <c r="F870" t="s">
        <v>12</v>
      </c>
      <c r="G870">
        <v>24</v>
      </c>
      <c r="H870">
        <v>26</v>
      </c>
      <c r="I870">
        <v>1.65</v>
      </c>
      <c r="J870">
        <v>2.8</v>
      </c>
      <c r="K870">
        <v>0.6</v>
      </c>
      <c r="L870">
        <v>0.56100000000000005</v>
      </c>
      <c r="M870">
        <v>7.5999999999999998E-2</v>
      </c>
      <c r="N870" s="21">
        <v>2.9088888888888893</v>
      </c>
      <c r="O870" s="21">
        <v>1.1427777777777779</v>
      </c>
      <c r="P870" s="21" t="s">
        <v>547</v>
      </c>
      <c r="Q870" s="21">
        <v>2.9088888888888893</v>
      </c>
      <c r="S870" t="s">
        <v>547</v>
      </c>
    </row>
    <row r="871" spans="1:19" x14ac:dyDescent="0.2">
      <c r="A871">
        <v>882</v>
      </c>
      <c r="B871" t="s">
        <v>284</v>
      </c>
      <c r="C871" t="s">
        <v>398</v>
      </c>
      <c r="D871" t="s">
        <v>23</v>
      </c>
      <c r="E871" t="s">
        <v>9</v>
      </c>
      <c r="F871" t="s">
        <v>14</v>
      </c>
      <c r="G871">
        <v>28</v>
      </c>
      <c r="H871">
        <v>26</v>
      </c>
      <c r="I871">
        <v>1.65</v>
      </c>
      <c r="J871">
        <v>2.15</v>
      </c>
      <c r="K871">
        <v>0.6</v>
      </c>
      <c r="L871">
        <v>0.56100000000000005</v>
      </c>
      <c r="M871">
        <v>7.5999999999999998E-2</v>
      </c>
      <c r="N871" s="21">
        <v>2.2336111111111112</v>
      </c>
      <c r="O871" s="21">
        <v>1.1427777777777779</v>
      </c>
      <c r="P871" s="21" t="s">
        <v>547</v>
      </c>
      <c r="Q871" s="21">
        <v>2.2336111111111112</v>
      </c>
      <c r="S871" t="s">
        <v>547</v>
      </c>
    </row>
    <row r="872" spans="1:19" x14ac:dyDescent="0.2">
      <c r="A872">
        <v>883</v>
      </c>
      <c r="B872" t="s">
        <v>285</v>
      </c>
      <c r="C872" t="s">
        <v>285</v>
      </c>
      <c r="D872" t="s">
        <v>13</v>
      </c>
      <c r="E872" t="s">
        <v>9</v>
      </c>
      <c r="F872" t="s">
        <v>10</v>
      </c>
      <c r="G872">
        <v>36</v>
      </c>
      <c r="H872">
        <v>36</v>
      </c>
      <c r="I872">
        <v>6.83</v>
      </c>
      <c r="J872">
        <v>5.98</v>
      </c>
      <c r="K872">
        <v>1.05</v>
      </c>
      <c r="L872">
        <v>0.34599999999999997</v>
      </c>
      <c r="M872">
        <v>3.7999999999999999E-2</v>
      </c>
      <c r="N872" s="21">
        <v>2.1895026455026456</v>
      </c>
      <c r="O872" s="21">
        <v>1.6671463844797176</v>
      </c>
      <c r="P872" s="21">
        <v>2.1895026455026456</v>
      </c>
      <c r="Q872" s="21" t="s">
        <v>547</v>
      </c>
      <c r="S872" t="s">
        <v>547</v>
      </c>
    </row>
    <row r="873" spans="1:19" x14ac:dyDescent="0.2">
      <c r="A873">
        <v>884</v>
      </c>
      <c r="B873" t="s">
        <v>285</v>
      </c>
      <c r="C873" t="s">
        <v>285</v>
      </c>
      <c r="D873" t="s">
        <v>13</v>
      </c>
      <c r="E873" t="s">
        <v>9</v>
      </c>
      <c r="F873" t="s">
        <v>11</v>
      </c>
      <c r="G873">
        <v>36</v>
      </c>
      <c r="H873">
        <v>36</v>
      </c>
      <c r="I873">
        <v>6.21</v>
      </c>
      <c r="J873">
        <v>4.5999999999999996</v>
      </c>
      <c r="K873">
        <v>1.05</v>
      </c>
      <c r="L873">
        <v>0.34599999999999997</v>
      </c>
      <c r="M873">
        <v>3.7999999999999999E-2</v>
      </c>
      <c r="N873" s="21">
        <v>1.6842328042328039</v>
      </c>
      <c r="O873" s="21">
        <v>1.5158095238095235</v>
      </c>
      <c r="P873" s="21">
        <v>1.6842328042328039</v>
      </c>
      <c r="Q873" s="21" t="s">
        <v>547</v>
      </c>
      <c r="S873" t="s">
        <v>547</v>
      </c>
    </row>
    <row r="874" spans="1:19" x14ac:dyDescent="0.2">
      <c r="A874">
        <v>885</v>
      </c>
      <c r="B874" t="s">
        <v>285</v>
      </c>
      <c r="C874" t="s">
        <v>285</v>
      </c>
      <c r="D874" t="s">
        <v>13</v>
      </c>
      <c r="E874" t="s">
        <v>9</v>
      </c>
      <c r="F874" t="s">
        <v>12</v>
      </c>
      <c r="G874">
        <v>35</v>
      </c>
      <c r="H874">
        <v>0.35</v>
      </c>
      <c r="I874">
        <v>5.68</v>
      </c>
      <c r="J874">
        <v>3.38</v>
      </c>
      <c r="K874">
        <v>0.88</v>
      </c>
      <c r="L874">
        <v>0.30199999999999999</v>
      </c>
      <c r="M874">
        <v>5.8000000000000003E-2</v>
      </c>
      <c r="N874" s="21">
        <v>1.2888383838383837</v>
      </c>
      <c r="O874" s="21">
        <v>1.4439057239057238</v>
      </c>
      <c r="P874" s="21" t="s">
        <v>547</v>
      </c>
      <c r="Q874" s="21">
        <v>1.2888383838383837</v>
      </c>
      <c r="S874" t="s">
        <v>547</v>
      </c>
    </row>
    <row r="875" spans="1:19" x14ac:dyDescent="0.2">
      <c r="A875">
        <v>886</v>
      </c>
      <c r="B875" t="s">
        <v>285</v>
      </c>
      <c r="C875" t="s">
        <v>285</v>
      </c>
      <c r="D875" t="s">
        <v>13</v>
      </c>
      <c r="E875" t="s">
        <v>9</v>
      </c>
      <c r="F875" t="s">
        <v>14</v>
      </c>
      <c r="G875">
        <v>48</v>
      </c>
      <c r="H875">
        <v>47</v>
      </c>
      <c r="I875">
        <v>8.9</v>
      </c>
      <c r="J875">
        <v>7.22</v>
      </c>
      <c r="K875">
        <v>0.88</v>
      </c>
      <c r="L875">
        <v>0.30199999999999999</v>
      </c>
      <c r="M875">
        <v>5.8000000000000003E-2</v>
      </c>
      <c r="N875" s="21">
        <v>2.7530808080808078</v>
      </c>
      <c r="O875" s="21">
        <v>2.2624579124579123</v>
      </c>
      <c r="P875" s="21" t="s">
        <v>547</v>
      </c>
      <c r="Q875" s="21">
        <v>2.7530808080808078</v>
      </c>
      <c r="S875" t="s">
        <v>547</v>
      </c>
    </row>
    <row r="876" spans="1:19" x14ac:dyDescent="0.2">
      <c r="A876">
        <v>887</v>
      </c>
      <c r="B876" t="s">
        <v>286</v>
      </c>
      <c r="C876" t="s">
        <v>399</v>
      </c>
      <c r="D876" t="s">
        <v>13</v>
      </c>
      <c r="E876" t="s">
        <v>9</v>
      </c>
      <c r="F876" t="s">
        <v>10</v>
      </c>
      <c r="G876">
        <v>34</v>
      </c>
      <c r="H876">
        <v>31</v>
      </c>
      <c r="I876">
        <v>6.21</v>
      </c>
      <c r="J876">
        <v>6.29</v>
      </c>
      <c r="K876">
        <v>1.35</v>
      </c>
      <c r="L876">
        <v>0.69399999999999995</v>
      </c>
      <c r="M876">
        <v>0.128</v>
      </c>
      <c r="N876" s="21">
        <v>3.5928065843621395</v>
      </c>
      <c r="O876" s="21">
        <v>2.3647407407407401</v>
      </c>
      <c r="P876" s="21">
        <v>3.5928065843621395</v>
      </c>
      <c r="Q876" s="21" t="s">
        <v>547</v>
      </c>
      <c r="S876" t="s">
        <v>547</v>
      </c>
    </row>
    <row r="877" spans="1:19" x14ac:dyDescent="0.2">
      <c r="A877">
        <v>888</v>
      </c>
      <c r="B877" t="s">
        <v>286</v>
      </c>
      <c r="C877" t="s">
        <v>399</v>
      </c>
      <c r="D877" t="s">
        <v>13</v>
      </c>
      <c r="E877" t="s">
        <v>9</v>
      </c>
      <c r="F877" t="s">
        <v>11</v>
      </c>
      <c r="G877">
        <v>56</v>
      </c>
      <c r="H877">
        <v>55</v>
      </c>
      <c r="I877">
        <v>7.68</v>
      </c>
      <c r="J877">
        <v>8.8699999999999992</v>
      </c>
      <c r="K877">
        <v>1.35</v>
      </c>
      <c r="L877">
        <v>0.69399999999999995</v>
      </c>
      <c r="M877">
        <v>0.128</v>
      </c>
      <c r="N877" s="21">
        <v>5.0664855967078184</v>
      </c>
      <c r="O877" s="21">
        <v>2.9245102880658429</v>
      </c>
      <c r="P877" s="21">
        <v>5.0664855967078184</v>
      </c>
      <c r="Q877" s="21" t="s">
        <v>547</v>
      </c>
      <c r="S877" t="s">
        <v>547</v>
      </c>
    </row>
    <row r="878" spans="1:19" x14ac:dyDescent="0.2">
      <c r="A878">
        <v>889</v>
      </c>
      <c r="B878" t="s">
        <v>286</v>
      </c>
      <c r="C878" t="s">
        <v>399</v>
      </c>
      <c r="D878" t="s">
        <v>13</v>
      </c>
      <c r="E878" t="s">
        <v>9</v>
      </c>
      <c r="F878" t="s">
        <v>12</v>
      </c>
      <c r="G878">
        <v>41</v>
      </c>
      <c r="H878">
        <v>41</v>
      </c>
      <c r="I878">
        <v>5.9</v>
      </c>
      <c r="J878">
        <v>4.63</v>
      </c>
      <c r="K878">
        <v>0.16</v>
      </c>
      <c r="L878">
        <v>0.216</v>
      </c>
      <c r="M878">
        <v>5.0999999999999997E-2</v>
      </c>
      <c r="N878" s="21">
        <v>6.9449999999999994</v>
      </c>
      <c r="O878" s="21">
        <v>5.9000000000000012</v>
      </c>
      <c r="P878" s="21" t="s">
        <v>547</v>
      </c>
      <c r="Q878" s="21">
        <v>6.9449999999999994</v>
      </c>
      <c r="S878" t="s">
        <v>547</v>
      </c>
    </row>
    <row r="879" spans="1:19" x14ac:dyDescent="0.2">
      <c r="A879">
        <v>890</v>
      </c>
      <c r="B879" t="s">
        <v>286</v>
      </c>
      <c r="C879" t="s">
        <v>399</v>
      </c>
      <c r="D879" t="s">
        <v>13</v>
      </c>
      <c r="E879" t="s">
        <v>9</v>
      </c>
      <c r="F879" t="s">
        <v>14</v>
      </c>
      <c r="G879">
        <v>24</v>
      </c>
      <c r="H879">
        <v>24</v>
      </c>
      <c r="I879">
        <v>3.54</v>
      </c>
      <c r="J879">
        <v>3.76</v>
      </c>
      <c r="K879">
        <v>0.16</v>
      </c>
      <c r="L879">
        <v>0.216</v>
      </c>
      <c r="M879">
        <v>5.0999999999999997E-2</v>
      </c>
      <c r="N879" s="21">
        <v>5.64</v>
      </c>
      <c r="O879" s="21">
        <v>3.54</v>
      </c>
      <c r="P879" s="21" t="s">
        <v>547</v>
      </c>
      <c r="Q879" s="21">
        <v>5.64</v>
      </c>
      <c r="S879" t="s">
        <v>547</v>
      </c>
    </row>
    <row r="880" spans="1:19" x14ac:dyDescent="0.2">
      <c r="A880">
        <v>891</v>
      </c>
      <c r="B880" t="s">
        <v>287</v>
      </c>
      <c r="C880" t="s">
        <v>400</v>
      </c>
      <c r="D880" t="s">
        <v>13</v>
      </c>
      <c r="E880" t="s">
        <v>9</v>
      </c>
      <c r="F880" t="s">
        <v>10</v>
      </c>
      <c r="G880">
        <v>40</v>
      </c>
      <c r="H880">
        <v>42</v>
      </c>
      <c r="I880">
        <v>10.24</v>
      </c>
      <c r="J880">
        <v>9.3699999999999992</v>
      </c>
      <c r="K880">
        <v>1.1000000000000001</v>
      </c>
      <c r="L880">
        <v>0.72599999999999998</v>
      </c>
      <c r="N880" s="21">
        <v>6.8713333333333324</v>
      </c>
      <c r="O880" s="21">
        <v>5.0062222222222221</v>
      </c>
      <c r="P880" s="21">
        <v>6.8713333333333324</v>
      </c>
      <c r="Q880" s="21" t="s">
        <v>547</v>
      </c>
      <c r="S880" t="s">
        <v>547</v>
      </c>
    </row>
    <row r="881" spans="1:19" x14ac:dyDescent="0.2">
      <c r="A881">
        <v>892</v>
      </c>
      <c r="B881" t="s">
        <v>287</v>
      </c>
      <c r="C881" t="s">
        <v>400</v>
      </c>
      <c r="D881" t="s">
        <v>13</v>
      </c>
      <c r="E881" t="s">
        <v>9</v>
      </c>
      <c r="F881" t="s">
        <v>11</v>
      </c>
      <c r="G881">
        <v>48</v>
      </c>
      <c r="H881">
        <v>48</v>
      </c>
      <c r="I881">
        <v>9.0399999999999991</v>
      </c>
      <c r="J881">
        <v>8.91</v>
      </c>
      <c r="K881">
        <v>1.1000000000000001</v>
      </c>
      <c r="L881">
        <v>0.72599999999999998</v>
      </c>
      <c r="N881" s="21">
        <v>6.5339999999999998</v>
      </c>
      <c r="O881" s="21">
        <v>4.4195555555555552</v>
      </c>
      <c r="P881" s="21">
        <v>6.5339999999999998</v>
      </c>
      <c r="Q881" s="21" t="s">
        <v>547</v>
      </c>
      <c r="S881" t="s">
        <v>547</v>
      </c>
    </row>
    <row r="882" spans="1:19" x14ac:dyDescent="0.2">
      <c r="A882">
        <v>893</v>
      </c>
      <c r="B882" t="s">
        <v>287</v>
      </c>
      <c r="C882" t="s">
        <v>400</v>
      </c>
      <c r="D882" t="s">
        <v>13</v>
      </c>
      <c r="E882" t="s">
        <v>9</v>
      </c>
      <c r="F882" t="s">
        <v>12</v>
      </c>
      <c r="G882">
        <v>27</v>
      </c>
      <c r="H882">
        <v>27</v>
      </c>
      <c r="I882">
        <v>5.92</v>
      </c>
      <c r="J882">
        <v>5.71</v>
      </c>
      <c r="K882">
        <v>0.92</v>
      </c>
      <c r="L882">
        <v>0.60599999999999998</v>
      </c>
      <c r="M882">
        <v>0.13900000000000001</v>
      </c>
      <c r="N882" s="21">
        <v>4.1790579710144922</v>
      </c>
      <c r="O882" s="21">
        <v>2.8885024154589374</v>
      </c>
      <c r="P882" s="21" t="s">
        <v>547</v>
      </c>
      <c r="Q882" s="21">
        <v>4.1790579710144922</v>
      </c>
      <c r="S882" t="s">
        <v>547</v>
      </c>
    </row>
    <row r="883" spans="1:19" x14ac:dyDescent="0.2">
      <c r="A883">
        <v>894</v>
      </c>
      <c r="B883" t="s">
        <v>287</v>
      </c>
      <c r="C883" t="s">
        <v>400</v>
      </c>
      <c r="D883" t="s">
        <v>13</v>
      </c>
      <c r="E883" t="s">
        <v>9</v>
      </c>
      <c r="F883" t="s">
        <v>14</v>
      </c>
      <c r="G883">
        <v>40</v>
      </c>
      <c r="H883">
        <v>42</v>
      </c>
      <c r="I883">
        <v>7.11</v>
      </c>
      <c r="J883">
        <v>4.92</v>
      </c>
      <c r="K883">
        <v>0.92</v>
      </c>
      <c r="L883">
        <v>0.60599999999999998</v>
      </c>
      <c r="M883">
        <v>0.13900000000000001</v>
      </c>
      <c r="N883" s="21">
        <v>3.600869565217391</v>
      </c>
      <c r="O883" s="21">
        <v>3.4691304347826084</v>
      </c>
      <c r="P883" s="21" t="s">
        <v>547</v>
      </c>
      <c r="Q883" s="21">
        <v>3.600869565217391</v>
      </c>
      <c r="S883" t="s">
        <v>547</v>
      </c>
    </row>
    <row r="884" spans="1:19" x14ac:dyDescent="0.2">
      <c r="A884">
        <v>895</v>
      </c>
      <c r="B884" t="s">
        <v>288</v>
      </c>
      <c r="C884" t="s">
        <v>401</v>
      </c>
      <c r="D884" t="s">
        <v>13</v>
      </c>
      <c r="E884" t="s">
        <v>9</v>
      </c>
      <c r="F884" t="s">
        <v>10</v>
      </c>
      <c r="G884">
        <v>42</v>
      </c>
      <c r="H884">
        <v>42</v>
      </c>
      <c r="I884">
        <v>5.32</v>
      </c>
      <c r="J884">
        <v>4.8099999999999996</v>
      </c>
      <c r="K884">
        <v>0.99</v>
      </c>
      <c r="L884">
        <v>0.55400000000000005</v>
      </c>
      <c r="M884">
        <v>0.14099999999999999</v>
      </c>
      <c r="N884" s="21">
        <v>2.9907295173961841</v>
      </c>
      <c r="O884" s="21">
        <v>2.2052225963337082</v>
      </c>
      <c r="P884" s="21">
        <v>2.9907295173961841</v>
      </c>
      <c r="Q884" s="21" t="s">
        <v>547</v>
      </c>
      <c r="S884" t="s">
        <v>547</v>
      </c>
    </row>
    <row r="885" spans="1:19" x14ac:dyDescent="0.2">
      <c r="A885">
        <v>896</v>
      </c>
      <c r="B885" t="s">
        <v>288</v>
      </c>
      <c r="C885" t="s">
        <v>401</v>
      </c>
      <c r="D885" t="s">
        <v>13</v>
      </c>
      <c r="E885" t="s">
        <v>9</v>
      </c>
      <c r="F885" t="s">
        <v>11</v>
      </c>
      <c r="G885">
        <v>37</v>
      </c>
      <c r="H885">
        <v>37</v>
      </c>
      <c r="I885">
        <v>5.05</v>
      </c>
      <c r="J885">
        <v>4.6100000000000003</v>
      </c>
      <c r="K885">
        <v>0.99</v>
      </c>
      <c r="L885">
        <v>0.55400000000000005</v>
      </c>
      <c r="M885">
        <v>0.14099999999999999</v>
      </c>
      <c r="N885" s="21">
        <v>2.8663748597081935</v>
      </c>
      <c r="O885" s="21">
        <v>2.0933034044145158</v>
      </c>
      <c r="P885" s="21">
        <v>2.8663748597081935</v>
      </c>
      <c r="Q885" s="21" t="s">
        <v>547</v>
      </c>
      <c r="S885" t="s">
        <v>547</v>
      </c>
    </row>
    <row r="886" spans="1:19" x14ac:dyDescent="0.2">
      <c r="A886">
        <v>897</v>
      </c>
      <c r="B886" t="s">
        <v>288</v>
      </c>
      <c r="C886" t="s">
        <v>401</v>
      </c>
      <c r="D886" t="s">
        <v>13</v>
      </c>
      <c r="E886" t="s">
        <v>9</v>
      </c>
      <c r="F886" t="s">
        <v>12</v>
      </c>
      <c r="G886">
        <v>25</v>
      </c>
      <c r="H886">
        <v>22</v>
      </c>
      <c r="I886">
        <v>4.07</v>
      </c>
      <c r="J886">
        <v>4.6100000000000003</v>
      </c>
      <c r="K886">
        <v>1.31</v>
      </c>
      <c r="L886">
        <v>0.78600000000000003</v>
      </c>
      <c r="M886">
        <v>0.161</v>
      </c>
      <c r="N886" s="21">
        <v>3.0733333333333337</v>
      </c>
      <c r="O886" s="21">
        <v>1.808888888888889</v>
      </c>
      <c r="P886" s="21" t="s">
        <v>547</v>
      </c>
      <c r="Q886" s="21">
        <v>3.0733333333333337</v>
      </c>
      <c r="S886" t="s">
        <v>547</v>
      </c>
    </row>
    <row r="887" spans="1:19" x14ac:dyDescent="0.2">
      <c r="A887">
        <v>898</v>
      </c>
      <c r="B887" t="s">
        <v>288</v>
      </c>
      <c r="C887" t="s">
        <v>401</v>
      </c>
      <c r="D887" t="s">
        <v>13</v>
      </c>
      <c r="E887" t="s">
        <v>9</v>
      </c>
      <c r="F887" t="s">
        <v>14</v>
      </c>
      <c r="G887">
        <v>24</v>
      </c>
      <c r="H887">
        <v>21</v>
      </c>
      <c r="I887">
        <v>3.26</v>
      </c>
      <c r="J887">
        <v>3.59</v>
      </c>
      <c r="K887">
        <v>1.31</v>
      </c>
      <c r="L887">
        <v>0.78600000000000003</v>
      </c>
      <c r="M887">
        <v>0.161</v>
      </c>
      <c r="N887" s="21">
        <v>2.3933333333333335</v>
      </c>
      <c r="O887" s="21">
        <v>1.4488888888888891</v>
      </c>
      <c r="P887" s="21" t="s">
        <v>547</v>
      </c>
      <c r="Q887" s="21">
        <v>2.3933333333333335</v>
      </c>
      <c r="S887" t="s">
        <v>547</v>
      </c>
    </row>
    <row r="888" spans="1:19" x14ac:dyDescent="0.2">
      <c r="A888">
        <v>899</v>
      </c>
      <c r="B888" t="s">
        <v>289</v>
      </c>
      <c r="C888" s="14" t="s">
        <v>289</v>
      </c>
      <c r="D888" t="s">
        <v>13</v>
      </c>
      <c r="E888" t="s">
        <v>9</v>
      </c>
      <c r="F888" t="s">
        <v>10</v>
      </c>
      <c r="G888">
        <v>27</v>
      </c>
      <c r="H888">
        <v>28</v>
      </c>
      <c r="I888">
        <v>8.81</v>
      </c>
      <c r="J888">
        <v>6.73</v>
      </c>
      <c r="K888">
        <v>1.31</v>
      </c>
      <c r="L888">
        <v>0.73799999999999999</v>
      </c>
      <c r="M888">
        <v>0.13800000000000001</v>
      </c>
      <c r="N888" s="21">
        <v>4.2126717557251911</v>
      </c>
      <c r="O888" s="21">
        <v>3.6764376590330792</v>
      </c>
      <c r="P888" s="21">
        <v>4.2126717557251911</v>
      </c>
      <c r="Q888" s="21" t="s">
        <v>547</v>
      </c>
      <c r="S888" t="s">
        <v>547</v>
      </c>
    </row>
    <row r="889" spans="1:19" x14ac:dyDescent="0.2">
      <c r="A889">
        <v>900</v>
      </c>
      <c r="B889" t="s">
        <v>289</v>
      </c>
      <c r="C889" s="14" t="s">
        <v>289</v>
      </c>
      <c r="D889" t="s">
        <v>13</v>
      </c>
      <c r="E889" t="s">
        <v>9</v>
      </c>
      <c r="F889" t="s">
        <v>11</v>
      </c>
      <c r="G889">
        <v>27</v>
      </c>
      <c r="H889">
        <v>29</v>
      </c>
      <c r="I889">
        <v>8.6199999999999992</v>
      </c>
      <c r="J889">
        <v>5.89</v>
      </c>
      <c r="K889">
        <v>1.31</v>
      </c>
      <c r="L889">
        <v>0.73799999999999999</v>
      </c>
      <c r="M889">
        <v>0.13800000000000001</v>
      </c>
      <c r="N889" s="21">
        <v>3.6868702290076336</v>
      </c>
      <c r="O889" s="21">
        <v>3.5971501272264628</v>
      </c>
      <c r="P889" s="21">
        <v>3.6868702290076336</v>
      </c>
      <c r="Q889" s="21" t="s">
        <v>547</v>
      </c>
      <c r="S889" t="s">
        <v>547</v>
      </c>
    </row>
    <row r="890" spans="1:19" x14ac:dyDescent="0.2">
      <c r="A890">
        <v>901</v>
      </c>
      <c r="B890" t="s">
        <v>289</v>
      </c>
      <c r="C890" s="14" t="s">
        <v>289</v>
      </c>
      <c r="D890" t="s">
        <v>13</v>
      </c>
      <c r="E890" t="s">
        <v>9</v>
      </c>
      <c r="F890" t="s">
        <v>12</v>
      </c>
      <c r="G890">
        <v>33</v>
      </c>
      <c r="H890">
        <v>35</v>
      </c>
      <c r="I890">
        <v>6.72</v>
      </c>
      <c r="J890">
        <v>6.06</v>
      </c>
      <c r="K890">
        <v>0.95</v>
      </c>
      <c r="L890">
        <v>0.66400000000000003</v>
      </c>
      <c r="M890">
        <v>0.11799999999999999</v>
      </c>
      <c r="N890" s="21">
        <v>4.7062456140350886</v>
      </c>
      <c r="O890" s="21">
        <v>3.4792046783625739</v>
      </c>
      <c r="P890" s="21" t="s">
        <v>547</v>
      </c>
      <c r="Q890" s="21">
        <v>4.7062456140350886</v>
      </c>
      <c r="S890" t="s">
        <v>547</v>
      </c>
    </row>
    <row r="891" spans="1:19" x14ac:dyDescent="0.2">
      <c r="A891">
        <v>902</v>
      </c>
      <c r="B891" t="s">
        <v>289</v>
      </c>
      <c r="C891" s="14" t="s">
        <v>289</v>
      </c>
      <c r="D891" t="s">
        <v>13</v>
      </c>
      <c r="E891" t="s">
        <v>9</v>
      </c>
      <c r="F891" t="s">
        <v>14</v>
      </c>
      <c r="G891">
        <v>26</v>
      </c>
      <c r="H891">
        <v>31</v>
      </c>
      <c r="I891">
        <v>5.52</v>
      </c>
      <c r="J891">
        <v>5.27</v>
      </c>
      <c r="K891">
        <v>0.95</v>
      </c>
      <c r="L891">
        <v>0.66400000000000003</v>
      </c>
      <c r="M891">
        <v>0.11799999999999999</v>
      </c>
      <c r="N891" s="21">
        <v>4.0927251461988305</v>
      </c>
      <c r="O891" s="21">
        <v>2.8579181286549713</v>
      </c>
      <c r="P891" s="21" t="s">
        <v>547</v>
      </c>
      <c r="Q891" s="21">
        <v>4.0927251461988305</v>
      </c>
      <c r="S891" t="s">
        <v>547</v>
      </c>
    </row>
    <row r="892" spans="1:19" x14ac:dyDescent="0.2">
      <c r="A892">
        <v>903</v>
      </c>
      <c r="B892" t="s">
        <v>290</v>
      </c>
      <c r="C892" s="14" t="s">
        <v>290</v>
      </c>
      <c r="D892" t="s">
        <v>13</v>
      </c>
      <c r="E892" t="s">
        <v>9</v>
      </c>
      <c r="F892" t="s">
        <v>10</v>
      </c>
      <c r="G892">
        <v>36</v>
      </c>
      <c r="H892">
        <v>39</v>
      </c>
      <c r="I892">
        <v>14.32</v>
      </c>
      <c r="J892">
        <v>9.9</v>
      </c>
      <c r="K892">
        <v>1.68</v>
      </c>
      <c r="N892" s="21">
        <v>6.2759336099585079</v>
      </c>
      <c r="O892" s="21">
        <v>6.0519440602428158</v>
      </c>
      <c r="P892" s="21">
        <v>6.2759336099585079</v>
      </c>
      <c r="Q892" s="21" t="s">
        <v>547</v>
      </c>
      <c r="S892" t="s">
        <v>547</v>
      </c>
    </row>
    <row r="893" spans="1:19" x14ac:dyDescent="0.2">
      <c r="A893">
        <v>904</v>
      </c>
      <c r="B893" t="s">
        <v>290</v>
      </c>
      <c r="C893" s="14" t="s">
        <v>290</v>
      </c>
      <c r="D893" t="s">
        <v>13</v>
      </c>
      <c r="E893" t="s">
        <v>9</v>
      </c>
      <c r="F893" t="s">
        <v>11</v>
      </c>
      <c r="G893">
        <v>42</v>
      </c>
      <c r="H893">
        <v>45</v>
      </c>
      <c r="I893">
        <v>15.38</v>
      </c>
      <c r="J893">
        <v>10.67</v>
      </c>
      <c r="K893">
        <v>1.68</v>
      </c>
      <c r="N893" s="21">
        <v>6.7640617796219473</v>
      </c>
      <c r="O893" s="21">
        <v>6.4999231596741982</v>
      </c>
      <c r="P893" s="21">
        <v>6.7640617796219473</v>
      </c>
      <c r="Q893" s="21" t="s">
        <v>547</v>
      </c>
      <c r="S893" t="s">
        <v>547</v>
      </c>
    </row>
    <row r="894" spans="1:19" x14ac:dyDescent="0.2">
      <c r="A894">
        <v>905</v>
      </c>
      <c r="B894" t="s">
        <v>290</v>
      </c>
      <c r="C894" s="14" t="s">
        <v>290</v>
      </c>
      <c r="D894" t="s">
        <v>13</v>
      </c>
      <c r="E894" t="s">
        <v>9</v>
      </c>
      <c r="F894" t="s">
        <v>12</v>
      </c>
      <c r="G894">
        <v>42</v>
      </c>
      <c r="H894">
        <v>41</v>
      </c>
      <c r="I894">
        <v>10.6</v>
      </c>
      <c r="J894">
        <v>8.07</v>
      </c>
      <c r="K894">
        <v>1.44</v>
      </c>
      <c r="N894" s="21">
        <v>5.1158367911479958</v>
      </c>
      <c r="O894" s="21">
        <v>4.4797909943138157</v>
      </c>
      <c r="P894" s="21" t="s">
        <v>547</v>
      </c>
      <c r="Q894" s="21">
        <v>5.1158367911479958</v>
      </c>
      <c r="S894" t="s">
        <v>547</v>
      </c>
    </row>
    <row r="895" spans="1:19" x14ac:dyDescent="0.2">
      <c r="A895">
        <v>906</v>
      </c>
      <c r="B895" t="s">
        <v>290</v>
      </c>
      <c r="C895" s="14" t="s">
        <v>290</v>
      </c>
      <c r="D895" t="s">
        <v>13</v>
      </c>
      <c r="E895" t="s">
        <v>9</v>
      </c>
      <c r="F895" t="s">
        <v>14</v>
      </c>
      <c r="G895">
        <v>48</v>
      </c>
      <c r="H895">
        <v>42</v>
      </c>
      <c r="I895">
        <v>8.42</v>
      </c>
      <c r="J895">
        <v>7.67</v>
      </c>
      <c r="K895">
        <v>1.44</v>
      </c>
      <c r="N895" s="21">
        <v>4.8622637159981572</v>
      </c>
      <c r="O895" s="21">
        <v>3.5584754879360694</v>
      </c>
      <c r="P895" s="21" t="s">
        <v>547</v>
      </c>
      <c r="Q895" s="21">
        <v>4.8622637159981572</v>
      </c>
      <c r="S895" t="s">
        <v>547</v>
      </c>
    </row>
    <row r="896" spans="1:19" x14ac:dyDescent="0.2">
      <c r="A896">
        <v>907</v>
      </c>
      <c r="B896" t="s">
        <v>291</v>
      </c>
      <c r="C896" t="s">
        <v>402</v>
      </c>
      <c r="D896" t="s">
        <v>13</v>
      </c>
      <c r="E896" t="s">
        <v>9</v>
      </c>
      <c r="F896" t="s">
        <v>10</v>
      </c>
      <c r="G896">
        <v>51</v>
      </c>
      <c r="H896">
        <v>39</v>
      </c>
      <c r="I896">
        <v>15.6</v>
      </c>
      <c r="J896">
        <v>8.0299999999999994</v>
      </c>
      <c r="K896">
        <v>1.55</v>
      </c>
      <c r="L896">
        <v>0.72199999999999998</v>
      </c>
      <c r="M896">
        <v>0.159</v>
      </c>
      <c r="N896" s="21">
        <v>4.1560286738351246</v>
      </c>
      <c r="O896" s="21">
        <v>5.3826523297491029</v>
      </c>
      <c r="P896" s="21">
        <v>4.1560286738351246</v>
      </c>
      <c r="Q896" s="21" t="s">
        <v>547</v>
      </c>
      <c r="S896" t="s">
        <v>547</v>
      </c>
    </row>
    <row r="897" spans="1:19" x14ac:dyDescent="0.2">
      <c r="A897">
        <v>908</v>
      </c>
      <c r="B897" t="s">
        <v>291</v>
      </c>
      <c r="C897" t="s">
        <v>402</v>
      </c>
      <c r="D897" t="s">
        <v>13</v>
      </c>
      <c r="E897" t="s">
        <v>9</v>
      </c>
      <c r="F897" t="s">
        <v>11</v>
      </c>
      <c r="G897">
        <v>38</v>
      </c>
      <c r="H897">
        <v>36</v>
      </c>
      <c r="I897">
        <v>12.41</v>
      </c>
      <c r="J897">
        <v>5.69</v>
      </c>
      <c r="K897">
        <v>1.55</v>
      </c>
      <c r="L897">
        <v>0.72199999999999998</v>
      </c>
      <c r="M897">
        <v>0.159</v>
      </c>
      <c r="N897" s="21">
        <v>2.9449318996415772</v>
      </c>
      <c r="O897" s="21">
        <v>4.2819689366786138</v>
      </c>
      <c r="P897" s="21">
        <v>2.9449318996415772</v>
      </c>
      <c r="Q897" s="21" t="s">
        <v>547</v>
      </c>
      <c r="S897" t="s">
        <v>547</v>
      </c>
    </row>
    <row r="898" spans="1:19" x14ac:dyDescent="0.2">
      <c r="A898">
        <v>909</v>
      </c>
      <c r="B898" t="s">
        <v>291</v>
      </c>
      <c r="C898" t="s">
        <v>402</v>
      </c>
      <c r="D898" t="s">
        <v>13</v>
      </c>
      <c r="E898" t="s">
        <v>9</v>
      </c>
      <c r="F898" t="s">
        <v>12</v>
      </c>
      <c r="G898">
        <v>45</v>
      </c>
      <c r="H898">
        <v>47</v>
      </c>
      <c r="I898">
        <v>8.17</v>
      </c>
      <c r="J898">
        <v>7.62</v>
      </c>
      <c r="K898">
        <v>0.84</v>
      </c>
      <c r="L898">
        <v>0.47199999999999998</v>
      </c>
      <c r="M898">
        <v>9.4E-2</v>
      </c>
      <c r="N898" s="21">
        <v>4.7574603174603176</v>
      </c>
      <c r="O898" s="21">
        <v>3.4005643738977072</v>
      </c>
      <c r="P898" s="21" t="s">
        <v>547</v>
      </c>
      <c r="Q898" s="21">
        <v>4.7574603174603176</v>
      </c>
      <c r="S898" t="s">
        <v>547</v>
      </c>
    </row>
    <row r="899" spans="1:19" x14ac:dyDescent="0.2">
      <c r="A899">
        <v>910</v>
      </c>
      <c r="B899" t="s">
        <v>291</v>
      </c>
      <c r="C899" t="s">
        <v>402</v>
      </c>
      <c r="D899" t="s">
        <v>13</v>
      </c>
      <c r="E899" t="s">
        <v>9</v>
      </c>
      <c r="F899" t="s">
        <v>14</v>
      </c>
      <c r="G899">
        <v>48</v>
      </c>
      <c r="H899">
        <v>49</v>
      </c>
      <c r="I899">
        <v>9.0500000000000007</v>
      </c>
      <c r="J899">
        <v>8.6999999999999993</v>
      </c>
      <c r="K899">
        <v>0.84</v>
      </c>
      <c r="L899">
        <v>0.47199999999999998</v>
      </c>
      <c r="M899">
        <v>9.4E-2</v>
      </c>
      <c r="N899" s="21">
        <v>5.4317460317460311</v>
      </c>
      <c r="O899" s="21">
        <v>3.7668430335097005</v>
      </c>
      <c r="P899" s="21" t="s">
        <v>547</v>
      </c>
      <c r="Q899" s="21">
        <v>5.4317460317460311</v>
      </c>
      <c r="S899" t="s">
        <v>547</v>
      </c>
    </row>
    <row r="900" spans="1:19" x14ac:dyDescent="0.2">
      <c r="A900">
        <v>911</v>
      </c>
      <c r="B900" t="s">
        <v>292</v>
      </c>
      <c r="C900" t="s">
        <v>403</v>
      </c>
      <c r="D900" t="s">
        <v>13</v>
      </c>
      <c r="E900" t="s">
        <v>9</v>
      </c>
      <c r="F900" t="s">
        <v>10</v>
      </c>
      <c r="G900">
        <v>22</v>
      </c>
      <c r="H900">
        <v>22</v>
      </c>
      <c r="I900">
        <v>8.84</v>
      </c>
      <c r="J900">
        <v>4.5199999999999996</v>
      </c>
      <c r="K900">
        <v>1.44</v>
      </c>
      <c r="L900">
        <v>0.20899999999999999</v>
      </c>
      <c r="M900">
        <v>2.4E-2</v>
      </c>
      <c r="N900" s="21">
        <v>0.72891975308641976</v>
      </c>
      <c r="O900" s="21">
        <v>0.95039094650205758</v>
      </c>
      <c r="P900" s="21">
        <v>0.72891975308641976</v>
      </c>
      <c r="Q900" s="21" t="s">
        <v>547</v>
      </c>
      <c r="S900" t="s">
        <v>547</v>
      </c>
    </row>
    <row r="901" spans="1:19" x14ac:dyDescent="0.2">
      <c r="A901">
        <v>912</v>
      </c>
      <c r="B901" t="s">
        <v>292</v>
      </c>
      <c r="C901" t="s">
        <v>403</v>
      </c>
      <c r="D901" t="s">
        <v>13</v>
      </c>
      <c r="E901" t="s">
        <v>9</v>
      </c>
      <c r="F901" t="s">
        <v>11</v>
      </c>
      <c r="G901">
        <v>26</v>
      </c>
      <c r="H901">
        <v>24</v>
      </c>
      <c r="I901">
        <v>8.4499999999999993</v>
      </c>
      <c r="J901">
        <v>4.63</v>
      </c>
      <c r="K901">
        <v>1.44</v>
      </c>
      <c r="L901">
        <v>0.20899999999999999</v>
      </c>
      <c r="M901">
        <v>2.4E-2</v>
      </c>
      <c r="N901" s="21">
        <v>0.74665895061728393</v>
      </c>
      <c r="O901" s="21">
        <v>0.90846193415637855</v>
      </c>
      <c r="P901" s="21">
        <v>0.74665895061728393</v>
      </c>
      <c r="Q901" s="21" t="s">
        <v>547</v>
      </c>
      <c r="S901" t="s">
        <v>547</v>
      </c>
    </row>
    <row r="902" spans="1:19" x14ac:dyDescent="0.2">
      <c r="A902">
        <v>913</v>
      </c>
      <c r="B902" t="s">
        <v>292</v>
      </c>
      <c r="C902" t="s">
        <v>403</v>
      </c>
      <c r="D902" t="s">
        <v>13</v>
      </c>
      <c r="E902" t="s">
        <v>9</v>
      </c>
      <c r="F902" t="s">
        <v>12</v>
      </c>
      <c r="G902">
        <v>23</v>
      </c>
      <c r="H902">
        <v>23</v>
      </c>
      <c r="I902">
        <v>6.74</v>
      </c>
      <c r="J902">
        <v>3.46</v>
      </c>
      <c r="K902">
        <v>1.46</v>
      </c>
      <c r="L902">
        <v>0.68700000000000006</v>
      </c>
      <c r="M902">
        <v>0.13100000000000001</v>
      </c>
      <c r="N902" s="21">
        <v>1.8089954337899545</v>
      </c>
      <c r="O902" s="21">
        <v>2.3492541856925424</v>
      </c>
      <c r="P902" s="21" t="s">
        <v>547</v>
      </c>
      <c r="Q902" s="21">
        <v>1.8089954337899545</v>
      </c>
      <c r="S902" t="s">
        <v>547</v>
      </c>
    </row>
    <row r="903" spans="1:19" x14ac:dyDescent="0.2">
      <c r="A903">
        <v>914</v>
      </c>
      <c r="B903" t="s">
        <v>292</v>
      </c>
      <c r="C903" t="s">
        <v>403</v>
      </c>
      <c r="D903" t="s">
        <v>13</v>
      </c>
      <c r="E903" t="s">
        <v>9</v>
      </c>
      <c r="F903" t="s">
        <v>14</v>
      </c>
      <c r="G903">
        <v>21</v>
      </c>
      <c r="H903">
        <v>23</v>
      </c>
      <c r="I903">
        <v>5.82</v>
      </c>
      <c r="J903">
        <v>3.53</v>
      </c>
      <c r="K903">
        <v>1.46</v>
      </c>
      <c r="L903">
        <v>0.68700000000000006</v>
      </c>
      <c r="M903">
        <v>0.13100000000000001</v>
      </c>
      <c r="N903" s="21">
        <v>1.8455936073059362</v>
      </c>
      <c r="O903" s="21">
        <v>2.0285844748858453</v>
      </c>
      <c r="P903" s="21" t="s">
        <v>547</v>
      </c>
      <c r="Q903" s="21">
        <v>1.8455936073059362</v>
      </c>
      <c r="S903" t="s">
        <v>547</v>
      </c>
    </row>
    <row r="904" spans="1:19" x14ac:dyDescent="0.2">
      <c r="A904">
        <v>915</v>
      </c>
      <c r="B904" t="s">
        <v>293</v>
      </c>
      <c r="C904" t="s">
        <v>405</v>
      </c>
      <c r="D904" t="s">
        <v>13</v>
      </c>
      <c r="E904" t="s">
        <v>9</v>
      </c>
      <c r="F904" t="s">
        <v>10</v>
      </c>
      <c r="G904">
        <v>40</v>
      </c>
      <c r="H904">
        <v>40</v>
      </c>
      <c r="I904">
        <v>8.43</v>
      </c>
      <c r="J904">
        <v>6.45</v>
      </c>
      <c r="K904">
        <v>1.21</v>
      </c>
      <c r="L904">
        <v>0.433</v>
      </c>
      <c r="M904">
        <v>5.2999999999999999E-2</v>
      </c>
      <c r="N904" s="21">
        <v>2.5646005509641876</v>
      </c>
      <c r="O904" s="21">
        <v>2.2345821854912766</v>
      </c>
      <c r="P904" s="21">
        <v>2.5646005509641876</v>
      </c>
      <c r="Q904" s="21" t="s">
        <v>547</v>
      </c>
      <c r="S904" t="s">
        <v>547</v>
      </c>
    </row>
    <row r="905" spans="1:19" x14ac:dyDescent="0.2">
      <c r="A905">
        <v>916</v>
      </c>
      <c r="B905" t="s">
        <v>293</v>
      </c>
      <c r="C905" t="s">
        <v>405</v>
      </c>
      <c r="D905" t="s">
        <v>13</v>
      </c>
      <c r="E905" t="s">
        <v>9</v>
      </c>
      <c r="F905" t="s">
        <v>11</v>
      </c>
      <c r="G905">
        <v>46</v>
      </c>
      <c r="H905">
        <v>50</v>
      </c>
      <c r="I905">
        <v>10.65</v>
      </c>
      <c r="J905">
        <v>9.02</v>
      </c>
      <c r="K905">
        <v>1.21</v>
      </c>
      <c r="L905">
        <v>0.433</v>
      </c>
      <c r="M905">
        <v>5.2999999999999999E-2</v>
      </c>
      <c r="N905" s="21">
        <v>3.5864646464646466</v>
      </c>
      <c r="O905" s="21">
        <v>2.8230486685032146</v>
      </c>
      <c r="P905" s="21">
        <v>3.5864646464646466</v>
      </c>
      <c r="Q905" s="21" t="s">
        <v>547</v>
      </c>
      <c r="S905" t="s">
        <v>547</v>
      </c>
    </row>
    <row r="906" spans="1:19" x14ac:dyDescent="0.2">
      <c r="A906">
        <v>917</v>
      </c>
      <c r="B906" t="s">
        <v>293</v>
      </c>
      <c r="C906" t="s">
        <v>405</v>
      </c>
      <c r="D906" t="s">
        <v>13</v>
      </c>
      <c r="E906" t="s">
        <v>9</v>
      </c>
      <c r="F906" t="s">
        <v>12</v>
      </c>
      <c r="G906">
        <v>56</v>
      </c>
      <c r="H906">
        <v>56</v>
      </c>
      <c r="I906">
        <v>13.24</v>
      </c>
      <c r="J906">
        <v>12.07</v>
      </c>
      <c r="K906">
        <v>0.86</v>
      </c>
      <c r="L906">
        <v>0.23400000000000001</v>
      </c>
      <c r="M906">
        <v>4.9000000000000002E-2</v>
      </c>
      <c r="N906" s="21">
        <v>3.6490697674418611</v>
      </c>
      <c r="O906" s="21">
        <v>2.668527131782946</v>
      </c>
      <c r="P906" s="21" t="s">
        <v>547</v>
      </c>
      <c r="Q906" s="21">
        <v>3.6490697674418611</v>
      </c>
      <c r="S906" t="s">
        <v>547</v>
      </c>
    </row>
    <row r="907" spans="1:19" x14ac:dyDescent="0.2">
      <c r="A907">
        <v>918</v>
      </c>
      <c r="B907" t="s">
        <v>293</v>
      </c>
      <c r="C907" t="s">
        <v>405</v>
      </c>
      <c r="D907" t="s">
        <v>13</v>
      </c>
      <c r="E907" t="s">
        <v>9</v>
      </c>
      <c r="F907" t="s">
        <v>14</v>
      </c>
      <c r="G907">
        <v>39</v>
      </c>
      <c r="H907">
        <v>39</v>
      </c>
      <c r="I907">
        <v>9.23</v>
      </c>
      <c r="J907">
        <v>7.49</v>
      </c>
      <c r="K907">
        <v>0.86</v>
      </c>
      <c r="L907">
        <v>0.23400000000000001</v>
      </c>
      <c r="M907">
        <v>4.9000000000000002E-2</v>
      </c>
      <c r="N907" s="21">
        <v>2.264418604651163</v>
      </c>
      <c r="O907" s="21">
        <v>1.8603100775193802</v>
      </c>
      <c r="P907" s="21" t="s">
        <v>547</v>
      </c>
      <c r="Q907" s="21">
        <v>2.264418604651163</v>
      </c>
      <c r="S907" t="s">
        <v>547</v>
      </c>
    </row>
    <row r="908" spans="1:19" x14ac:dyDescent="0.2">
      <c r="A908">
        <v>919</v>
      </c>
      <c r="B908" t="s">
        <v>294</v>
      </c>
      <c r="C908" t="s">
        <v>404</v>
      </c>
      <c r="D908" t="s">
        <v>13</v>
      </c>
      <c r="E908" t="s">
        <v>9</v>
      </c>
      <c r="F908" t="s">
        <v>10</v>
      </c>
      <c r="G908">
        <v>27</v>
      </c>
      <c r="H908">
        <v>30</v>
      </c>
      <c r="I908">
        <v>6.1</v>
      </c>
      <c r="J908">
        <v>5.87</v>
      </c>
      <c r="K908">
        <v>1.39</v>
      </c>
      <c r="N908" s="21">
        <v>3.7211848778238825</v>
      </c>
      <c r="O908" s="21">
        <v>2.5779929306900264</v>
      </c>
      <c r="P908" s="21">
        <v>3.7211848778238825</v>
      </c>
      <c r="Q908" s="21" t="s">
        <v>547</v>
      </c>
      <c r="S908" t="s">
        <v>547</v>
      </c>
    </row>
    <row r="909" spans="1:19" x14ac:dyDescent="0.2">
      <c r="A909">
        <v>920</v>
      </c>
      <c r="B909" t="s">
        <v>294</v>
      </c>
      <c r="C909" t="s">
        <v>404</v>
      </c>
      <c r="D909" t="s">
        <v>13</v>
      </c>
      <c r="E909" t="s">
        <v>9</v>
      </c>
      <c r="F909" t="s">
        <v>11</v>
      </c>
      <c r="G909">
        <v>27</v>
      </c>
      <c r="H909">
        <v>26</v>
      </c>
      <c r="I909">
        <v>5.4</v>
      </c>
      <c r="J909">
        <v>5.21</v>
      </c>
      <c r="K909">
        <v>1.39</v>
      </c>
      <c r="N909" s="21">
        <v>3.3027893038266489</v>
      </c>
      <c r="O909" s="21">
        <v>2.282157676348548</v>
      </c>
      <c r="P909" s="21">
        <v>3.3027893038266489</v>
      </c>
      <c r="Q909" s="21" t="s">
        <v>547</v>
      </c>
      <c r="S909" t="s">
        <v>547</v>
      </c>
    </row>
    <row r="910" spans="1:19" x14ac:dyDescent="0.2">
      <c r="A910">
        <v>921</v>
      </c>
      <c r="B910" t="s">
        <v>294</v>
      </c>
      <c r="C910" t="s">
        <v>404</v>
      </c>
      <c r="D910" t="s">
        <v>13</v>
      </c>
      <c r="E910" t="s">
        <v>9</v>
      </c>
      <c r="F910" t="s">
        <v>12</v>
      </c>
      <c r="G910">
        <v>40</v>
      </c>
      <c r="H910">
        <v>38</v>
      </c>
      <c r="I910">
        <v>6.6</v>
      </c>
      <c r="J910">
        <v>5.83</v>
      </c>
      <c r="K910">
        <v>0.35</v>
      </c>
      <c r="N910" s="21">
        <v>3.6958275703088987</v>
      </c>
      <c r="O910" s="21">
        <v>2.7893038266482253</v>
      </c>
      <c r="P910" s="21" t="s">
        <v>547</v>
      </c>
      <c r="Q910" s="21">
        <v>3.6958275703088987</v>
      </c>
      <c r="S910" t="s">
        <v>547</v>
      </c>
    </row>
    <row r="911" spans="1:19" x14ac:dyDescent="0.2">
      <c r="A911">
        <v>922</v>
      </c>
      <c r="B911" t="s">
        <v>294</v>
      </c>
      <c r="C911" t="s">
        <v>404</v>
      </c>
      <c r="D911" t="s">
        <v>13</v>
      </c>
      <c r="E911" t="s">
        <v>9</v>
      </c>
      <c r="F911" t="s">
        <v>14</v>
      </c>
      <c r="G911">
        <v>30</v>
      </c>
      <c r="H911">
        <v>34</v>
      </c>
      <c r="I911">
        <v>7.81</v>
      </c>
      <c r="J911">
        <v>7.47</v>
      </c>
      <c r="K911">
        <v>0.35</v>
      </c>
      <c r="N911" s="21">
        <v>4.7354771784232375</v>
      </c>
      <c r="O911" s="21">
        <v>3.3006761948670666</v>
      </c>
      <c r="P911" s="21" t="s">
        <v>547</v>
      </c>
      <c r="Q911" s="21">
        <v>4.7354771784232375</v>
      </c>
      <c r="S911" t="s">
        <v>547</v>
      </c>
    </row>
    <row r="912" spans="1:19" x14ac:dyDescent="0.2">
      <c r="A912">
        <v>923</v>
      </c>
      <c r="B912" t="s">
        <v>295</v>
      </c>
      <c r="C912" t="s">
        <v>406</v>
      </c>
      <c r="D912" t="s">
        <v>13</v>
      </c>
      <c r="E912" t="s">
        <v>9</v>
      </c>
      <c r="F912" t="s">
        <v>10</v>
      </c>
      <c r="G912">
        <v>48</v>
      </c>
      <c r="H912">
        <v>40</v>
      </c>
      <c r="I912">
        <v>10.19</v>
      </c>
      <c r="J912">
        <v>6.74</v>
      </c>
      <c r="K912">
        <v>1.54</v>
      </c>
      <c r="N912" s="21">
        <v>4.2727063162747818</v>
      </c>
      <c r="O912" s="21">
        <v>4.3065160596280929</v>
      </c>
      <c r="P912" s="21">
        <v>4.2727063162747818</v>
      </c>
      <c r="Q912" s="21" t="s">
        <v>547</v>
      </c>
      <c r="S912" t="s">
        <v>547</v>
      </c>
    </row>
    <row r="913" spans="1:19" x14ac:dyDescent="0.2">
      <c r="A913">
        <v>924</v>
      </c>
      <c r="B913" t="s">
        <v>295</v>
      </c>
      <c r="C913" t="s">
        <v>406</v>
      </c>
      <c r="D913" t="s">
        <v>13</v>
      </c>
      <c r="E913" t="s">
        <v>9</v>
      </c>
      <c r="F913" t="s">
        <v>11</v>
      </c>
      <c r="G913">
        <v>47</v>
      </c>
      <c r="H913">
        <v>47</v>
      </c>
      <c r="I913">
        <v>9.2200000000000006</v>
      </c>
      <c r="J913">
        <v>7.77</v>
      </c>
      <c r="K913">
        <v>1.54</v>
      </c>
      <c r="N913" s="21">
        <v>4.9256569847856166</v>
      </c>
      <c r="O913" s="21">
        <v>3.8965729214691875</v>
      </c>
      <c r="P913" s="21">
        <v>4.9256569847856166</v>
      </c>
      <c r="Q913" s="21" t="s">
        <v>547</v>
      </c>
      <c r="S913" t="s">
        <v>547</v>
      </c>
    </row>
    <row r="914" spans="1:19" x14ac:dyDescent="0.2">
      <c r="A914">
        <v>925</v>
      </c>
      <c r="B914" t="s">
        <v>295</v>
      </c>
      <c r="C914" t="s">
        <v>406</v>
      </c>
      <c r="D914" t="s">
        <v>13</v>
      </c>
      <c r="E914" t="s">
        <v>9</v>
      </c>
      <c r="F914" t="s">
        <v>12</v>
      </c>
      <c r="G914">
        <v>35</v>
      </c>
      <c r="H914">
        <v>32</v>
      </c>
      <c r="I914">
        <v>9.2100000000000009</v>
      </c>
      <c r="J914">
        <v>7.59</v>
      </c>
      <c r="K914">
        <v>0.98</v>
      </c>
      <c r="N914" s="21">
        <v>4.8115491009681888</v>
      </c>
      <c r="O914" s="21">
        <v>3.8923467035500243</v>
      </c>
      <c r="P914" s="21" t="s">
        <v>547</v>
      </c>
      <c r="Q914" s="21">
        <v>4.8115491009681888</v>
      </c>
      <c r="S914" t="s">
        <v>547</v>
      </c>
    </row>
    <row r="915" spans="1:19" x14ac:dyDescent="0.2">
      <c r="A915">
        <v>926</v>
      </c>
      <c r="B915" t="s">
        <v>295</v>
      </c>
      <c r="C915" t="s">
        <v>406</v>
      </c>
      <c r="D915" t="s">
        <v>13</v>
      </c>
      <c r="E915" t="s">
        <v>9</v>
      </c>
      <c r="F915" t="s">
        <v>14</v>
      </c>
      <c r="G915">
        <v>50</v>
      </c>
      <c r="H915">
        <v>50</v>
      </c>
      <c r="I915">
        <v>10.71</v>
      </c>
      <c r="J915">
        <v>9.67</v>
      </c>
      <c r="K915">
        <v>0.98</v>
      </c>
      <c r="N915" s="21">
        <v>6.1301290917473494</v>
      </c>
      <c r="O915" s="21">
        <v>4.5262793914246204</v>
      </c>
      <c r="P915" s="21" t="s">
        <v>547</v>
      </c>
      <c r="Q915" s="21">
        <v>6.1301290917473494</v>
      </c>
      <c r="S915" t="s">
        <v>547</v>
      </c>
    </row>
    <row r="916" spans="1:19" x14ac:dyDescent="0.2">
      <c r="A916">
        <v>927</v>
      </c>
      <c r="B916" t="s">
        <v>296</v>
      </c>
      <c r="C916" t="s">
        <v>296</v>
      </c>
      <c r="D916" t="s">
        <v>13</v>
      </c>
      <c r="E916" t="s">
        <v>9</v>
      </c>
      <c r="F916" t="s">
        <v>10</v>
      </c>
      <c r="G916">
        <v>50</v>
      </c>
      <c r="H916">
        <v>55</v>
      </c>
      <c r="I916">
        <v>6.97</v>
      </c>
      <c r="J916">
        <v>16.71</v>
      </c>
      <c r="K916">
        <v>1.6</v>
      </c>
      <c r="L916">
        <v>0.88</v>
      </c>
      <c r="N916" s="21">
        <v>10.211666666666668</v>
      </c>
      <c r="O916" s="21">
        <v>2.8396296296296293</v>
      </c>
      <c r="P916" s="21">
        <v>10.211666666666668</v>
      </c>
      <c r="Q916" s="21" t="s">
        <v>547</v>
      </c>
      <c r="S916" t="s">
        <v>547</v>
      </c>
    </row>
    <row r="917" spans="1:19" x14ac:dyDescent="0.2">
      <c r="A917">
        <v>928</v>
      </c>
      <c r="B917" t="s">
        <v>296</v>
      </c>
      <c r="C917" t="s">
        <v>296</v>
      </c>
      <c r="D917" t="s">
        <v>13</v>
      </c>
      <c r="E917" t="s">
        <v>9</v>
      </c>
      <c r="F917" t="s">
        <v>11</v>
      </c>
      <c r="G917">
        <v>49</v>
      </c>
      <c r="H917">
        <v>68</v>
      </c>
      <c r="I917">
        <v>13.87</v>
      </c>
      <c r="J917">
        <v>10.85</v>
      </c>
      <c r="K917">
        <v>1.6</v>
      </c>
      <c r="L917">
        <v>0.88</v>
      </c>
      <c r="N917" s="21">
        <v>6.6305555555555555</v>
      </c>
      <c r="O917" s="21">
        <v>5.6507407407407397</v>
      </c>
      <c r="P917" s="21">
        <v>6.6305555555555555</v>
      </c>
      <c r="Q917" s="21" t="s">
        <v>547</v>
      </c>
      <c r="S917" t="s">
        <v>547</v>
      </c>
    </row>
    <row r="918" spans="1:19" x14ac:dyDescent="0.2">
      <c r="A918">
        <v>929</v>
      </c>
      <c r="B918" t="s">
        <v>296</v>
      </c>
      <c r="C918" t="s">
        <v>296</v>
      </c>
      <c r="D918" t="s">
        <v>13</v>
      </c>
      <c r="E918" t="s">
        <v>9</v>
      </c>
      <c r="F918" t="s">
        <v>12</v>
      </c>
      <c r="G918">
        <v>48</v>
      </c>
      <c r="H918">
        <v>57</v>
      </c>
      <c r="I918">
        <v>14.9</v>
      </c>
      <c r="J918">
        <v>14.56</v>
      </c>
      <c r="K918">
        <v>0.74</v>
      </c>
      <c r="L918">
        <v>0.40899999999999997</v>
      </c>
      <c r="M918">
        <v>6.9000000000000006E-2</v>
      </c>
      <c r="N918" s="21">
        <v>8.9415015015015022</v>
      </c>
      <c r="O918" s="21">
        <v>6.1002002002002014</v>
      </c>
      <c r="P918" s="21" t="s">
        <v>547</v>
      </c>
      <c r="Q918" s="21">
        <v>8.9415015015015022</v>
      </c>
      <c r="S918" t="s">
        <v>547</v>
      </c>
    </row>
    <row r="919" spans="1:19" x14ac:dyDescent="0.2">
      <c r="A919">
        <v>930</v>
      </c>
      <c r="B919" t="s">
        <v>296</v>
      </c>
      <c r="C919" t="s">
        <v>296</v>
      </c>
      <c r="D919" t="s">
        <v>13</v>
      </c>
      <c r="E919" t="s">
        <v>9</v>
      </c>
      <c r="F919" t="s">
        <v>14</v>
      </c>
      <c r="G919">
        <v>45</v>
      </c>
      <c r="H919">
        <v>49</v>
      </c>
      <c r="I919">
        <v>11.2</v>
      </c>
      <c r="J919">
        <v>11.34</v>
      </c>
      <c r="K919">
        <v>0.74</v>
      </c>
      <c r="L919">
        <v>0.40899999999999997</v>
      </c>
      <c r="M919">
        <v>6.9000000000000006E-2</v>
      </c>
      <c r="N919" s="21">
        <v>6.9640540540540545</v>
      </c>
      <c r="O919" s="21">
        <v>4.5853853853853854</v>
      </c>
      <c r="P919" s="21" t="s">
        <v>547</v>
      </c>
      <c r="Q919" s="21">
        <v>6.9640540540540545</v>
      </c>
      <c r="S919" t="s">
        <v>547</v>
      </c>
    </row>
    <row r="920" spans="1:19" x14ac:dyDescent="0.2">
      <c r="A920">
        <v>931</v>
      </c>
      <c r="B920" t="s">
        <v>297</v>
      </c>
      <c r="C920" t="s">
        <v>297</v>
      </c>
      <c r="D920" t="s">
        <v>13</v>
      </c>
      <c r="E920" t="s">
        <v>27</v>
      </c>
      <c r="F920" t="s">
        <v>37</v>
      </c>
      <c r="G920">
        <v>40</v>
      </c>
      <c r="H920">
        <v>42</v>
      </c>
      <c r="I920">
        <v>11.01</v>
      </c>
      <c r="J920">
        <v>7.57</v>
      </c>
      <c r="K920">
        <v>1.32</v>
      </c>
      <c r="N920" s="21">
        <v>4.7988704472106978</v>
      </c>
      <c r="O920" s="21">
        <v>4.6530659289995393</v>
      </c>
      <c r="P920" s="21" t="s">
        <v>547</v>
      </c>
      <c r="Q920" s="21" t="s">
        <v>547</v>
      </c>
      <c r="S920" t="s">
        <v>547</v>
      </c>
    </row>
    <row r="921" spans="1:19" x14ac:dyDescent="0.2">
      <c r="A921">
        <v>932</v>
      </c>
      <c r="B921" t="s">
        <v>297</v>
      </c>
      <c r="C921" t="s">
        <v>297</v>
      </c>
      <c r="D921" t="s">
        <v>13</v>
      </c>
      <c r="E921" t="s">
        <v>27</v>
      </c>
      <c r="F921" t="s">
        <v>35</v>
      </c>
      <c r="G921">
        <v>25</v>
      </c>
      <c r="H921">
        <v>27</v>
      </c>
      <c r="I921">
        <v>8.4600000000000009</v>
      </c>
      <c r="J921">
        <v>6.56</v>
      </c>
      <c r="K921">
        <v>1.32</v>
      </c>
      <c r="N921" s="21">
        <v>4.1585984324573539</v>
      </c>
      <c r="O921" s="21">
        <v>3.5753803596127254</v>
      </c>
      <c r="P921" s="21" t="s">
        <v>547</v>
      </c>
      <c r="Q921" s="21" t="s">
        <v>547</v>
      </c>
    </row>
    <row r="922" spans="1:19" x14ac:dyDescent="0.2">
      <c r="A922">
        <v>933</v>
      </c>
      <c r="B922" t="s">
        <v>297</v>
      </c>
      <c r="C922" t="s">
        <v>297</v>
      </c>
      <c r="D922" t="s">
        <v>13</v>
      </c>
      <c r="E922" t="s">
        <v>27</v>
      </c>
      <c r="F922" t="s">
        <v>38</v>
      </c>
      <c r="G922">
        <v>25</v>
      </c>
      <c r="H922">
        <v>31</v>
      </c>
      <c r="I922">
        <v>6.5</v>
      </c>
      <c r="J922">
        <v>5.1100000000000003</v>
      </c>
      <c r="K922">
        <v>1.32</v>
      </c>
      <c r="N922" s="21">
        <v>3.2393960350391895</v>
      </c>
      <c r="O922" s="21">
        <v>2.7470416474565855</v>
      </c>
      <c r="P922" s="21" t="s">
        <v>547</v>
      </c>
      <c r="Q922" s="21" t="s">
        <v>547</v>
      </c>
    </row>
    <row r="923" spans="1:19" x14ac:dyDescent="0.2">
      <c r="A923">
        <v>934</v>
      </c>
      <c r="B923" t="s">
        <v>297</v>
      </c>
      <c r="C923" t="s">
        <v>297</v>
      </c>
      <c r="D923" t="s">
        <v>13</v>
      </c>
      <c r="E923" t="s">
        <v>27</v>
      </c>
      <c r="F923" t="s">
        <v>39</v>
      </c>
      <c r="G923">
        <v>33</v>
      </c>
      <c r="H923">
        <v>35</v>
      </c>
      <c r="I923">
        <v>8.27</v>
      </c>
      <c r="J923">
        <v>6.29</v>
      </c>
      <c r="K923">
        <v>1.32</v>
      </c>
      <c r="N923" s="21">
        <v>3.9874366067312135</v>
      </c>
      <c r="O923" s="21">
        <v>3.4950822191486091</v>
      </c>
      <c r="P923" s="21" t="s">
        <v>547</v>
      </c>
      <c r="Q923" s="21" t="s">
        <v>547</v>
      </c>
    </row>
    <row r="924" spans="1:19" x14ac:dyDescent="0.2">
      <c r="A924">
        <v>935</v>
      </c>
      <c r="B924" t="s">
        <v>297</v>
      </c>
      <c r="C924" t="s">
        <v>297</v>
      </c>
      <c r="D924" t="s">
        <v>13</v>
      </c>
      <c r="E924" t="s">
        <v>27</v>
      </c>
      <c r="F924" t="s">
        <v>40</v>
      </c>
      <c r="G924">
        <v>38</v>
      </c>
      <c r="H924">
        <v>41</v>
      </c>
      <c r="I924">
        <v>9.83</v>
      </c>
      <c r="J924">
        <v>9.48</v>
      </c>
      <c r="K924">
        <v>1.32</v>
      </c>
      <c r="N924" s="21">
        <v>6.0096818810511774</v>
      </c>
      <c r="O924" s="21">
        <v>4.1543722145381903</v>
      </c>
      <c r="P924" s="21" t="s">
        <v>547</v>
      </c>
      <c r="Q924" s="21" t="s">
        <v>547</v>
      </c>
    </row>
    <row r="925" spans="1:19" x14ac:dyDescent="0.2">
      <c r="A925">
        <v>936</v>
      </c>
      <c r="B925" t="s">
        <v>297</v>
      </c>
      <c r="C925" t="s">
        <v>297</v>
      </c>
      <c r="D925" t="s">
        <v>13</v>
      </c>
      <c r="E925" t="s">
        <v>27</v>
      </c>
      <c r="F925" t="s">
        <v>41</v>
      </c>
      <c r="G925">
        <v>27</v>
      </c>
      <c r="H925">
        <v>31</v>
      </c>
      <c r="I925">
        <v>8.06</v>
      </c>
      <c r="J925">
        <v>6.34</v>
      </c>
      <c r="K925">
        <v>1.32</v>
      </c>
      <c r="N925" s="21">
        <v>4.0191332411249432</v>
      </c>
      <c r="O925" s="21">
        <v>3.4063316428461667</v>
      </c>
      <c r="P925" s="21" t="s">
        <v>547</v>
      </c>
      <c r="Q925" s="21" t="s">
        <v>547</v>
      </c>
    </row>
    <row r="926" spans="1:19" x14ac:dyDescent="0.2">
      <c r="A926">
        <v>937</v>
      </c>
      <c r="B926" t="s">
        <v>297</v>
      </c>
      <c r="C926" t="s">
        <v>297</v>
      </c>
      <c r="D926" t="s">
        <v>13</v>
      </c>
      <c r="E926" t="s">
        <v>27</v>
      </c>
      <c r="F926" t="s">
        <v>42</v>
      </c>
      <c r="G926">
        <v>37</v>
      </c>
      <c r="H926">
        <v>32</v>
      </c>
      <c r="I926">
        <v>5.34</v>
      </c>
      <c r="J926">
        <v>3.89</v>
      </c>
      <c r="K926">
        <v>0.71</v>
      </c>
      <c r="N926" s="21">
        <v>2.4659981558321813</v>
      </c>
      <c r="O926" s="21">
        <v>2.2568003688335643</v>
      </c>
      <c r="P926" s="21" t="s">
        <v>547</v>
      </c>
      <c r="Q926" s="21" t="s">
        <v>547</v>
      </c>
    </row>
    <row r="927" spans="1:19" x14ac:dyDescent="0.2">
      <c r="A927">
        <v>938</v>
      </c>
      <c r="B927" t="s">
        <v>297</v>
      </c>
      <c r="C927" t="s">
        <v>297</v>
      </c>
      <c r="D927" t="s">
        <v>13</v>
      </c>
      <c r="E927" t="s">
        <v>27</v>
      </c>
      <c r="F927" t="s">
        <v>43</v>
      </c>
      <c r="G927">
        <v>31</v>
      </c>
      <c r="H927">
        <v>33</v>
      </c>
      <c r="I927">
        <v>7.06</v>
      </c>
      <c r="J927">
        <v>4.47</v>
      </c>
      <c r="K927">
        <v>0.71</v>
      </c>
      <c r="N927" s="21">
        <v>2.8336791147994473</v>
      </c>
      <c r="O927" s="21">
        <v>2.9837098509297681</v>
      </c>
      <c r="P927" s="21" t="s">
        <v>547</v>
      </c>
      <c r="Q927" s="21" t="s">
        <v>547</v>
      </c>
    </row>
    <row r="928" spans="1:19" x14ac:dyDescent="0.2">
      <c r="A928">
        <v>939</v>
      </c>
      <c r="B928" t="s">
        <v>297</v>
      </c>
      <c r="C928" t="s">
        <v>297</v>
      </c>
      <c r="D928" t="s">
        <v>13</v>
      </c>
      <c r="E928" t="s">
        <v>27</v>
      </c>
      <c r="F928" t="s">
        <v>44</v>
      </c>
      <c r="G928">
        <v>32</v>
      </c>
      <c r="H928">
        <v>33</v>
      </c>
      <c r="I928">
        <v>4.58</v>
      </c>
      <c r="J928">
        <v>4.03</v>
      </c>
      <c r="K928">
        <v>0.71</v>
      </c>
      <c r="N928" s="21">
        <v>2.5547487321346245</v>
      </c>
      <c r="O928" s="21">
        <v>1.9356078069771019</v>
      </c>
      <c r="P928" s="21" t="s">
        <v>547</v>
      </c>
      <c r="Q928" s="21" t="s">
        <v>547</v>
      </c>
    </row>
    <row r="929" spans="1:17" x14ac:dyDescent="0.2">
      <c r="A929">
        <v>940</v>
      </c>
      <c r="B929" t="s">
        <v>298</v>
      </c>
      <c r="C929" t="s">
        <v>407</v>
      </c>
      <c r="D929" t="s">
        <v>13</v>
      </c>
      <c r="E929" t="s">
        <v>9</v>
      </c>
      <c r="F929" t="s">
        <v>10</v>
      </c>
      <c r="G929">
        <v>30</v>
      </c>
      <c r="H929">
        <v>31</v>
      </c>
      <c r="I929">
        <v>6.98</v>
      </c>
      <c r="J929">
        <v>5.28</v>
      </c>
      <c r="K929">
        <v>1.35</v>
      </c>
      <c r="N929" s="21">
        <v>3.3471645919778705</v>
      </c>
      <c r="O929" s="21">
        <v>2.9499001075764566</v>
      </c>
      <c r="P929" s="21">
        <v>3.3471645919778705</v>
      </c>
      <c r="Q929" s="21" t="s">
        <v>547</v>
      </c>
    </row>
    <row r="930" spans="1:17" x14ac:dyDescent="0.2">
      <c r="A930">
        <v>941</v>
      </c>
      <c r="B930" t="s">
        <v>298</v>
      </c>
      <c r="C930" t="s">
        <v>407</v>
      </c>
      <c r="D930" t="s">
        <v>13</v>
      </c>
      <c r="E930" t="s">
        <v>9</v>
      </c>
      <c r="F930" t="s">
        <v>11</v>
      </c>
      <c r="G930">
        <v>25</v>
      </c>
      <c r="H930">
        <v>23</v>
      </c>
      <c r="I930">
        <v>7.57</v>
      </c>
      <c r="J930">
        <v>5.0599999999999996</v>
      </c>
      <c r="K930">
        <v>1.35</v>
      </c>
      <c r="N930" s="21">
        <v>3.2076994006454593</v>
      </c>
      <c r="O930" s="21">
        <v>3.1992469648071316</v>
      </c>
      <c r="P930" s="21">
        <v>3.2076994006454593</v>
      </c>
      <c r="Q930" s="21" t="s">
        <v>547</v>
      </c>
    </row>
    <row r="931" spans="1:17" x14ac:dyDescent="0.2">
      <c r="A931">
        <v>942</v>
      </c>
      <c r="B931" t="s">
        <v>298</v>
      </c>
      <c r="C931" t="s">
        <v>407</v>
      </c>
      <c r="D931" t="s">
        <v>13</v>
      </c>
      <c r="E931" t="s">
        <v>9</v>
      </c>
      <c r="F931" t="s">
        <v>12</v>
      </c>
      <c r="G931">
        <v>35</v>
      </c>
      <c r="H931">
        <v>32</v>
      </c>
      <c r="I931">
        <v>6.66</v>
      </c>
      <c r="J931">
        <v>3.68</v>
      </c>
      <c r="K931">
        <v>0.87</v>
      </c>
      <c r="N931" s="21">
        <v>2.332872291378516</v>
      </c>
      <c r="O931" s="21">
        <v>2.8146611341632095</v>
      </c>
      <c r="P931" s="21" t="s">
        <v>547</v>
      </c>
      <c r="Q931" s="21">
        <v>2.332872291378516</v>
      </c>
    </row>
    <row r="932" spans="1:17" x14ac:dyDescent="0.2">
      <c r="A932">
        <v>943</v>
      </c>
      <c r="B932" t="s">
        <v>298</v>
      </c>
      <c r="C932" t="s">
        <v>407</v>
      </c>
      <c r="D932" t="s">
        <v>13</v>
      </c>
      <c r="E932" t="s">
        <v>9</v>
      </c>
      <c r="F932" t="s">
        <v>14</v>
      </c>
      <c r="G932">
        <v>39</v>
      </c>
      <c r="H932">
        <v>38</v>
      </c>
      <c r="I932">
        <v>9.2799999999999994</v>
      </c>
      <c r="J932">
        <v>5.12</v>
      </c>
      <c r="K932">
        <v>0.87</v>
      </c>
      <c r="N932" s="21">
        <v>3.245735361917935</v>
      </c>
      <c r="O932" s="21">
        <v>3.9219302289841709</v>
      </c>
      <c r="P932" s="21" t="s">
        <v>547</v>
      </c>
      <c r="Q932" s="21">
        <v>3.245735361917935</v>
      </c>
    </row>
    <row r="933" spans="1:17" x14ac:dyDescent="0.2">
      <c r="A933">
        <v>944</v>
      </c>
      <c r="B933" t="s">
        <v>299</v>
      </c>
      <c r="C933" t="s">
        <v>408</v>
      </c>
      <c r="D933" t="s">
        <v>13</v>
      </c>
      <c r="E933" t="s">
        <v>9</v>
      </c>
      <c r="F933" t="s">
        <v>10</v>
      </c>
      <c r="G933">
        <v>32</v>
      </c>
      <c r="H933">
        <v>31</v>
      </c>
      <c r="I933">
        <v>9.6</v>
      </c>
      <c r="J933">
        <v>6.61</v>
      </c>
      <c r="K933">
        <v>1.48</v>
      </c>
      <c r="L933">
        <v>0.71699999999999997</v>
      </c>
      <c r="M933">
        <v>9.6000000000000002E-2</v>
      </c>
      <c r="N933" s="21">
        <v>3.558085585585586</v>
      </c>
      <c r="O933" s="21">
        <v>3.4450450450450454</v>
      </c>
      <c r="P933" s="21">
        <v>3.558085585585586</v>
      </c>
      <c r="Q933" s="21" t="s">
        <v>547</v>
      </c>
    </row>
    <row r="934" spans="1:17" x14ac:dyDescent="0.2">
      <c r="A934">
        <v>945</v>
      </c>
      <c r="B934" t="s">
        <v>299</v>
      </c>
      <c r="C934" t="s">
        <v>408</v>
      </c>
      <c r="D934" t="s">
        <v>13</v>
      </c>
      <c r="E934" t="s">
        <v>9</v>
      </c>
      <c r="F934" t="s">
        <v>11</v>
      </c>
      <c r="G934">
        <v>35</v>
      </c>
      <c r="H934">
        <v>34</v>
      </c>
      <c r="I934">
        <v>7.39</v>
      </c>
      <c r="J934">
        <v>6.55</v>
      </c>
      <c r="K934">
        <v>1.48</v>
      </c>
      <c r="L934">
        <v>0.71699999999999997</v>
      </c>
      <c r="M934">
        <v>9.6000000000000002E-2</v>
      </c>
      <c r="N934" s="21">
        <v>3.5257882882882883</v>
      </c>
      <c r="O934" s="21">
        <v>2.6519669669669672</v>
      </c>
      <c r="P934" s="21">
        <v>3.5257882882882883</v>
      </c>
      <c r="Q934" s="21" t="s">
        <v>547</v>
      </c>
    </row>
    <row r="935" spans="1:17" x14ac:dyDescent="0.2">
      <c r="A935">
        <v>946</v>
      </c>
      <c r="B935" t="s">
        <v>299</v>
      </c>
      <c r="C935" t="s">
        <v>408</v>
      </c>
      <c r="D935" t="s">
        <v>13</v>
      </c>
      <c r="E935" t="s">
        <v>9</v>
      </c>
      <c r="F935" t="s">
        <v>12</v>
      </c>
      <c r="G935">
        <v>35</v>
      </c>
      <c r="H935">
        <v>35</v>
      </c>
      <c r="I935">
        <v>5.39</v>
      </c>
      <c r="J935">
        <v>3.3</v>
      </c>
      <c r="K935">
        <v>0.84</v>
      </c>
      <c r="L935">
        <v>0.39700000000000002</v>
      </c>
      <c r="M935">
        <v>8.6999999999999994E-2</v>
      </c>
      <c r="N935" s="21">
        <v>1.732936507936508</v>
      </c>
      <c r="O935" s="21">
        <v>1.8869753086419752</v>
      </c>
      <c r="P935" s="21" t="s">
        <v>547</v>
      </c>
      <c r="Q935" s="21">
        <v>1.732936507936508</v>
      </c>
    </row>
    <row r="936" spans="1:17" x14ac:dyDescent="0.2">
      <c r="A936">
        <v>947</v>
      </c>
      <c r="B936" t="s">
        <v>299</v>
      </c>
      <c r="C936" t="s">
        <v>408</v>
      </c>
      <c r="D936" t="s">
        <v>13</v>
      </c>
      <c r="E936" t="s">
        <v>9</v>
      </c>
      <c r="F936" t="s">
        <v>14</v>
      </c>
      <c r="G936">
        <v>30</v>
      </c>
      <c r="H936">
        <v>28</v>
      </c>
      <c r="I936">
        <v>6.88</v>
      </c>
      <c r="J936">
        <v>5.33</v>
      </c>
      <c r="K936">
        <v>0.84</v>
      </c>
      <c r="L936">
        <v>0.39700000000000002</v>
      </c>
      <c r="M936">
        <v>8.6999999999999994E-2</v>
      </c>
      <c r="N936" s="21">
        <v>2.7989550264550269</v>
      </c>
      <c r="O936" s="21">
        <v>2.4086067019400352</v>
      </c>
      <c r="P936" s="21" t="s">
        <v>547</v>
      </c>
      <c r="Q936" s="21">
        <v>2.7989550264550269</v>
      </c>
    </row>
    <row r="937" spans="1:17" x14ac:dyDescent="0.2">
      <c r="A937">
        <v>948</v>
      </c>
      <c r="B937" t="s">
        <v>300</v>
      </c>
      <c r="C937" t="s">
        <v>409</v>
      </c>
      <c r="D937" t="s">
        <v>13</v>
      </c>
      <c r="E937" t="s">
        <v>9</v>
      </c>
      <c r="F937" t="s">
        <v>10</v>
      </c>
      <c r="G937">
        <v>30</v>
      </c>
      <c r="H937">
        <v>36</v>
      </c>
      <c r="I937">
        <v>8.9600000000000009</v>
      </c>
      <c r="J937">
        <v>8</v>
      </c>
      <c r="K937">
        <v>1.48</v>
      </c>
      <c r="L937">
        <v>0.32900000000000001</v>
      </c>
      <c r="M937">
        <v>0.06</v>
      </c>
      <c r="N937" s="21">
        <v>1.9759759759759761</v>
      </c>
      <c r="O937" s="21">
        <v>1.4753953953953958</v>
      </c>
      <c r="P937" s="21">
        <v>1.9759759759759761</v>
      </c>
      <c r="Q937" s="21" t="s">
        <v>547</v>
      </c>
    </row>
    <row r="938" spans="1:17" x14ac:dyDescent="0.2">
      <c r="A938">
        <v>949</v>
      </c>
      <c r="B938" t="s">
        <v>300</v>
      </c>
      <c r="C938" t="s">
        <v>409</v>
      </c>
      <c r="D938" t="s">
        <v>13</v>
      </c>
      <c r="E938" t="s">
        <v>9</v>
      </c>
      <c r="F938" t="s">
        <v>11</v>
      </c>
      <c r="G938">
        <v>26</v>
      </c>
      <c r="H938">
        <v>29</v>
      </c>
      <c r="I938">
        <v>8.4499999999999993</v>
      </c>
      <c r="J938">
        <v>6.86</v>
      </c>
      <c r="K938">
        <v>1.48</v>
      </c>
      <c r="L938">
        <v>0.32900000000000001</v>
      </c>
      <c r="M938">
        <v>0.06</v>
      </c>
      <c r="N938" s="21">
        <v>1.6943993993993995</v>
      </c>
      <c r="O938" s="21">
        <v>1.3914164164164164</v>
      </c>
      <c r="P938" s="21">
        <v>1.6943993993993995</v>
      </c>
      <c r="Q938" s="21" t="s">
        <v>547</v>
      </c>
    </row>
    <row r="939" spans="1:17" x14ac:dyDescent="0.2">
      <c r="A939">
        <v>950</v>
      </c>
      <c r="B939" t="s">
        <v>300</v>
      </c>
      <c r="C939" t="s">
        <v>409</v>
      </c>
      <c r="D939" t="s">
        <v>13</v>
      </c>
      <c r="E939" t="s">
        <v>9</v>
      </c>
      <c r="F939" t="s">
        <v>12</v>
      </c>
      <c r="G939">
        <v>42</v>
      </c>
      <c r="H939">
        <v>45</v>
      </c>
      <c r="I939">
        <v>10.18</v>
      </c>
      <c r="J939">
        <v>6.68</v>
      </c>
      <c r="K939">
        <v>0.55000000000000004</v>
      </c>
      <c r="L939">
        <v>0.40100000000000002</v>
      </c>
      <c r="M939">
        <v>9.8000000000000004E-2</v>
      </c>
      <c r="N939" s="21">
        <v>5.4114747474747471</v>
      </c>
      <c r="O939" s="21">
        <v>5.4978855218855216</v>
      </c>
      <c r="P939" s="21" t="s">
        <v>547</v>
      </c>
      <c r="Q939" s="21">
        <v>5.4114747474747471</v>
      </c>
    </row>
    <row r="940" spans="1:17" x14ac:dyDescent="0.2">
      <c r="A940">
        <v>951</v>
      </c>
      <c r="B940" t="s">
        <v>300</v>
      </c>
      <c r="C940" t="s">
        <v>409</v>
      </c>
      <c r="D940" t="s">
        <v>13</v>
      </c>
      <c r="E940" t="s">
        <v>9</v>
      </c>
      <c r="F940" t="s">
        <v>14</v>
      </c>
      <c r="G940">
        <v>29</v>
      </c>
      <c r="H940">
        <v>28</v>
      </c>
      <c r="I940">
        <v>7.34</v>
      </c>
      <c r="J940">
        <v>5.75</v>
      </c>
      <c r="K940">
        <v>0.55000000000000004</v>
      </c>
      <c r="L940">
        <v>0.40100000000000002</v>
      </c>
      <c r="M940">
        <v>9.8000000000000004E-2</v>
      </c>
      <c r="N940" s="21">
        <v>4.6580808080808085</v>
      </c>
      <c r="O940" s="21">
        <v>3.9640942760942757</v>
      </c>
      <c r="P940" s="21" t="s">
        <v>547</v>
      </c>
      <c r="Q940" s="21">
        <v>4.6580808080808085</v>
      </c>
    </row>
    <row r="941" spans="1:17" x14ac:dyDescent="0.2">
      <c r="A941">
        <v>952</v>
      </c>
      <c r="B941" t="s">
        <v>301</v>
      </c>
      <c r="C941" t="s">
        <v>410</v>
      </c>
      <c r="D941" t="s">
        <v>13</v>
      </c>
      <c r="E941" t="s">
        <v>9</v>
      </c>
      <c r="F941" t="s">
        <v>10</v>
      </c>
      <c r="G941">
        <v>43</v>
      </c>
      <c r="H941">
        <v>44</v>
      </c>
      <c r="I941">
        <v>14.76</v>
      </c>
      <c r="J941">
        <v>9.67</v>
      </c>
      <c r="K941">
        <v>1.41</v>
      </c>
      <c r="L941">
        <v>0.64300000000000002</v>
      </c>
      <c r="M941">
        <v>0.123</v>
      </c>
      <c r="N941" s="21">
        <v>4.8997714736012616</v>
      </c>
      <c r="O941" s="21">
        <v>4.9859101654846345</v>
      </c>
      <c r="P941" s="21">
        <v>4.8997714736012616</v>
      </c>
      <c r="Q941" s="21" t="s">
        <v>547</v>
      </c>
    </row>
    <row r="942" spans="1:17" x14ac:dyDescent="0.2">
      <c r="A942">
        <v>953</v>
      </c>
      <c r="B942" t="s">
        <v>301</v>
      </c>
      <c r="C942" t="s">
        <v>410</v>
      </c>
      <c r="D942" t="s">
        <v>13</v>
      </c>
      <c r="E942" t="s">
        <v>9</v>
      </c>
      <c r="F942" t="s">
        <v>11</v>
      </c>
      <c r="G942">
        <v>36</v>
      </c>
      <c r="H942">
        <v>36</v>
      </c>
      <c r="I942">
        <v>10.7</v>
      </c>
      <c r="J942">
        <v>6.79</v>
      </c>
      <c r="K942">
        <v>1.41</v>
      </c>
      <c r="L942">
        <v>0.64300000000000002</v>
      </c>
      <c r="M942">
        <v>0.123</v>
      </c>
      <c r="N942" s="21">
        <v>3.4404806934594174</v>
      </c>
      <c r="O942" s="21">
        <v>3.6144470711846601</v>
      </c>
      <c r="P942" s="21">
        <v>3.4404806934594174</v>
      </c>
      <c r="Q942" s="21" t="s">
        <v>547</v>
      </c>
    </row>
    <row r="943" spans="1:17" x14ac:dyDescent="0.2">
      <c r="A943">
        <v>954</v>
      </c>
      <c r="B943" t="s">
        <v>301</v>
      </c>
      <c r="C943" t="s">
        <v>410</v>
      </c>
      <c r="D943" t="s">
        <v>13</v>
      </c>
      <c r="E943" t="s">
        <v>9</v>
      </c>
      <c r="F943" t="s">
        <v>12</v>
      </c>
      <c r="G943">
        <v>47</v>
      </c>
      <c r="H943">
        <v>41</v>
      </c>
      <c r="I943">
        <v>11.42</v>
      </c>
      <c r="J943">
        <v>6.1</v>
      </c>
      <c r="K943">
        <v>0.88</v>
      </c>
      <c r="L943">
        <v>0.23599999999999999</v>
      </c>
      <c r="M943">
        <v>4.3999999999999997E-2</v>
      </c>
      <c r="N943" s="21">
        <v>1.8176767676767676</v>
      </c>
      <c r="O943" s="21">
        <v>2.2686195286195283</v>
      </c>
      <c r="P943" s="21" t="s">
        <v>547</v>
      </c>
      <c r="Q943" s="21">
        <v>1.8176767676767676</v>
      </c>
    </row>
    <row r="944" spans="1:17" x14ac:dyDescent="0.2">
      <c r="A944">
        <v>955</v>
      </c>
      <c r="B944" t="s">
        <v>301</v>
      </c>
      <c r="C944" t="s">
        <v>410</v>
      </c>
      <c r="D944" t="s">
        <v>13</v>
      </c>
      <c r="E944" t="s">
        <v>9</v>
      </c>
      <c r="F944" t="s">
        <v>14</v>
      </c>
      <c r="G944">
        <v>39</v>
      </c>
      <c r="H944">
        <v>34</v>
      </c>
      <c r="I944">
        <v>8.7100000000000009</v>
      </c>
      <c r="J944">
        <v>6.68</v>
      </c>
      <c r="K944">
        <v>0.88</v>
      </c>
      <c r="L944">
        <v>0.23599999999999999</v>
      </c>
      <c r="M944">
        <v>4.3999999999999997E-2</v>
      </c>
      <c r="N944" s="21">
        <v>1.9905050505050506</v>
      </c>
      <c r="O944" s="21">
        <v>1.7302693602693604</v>
      </c>
      <c r="P944" s="21" t="s">
        <v>547</v>
      </c>
      <c r="Q944" s="21">
        <v>1.9905050505050506</v>
      </c>
    </row>
    <row r="945" spans="1:19" x14ac:dyDescent="0.2">
      <c r="A945">
        <v>956</v>
      </c>
      <c r="B945" t="s">
        <v>302</v>
      </c>
      <c r="C945" t="s">
        <v>411</v>
      </c>
      <c r="D945" t="s">
        <v>13</v>
      </c>
      <c r="E945" t="s">
        <v>9</v>
      </c>
      <c r="F945" t="s">
        <v>10</v>
      </c>
      <c r="G945">
        <v>30</v>
      </c>
      <c r="H945">
        <v>28</v>
      </c>
      <c r="I945">
        <v>6.93</v>
      </c>
      <c r="J945">
        <v>4.83</v>
      </c>
      <c r="K945">
        <v>1.22</v>
      </c>
      <c r="N945" s="21">
        <v>3.0618948824343022</v>
      </c>
      <c r="O945" s="21">
        <v>2.9287690179806365</v>
      </c>
      <c r="P945" s="21">
        <v>3.0618948824343022</v>
      </c>
      <c r="Q945" s="21" t="s">
        <v>547</v>
      </c>
      <c r="S945" t="s">
        <v>547</v>
      </c>
    </row>
    <row r="946" spans="1:19" x14ac:dyDescent="0.2">
      <c r="A946">
        <v>957</v>
      </c>
      <c r="B946" t="s">
        <v>302</v>
      </c>
      <c r="C946" t="s">
        <v>411</v>
      </c>
      <c r="D946" t="s">
        <v>13</v>
      </c>
      <c r="E946" t="s">
        <v>9</v>
      </c>
      <c r="F946" t="s">
        <v>11</v>
      </c>
      <c r="G946">
        <v>26</v>
      </c>
      <c r="H946">
        <v>27</v>
      </c>
      <c r="I946">
        <v>8.5500000000000007</v>
      </c>
      <c r="J946">
        <v>5.3</v>
      </c>
      <c r="K946">
        <v>1.22</v>
      </c>
      <c r="N946" s="21">
        <v>3.3598432457353624</v>
      </c>
      <c r="O946" s="21">
        <v>3.613416320885201</v>
      </c>
      <c r="P946" s="21">
        <v>3.3598432457353624</v>
      </c>
      <c r="Q946" s="21" t="s">
        <v>547</v>
      </c>
      <c r="S946" t="s">
        <v>547</v>
      </c>
    </row>
    <row r="947" spans="1:19" x14ac:dyDescent="0.2">
      <c r="A947">
        <v>958</v>
      </c>
      <c r="B947" t="s">
        <v>302</v>
      </c>
      <c r="C947" t="s">
        <v>411</v>
      </c>
      <c r="D947" t="s">
        <v>13</v>
      </c>
      <c r="E947" t="s">
        <v>9</v>
      </c>
      <c r="F947" t="s">
        <v>12</v>
      </c>
      <c r="G947">
        <v>39</v>
      </c>
      <c r="H947">
        <v>36</v>
      </c>
      <c r="I947">
        <v>6.53</v>
      </c>
      <c r="J947">
        <v>0.53</v>
      </c>
      <c r="N947" s="21"/>
      <c r="O947" s="21">
        <v>2.7597203012140779</v>
      </c>
      <c r="P947" s="21" t="s">
        <v>547</v>
      </c>
      <c r="Q947" s="21">
        <v>0</v>
      </c>
      <c r="S947" t="s">
        <v>547</v>
      </c>
    </row>
    <row r="948" spans="1:19" x14ac:dyDescent="0.2">
      <c r="A948">
        <v>959</v>
      </c>
      <c r="B948" t="s">
        <v>302</v>
      </c>
      <c r="C948" t="s">
        <v>411</v>
      </c>
      <c r="D948" t="s">
        <v>13</v>
      </c>
      <c r="E948" t="s">
        <v>9</v>
      </c>
      <c r="F948" t="s">
        <v>14</v>
      </c>
      <c r="G948">
        <v>36</v>
      </c>
      <c r="H948">
        <v>37</v>
      </c>
      <c r="I948">
        <v>6.56</v>
      </c>
      <c r="N948" s="21"/>
      <c r="O948" s="21">
        <v>2.7723989549715693</v>
      </c>
      <c r="P948" s="21" t="s">
        <v>547</v>
      </c>
      <c r="Q948" s="21">
        <v>0</v>
      </c>
      <c r="S948" t="s">
        <v>547</v>
      </c>
    </row>
    <row r="949" spans="1:19" x14ac:dyDescent="0.2">
      <c r="A949">
        <v>960</v>
      </c>
      <c r="B949" t="s">
        <v>303</v>
      </c>
      <c r="E949" t="s">
        <v>9</v>
      </c>
      <c r="F949" t="s">
        <v>10</v>
      </c>
      <c r="L949">
        <v>0.69699999999999995</v>
      </c>
      <c r="M949">
        <v>0.14000000000000001</v>
      </c>
      <c r="N949" s="21"/>
      <c r="O949" s="21" t="e">
        <v>#DIV/0!</v>
      </c>
      <c r="P949" s="21"/>
      <c r="Q949" s="21"/>
      <c r="S949" t="s">
        <v>547</v>
      </c>
    </row>
    <row r="950" spans="1:19" x14ac:dyDescent="0.2">
      <c r="A950">
        <v>961</v>
      </c>
      <c r="B950" t="s">
        <v>303</v>
      </c>
      <c r="E950" t="s">
        <v>9</v>
      </c>
      <c r="F950" t="s">
        <v>11</v>
      </c>
      <c r="N950" s="21"/>
      <c r="O950" s="21" t="e">
        <v>#DIV/0!</v>
      </c>
      <c r="P950" s="21"/>
      <c r="Q950" s="21"/>
      <c r="S950" t="s">
        <v>547</v>
      </c>
    </row>
    <row r="951" spans="1:19" x14ac:dyDescent="0.2">
      <c r="A951">
        <v>962</v>
      </c>
      <c r="B951" t="s">
        <v>303</v>
      </c>
      <c r="E951" t="s">
        <v>9</v>
      </c>
      <c r="F951" t="s">
        <v>57</v>
      </c>
      <c r="L951">
        <v>0.59499999999999997</v>
      </c>
      <c r="M951">
        <v>9.0999999999999998E-2</v>
      </c>
      <c r="N951" s="21"/>
      <c r="O951" s="21" t="e">
        <v>#DIV/0!</v>
      </c>
      <c r="P951" s="21"/>
      <c r="Q951" s="21"/>
      <c r="S951" t="s">
        <v>547</v>
      </c>
    </row>
    <row r="952" spans="1:19" x14ac:dyDescent="0.2">
      <c r="A952">
        <v>963</v>
      </c>
      <c r="B952" t="s">
        <v>303</v>
      </c>
      <c r="E952" t="s">
        <v>9</v>
      </c>
      <c r="F952" t="s">
        <v>58</v>
      </c>
      <c r="N952" s="21"/>
      <c r="O952" s="21" t="e">
        <v>#DIV/0!</v>
      </c>
      <c r="P952" s="21"/>
      <c r="Q952" s="21"/>
      <c r="S952" t="s">
        <v>547</v>
      </c>
    </row>
    <row r="953" spans="1:19" x14ac:dyDescent="0.2">
      <c r="A953">
        <v>964</v>
      </c>
      <c r="B953" t="s">
        <v>304</v>
      </c>
      <c r="E953" t="s">
        <v>9</v>
      </c>
      <c r="F953" t="s">
        <v>10</v>
      </c>
      <c r="L953">
        <v>0.44600000000000001</v>
      </c>
      <c r="M953">
        <v>6.6000000000000003E-2</v>
      </c>
      <c r="N953" s="21"/>
      <c r="O953" s="21" t="e">
        <v>#DIV/0!</v>
      </c>
      <c r="P953" s="21"/>
      <c r="Q953" s="21"/>
      <c r="S953" t="s">
        <v>547</v>
      </c>
    </row>
    <row r="954" spans="1:19" x14ac:dyDescent="0.2">
      <c r="A954">
        <v>965</v>
      </c>
      <c r="B954" t="s">
        <v>304</v>
      </c>
      <c r="E954" t="s">
        <v>9</v>
      </c>
      <c r="F954" t="s">
        <v>12</v>
      </c>
      <c r="L954">
        <v>0.69899999999999995</v>
      </c>
      <c r="M954">
        <v>0.11700000000000001</v>
      </c>
      <c r="N954" s="21"/>
      <c r="O954" s="21" t="e">
        <v>#DIV/0!</v>
      </c>
      <c r="P954" s="21"/>
      <c r="Q954" s="21"/>
      <c r="S954" t="s">
        <v>547</v>
      </c>
    </row>
    <row r="955" spans="1:19" x14ac:dyDescent="0.2">
      <c r="A955">
        <v>966</v>
      </c>
      <c r="B955" t="s">
        <v>305</v>
      </c>
      <c r="E955" t="s">
        <v>9</v>
      </c>
      <c r="F955" t="s">
        <v>10</v>
      </c>
      <c r="L955">
        <v>0.56000000000000005</v>
      </c>
      <c r="M955">
        <v>0.11899999999999999</v>
      </c>
      <c r="N955" s="21"/>
      <c r="O955" s="21" t="e">
        <v>#DIV/0!</v>
      </c>
      <c r="P955" s="21"/>
      <c r="Q955" s="21"/>
      <c r="S955" t="s">
        <v>547</v>
      </c>
    </row>
    <row r="956" spans="1:19" x14ac:dyDescent="0.2">
      <c r="A956">
        <v>967</v>
      </c>
      <c r="B956" t="s">
        <v>306</v>
      </c>
      <c r="E956" t="s">
        <v>9</v>
      </c>
      <c r="F956" t="s">
        <v>10</v>
      </c>
      <c r="L956">
        <v>0.73399999999999999</v>
      </c>
      <c r="M956">
        <v>0.129</v>
      </c>
      <c r="N956" s="21"/>
      <c r="O956" s="21" t="e">
        <v>#DIV/0!</v>
      </c>
      <c r="P956" s="21"/>
      <c r="Q956" s="21"/>
      <c r="S956" t="s">
        <v>547</v>
      </c>
    </row>
    <row r="957" spans="1:19" x14ac:dyDescent="0.2">
      <c r="A957">
        <v>968</v>
      </c>
      <c r="B957" t="s">
        <v>306</v>
      </c>
      <c r="E957" t="s">
        <v>9</v>
      </c>
      <c r="F957" t="s">
        <v>12</v>
      </c>
      <c r="L957">
        <v>1.087</v>
      </c>
      <c r="M957">
        <v>0.108</v>
      </c>
      <c r="N957" s="21"/>
      <c r="O957" s="21" t="e">
        <v>#DIV/0!</v>
      </c>
      <c r="P957" s="21"/>
      <c r="Q957" s="21"/>
      <c r="S957" t="s">
        <v>547</v>
      </c>
    </row>
    <row r="958" spans="1:19" x14ac:dyDescent="0.2">
      <c r="A958">
        <v>969</v>
      </c>
      <c r="B958" t="s">
        <v>307</v>
      </c>
      <c r="E958" t="s">
        <v>9</v>
      </c>
      <c r="F958" t="s">
        <v>10</v>
      </c>
      <c r="L958">
        <v>0.66700000000000004</v>
      </c>
      <c r="M958">
        <v>9.6000000000000002E-2</v>
      </c>
      <c r="N958" s="21"/>
      <c r="O958" s="21" t="e">
        <v>#DIV/0!</v>
      </c>
      <c r="P958" s="21"/>
      <c r="Q958" s="21"/>
      <c r="S958" t="s">
        <v>547</v>
      </c>
    </row>
    <row r="959" spans="1:19" x14ac:dyDescent="0.2">
      <c r="A959">
        <v>972</v>
      </c>
      <c r="B959" t="s">
        <v>2156</v>
      </c>
      <c r="C959" t="s">
        <v>2156</v>
      </c>
      <c r="E959" t="s">
        <v>9</v>
      </c>
      <c r="F959" t="s">
        <v>10</v>
      </c>
      <c r="L959">
        <v>0.41799999999999998</v>
      </c>
      <c r="M959">
        <v>8.5000000000000006E-2</v>
      </c>
      <c r="N959" s="21"/>
      <c r="O959" s="21" t="e">
        <v>#DIV/0!</v>
      </c>
      <c r="P959" s="21"/>
      <c r="Q959" s="21"/>
      <c r="S959" t="s">
        <v>547</v>
      </c>
    </row>
    <row r="960" spans="1:19" x14ac:dyDescent="0.2">
      <c r="A960">
        <v>973</v>
      </c>
      <c r="B960" t="s">
        <v>2156</v>
      </c>
      <c r="C960" t="s">
        <v>2156</v>
      </c>
      <c r="E960" t="s">
        <v>9</v>
      </c>
      <c r="F960" t="s">
        <v>12</v>
      </c>
      <c r="L960">
        <v>0.70099999999999996</v>
      </c>
      <c r="M960">
        <v>0.14000000000000001</v>
      </c>
      <c r="N960" s="21"/>
      <c r="O960" s="21" t="e">
        <v>#DIV/0!</v>
      </c>
      <c r="P960" s="21"/>
      <c r="Q960" s="21"/>
      <c r="S960" t="s">
        <v>547</v>
      </c>
    </row>
    <row r="961" spans="1:19" x14ac:dyDescent="0.2">
      <c r="A961">
        <v>974</v>
      </c>
      <c r="B961" t="s">
        <v>310</v>
      </c>
      <c r="E961" t="s">
        <v>9</v>
      </c>
      <c r="F961" t="s">
        <v>10</v>
      </c>
      <c r="L961">
        <v>0.59099999999999997</v>
      </c>
      <c r="M961">
        <v>0.10299999999999999</v>
      </c>
      <c r="N961" s="21"/>
      <c r="O961" s="21" t="e">
        <v>#DIV/0!</v>
      </c>
      <c r="P961" s="21"/>
      <c r="Q961" s="21"/>
      <c r="S961" t="s">
        <v>547</v>
      </c>
    </row>
    <row r="962" spans="1:19" x14ac:dyDescent="0.2">
      <c r="A962">
        <v>975</v>
      </c>
      <c r="B962" t="s">
        <v>311</v>
      </c>
      <c r="E962" t="s">
        <v>9</v>
      </c>
      <c r="F962" t="s">
        <v>10</v>
      </c>
      <c r="L962">
        <v>0.68200000000000005</v>
      </c>
      <c r="M962">
        <v>116</v>
      </c>
      <c r="N962" s="21"/>
      <c r="O962" s="21" t="e">
        <v>#DIV/0!</v>
      </c>
      <c r="P962" s="21"/>
      <c r="Q962" s="21"/>
      <c r="S962" t="s">
        <v>547</v>
      </c>
    </row>
    <row r="963" spans="1:19" x14ac:dyDescent="0.2">
      <c r="A963">
        <v>976</v>
      </c>
      <c r="B963" t="s">
        <v>312</v>
      </c>
      <c r="E963" t="s">
        <v>9</v>
      </c>
      <c r="F963" t="s">
        <v>10</v>
      </c>
      <c r="L963">
        <v>0.66300000000000003</v>
      </c>
      <c r="M963">
        <v>0.14399999999999999</v>
      </c>
      <c r="N963" s="21"/>
      <c r="O963" s="21" t="e">
        <v>#DIV/0!</v>
      </c>
      <c r="P963" s="21"/>
      <c r="Q963" s="21"/>
      <c r="S963" t="s">
        <v>547</v>
      </c>
    </row>
    <row r="964" spans="1:19" x14ac:dyDescent="0.2">
      <c r="A964">
        <v>977</v>
      </c>
      <c r="B964" t="s">
        <v>312</v>
      </c>
      <c r="E964" t="s">
        <v>9</v>
      </c>
      <c r="F964" t="s">
        <v>11</v>
      </c>
      <c r="N964" s="21"/>
      <c r="O964" s="21" t="e">
        <v>#DIV/0!</v>
      </c>
      <c r="P964" s="21"/>
      <c r="Q964" s="21"/>
      <c r="S964" t="s">
        <v>547</v>
      </c>
    </row>
    <row r="965" spans="1:19" x14ac:dyDescent="0.2">
      <c r="A965">
        <v>978</v>
      </c>
      <c r="B965" t="s">
        <v>312</v>
      </c>
      <c r="E965" t="s">
        <v>9</v>
      </c>
      <c r="F965" t="s">
        <v>12</v>
      </c>
      <c r="L965">
        <v>0.248</v>
      </c>
      <c r="M965">
        <v>4.5999999999999999E-2</v>
      </c>
      <c r="N965" s="21"/>
      <c r="O965" s="21" t="e">
        <v>#DIV/0!</v>
      </c>
      <c r="P965" s="21"/>
      <c r="Q965" s="21"/>
      <c r="S965" t="s">
        <v>547</v>
      </c>
    </row>
    <row r="966" spans="1:19" x14ac:dyDescent="0.2">
      <c r="A966">
        <v>979</v>
      </c>
      <c r="B966" t="s">
        <v>312</v>
      </c>
      <c r="E966" t="s">
        <v>9</v>
      </c>
      <c r="F966" t="s">
        <v>14</v>
      </c>
      <c r="N966" s="21"/>
      <c r="O966" s="21" t="e">
        <v>#DIV/0!</v>
      </c>
      <c r="P966" s="21"/>
      <c r="Q966" s="21"/>
      <c r="S966" t="s">
        <v>547</v>
      </c>
    </row>
    <row r="967" spans="1:19" x14ac:dyDescent="0.2">
      <c r="A967">
        <v>980</v>
      </c>
      <c r="B967" t="s">
        <v>308</v>
      </c>
      <c r="D967" s="45" t="s">
        <v>1561</v>
      </c>
      <c r="E967" s="6" t="s">
        <v>9</v>
      </c>
      <c r="F967" s="6" t="s">
        <v>10</v>
      </c>
      <c r="G967" s="6">
        <v>27</v>
      </c>
      <c r="H967" s="6">
        <v>28</v>
      </c>
      <c r="I967" s="6">
        <v>7.81</v>
      </c>
      <c r="J967" s="6">
        <v>6.73</v>
      </c>
      <c r="K967" s="7">
        <v>1.31</v>
      </c>
      <c r="N967">
        <f>J967*0.58*(10/9)</f>
        <v>4.3371111111111116</v>
      </c>
    </row>
    <row r="968" spans="1:19" x14ac:dyDescent="0.2">
      <c r="A968">
        <v>981</v>
      </c>
      <c r="B968" t="s">
        <v>308</v>
      </c>
      <c r="D968" s="45" t="s">
        <v>1561</v>
      </c>
      <c r="E968" s="6" t="s">
        <v>9</v>
      </c>
      <c r="F968" s="6" t="s">
        <v>11</v>
      </c>
      <c r="G968" s="6">
        <v>27</v>
      </c>
      <c r="H968" s="6">
        <v>29</v>
      </c>
      <c r="I968" s="6">
        <v>7.62</v>
      </c>
      <c r="J968" s="6">
        <v>5.89</v>
      </c>
      <c r="K968" s="7"/>
      <c r="N968">
        <f t="shared" ref="N968:N970" si="0">J968*0.58*(10/9)</f>
        <v>3.7957777777777775</v>
      </c>
    </row>
    <row r="969" spans="1:19" x14ac:dyDescent="0.2">
      <c r="A969">
        <v>982</v>
      </c>
      <c r="B969" t="s">
        <v>308</v>
      </c>
      <c r="D969" s="45" t="s">
        <v>1561</v>
      </c>
      <c r="E969" s="6" t="s">
        <v>9</v>
      </c>
      <c r="F969" s="6" t="s">
        <v>12</v>
      </c>
      <c r="G969" s="6">
        <v>33</v>
      </c>
      <c r="H969" s="6">
        <v>35</v>
      </c>
      <c r="I969" s="6">
        <v>5.72</v>
      </c>
      <c r="J969" s="6">
        <v>6.06</v>
      </c>
      <c r="K969" s="7">
        <v>0.95</v>
      </c>
      <c r="N969">
        <f t="shared" si="0"/>
        <v>3.9053333333333331</v>
      </c>
    </row>
    <row r="970" spans="1:19" x14ac:dyDescent="0.2">
      <c r="A970">
        <v>983</v>
      </c>
      <c r="B970" t="s">
        <v>308</v>
      </c>
      <c r="D970" s="45" t="s">
        <v>1561</v>
      </c>
      <c r="E970" s="6" t="s">
        <v>9</v>
      </c>
      <c r="F970" s="6" t="s">
        <v>14</v>
      </c>
      <c r="G970" s="6">
        <v>26</v>
      </c>
      <c r="H970" s="6">
        <v>31</v>
      </c>
      <c r="I970" s="6">
        <v>4.5199999999999996</v>
      </c>
      <c r="J970" s="6">
        <v>5.27</v>
      </c>
      <c r="K970" s="7"/>
      <c r="N970">
        <f t="shared" si="0"/>
        <v>3.3962222222222218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94466C-D183-4FBD-BB78-2885A04AAC06}">
  <dimension ref="A3:B9"/>
  <sheetViews>
    <sheetView workbookViewId="0">
      <selection activeCell="C16" sqref="C16"/>
    </sheetView>
  </sheetViews>
  <sheetFormatPr baseColWidth="10" defaultColWidth="8.83203125" defaultRowHeight="15" x14ac:dyDescent="0.2"/>
  <cols>
    <col min="1" max="1" width="13.1640625" bestFit="1" customWidth="1"/>
    <col min="2" max="2" width="16.5" bestFit="1" customWidth="1"/>
    <col min="3" max="8" width="12" bestFit="1" customWidth="1"/>
  </cols>
  <sheetData>
    <row r="3" spans="1:2" x14ac:dyDescent="0.2">
      <c r="A3" s="46" t="s">
        <v>1655</v>
      </c>
      <c r="B3" t="s">
        <v>2236</v>
      </c>
    </row>
    <row r="4" spans="1:2" x14ac:dyDescent="0.2">
      <c r="A4" s="47">
        <v>0</v>
      </c>
      <c r="B4">
        <v>3.485601227340398</v>
      </c>
    </row>
    <row r="5" spans="1:2" x14ac:dyDescent="0.2">
      <c r="A5" s="47">
        <v>1</v>
      </c>
      <c r="B5">
        <v>3.7949814542408142</v>
      </c>
    </row>
    <row r="6" spans="1:2" x14ac:dyDescent="0.2">
      <c r="A6" s="47">
        <v>2</v>
      </c>
      <c r="B6">
        <v>4.0178402483701916</v>
      </c>
    </row>
    <row r="7" spans="1:2" x14ac:dyDescent="0.2">
      <c r="A7" s="47">
        <v>-2</v>
      </c>
      <c r="B7">
        <v>3.447731958762887</v>
      </c>
    </row>
    <row r="8" spans="1:2" x14ac:dyDescent="0.2">
      <c r="A8" s="47">
        <v>-1</v>
      </c>
      <c r="B8">
        <v>3.4995708010945363</v>
      </c>
    </row>
    <row r="9" spans="1:2" x14ac:dyDescent="0.2">
      <c r="A9" s="47" t="s">
        <v>1656</v>
      </c>
      <c r="B9">
        <v>3.6264974949282478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X247"/>
  <sheetViews>
    <sheetView zoomScale="85" zoomScaleNormal="85" workbookViewId="0">
      <pane xSplit="6" ySplit="1" topLeftCell="BG2" activePane="bottomRight" state="frozen"/>
      <selection pane="topRight" activeCell="E1" sqref="E1"/>
      <selection pane="bottomLeft" activeCell="A2" sqref="A2"/>
      <selection pane="bottomRight" activeCell="O16" sqref="O16"/>
    </sheetView>
  </sheetViews>
  <sheetFormatPr baseColWidth="10" defaultColWidth="8.83203125" defaultRowHeight="13" x14ac:dyDescent="0.15"/>
  <cols>
    <col min="1" max="1" width="30" style="29" bestFit="1" customWidth="1"/>
    <col min="2" max="2" width="8.83203125" style="29" bestFit="1" customWidth="1"/>
    <col min="3" max="3" width="37.6640625" style="29" bestFit="1" customWidth="1"/>
    <col min="4" max="4" width="25.6640625" style="29" bestFit="1" customWidth="1"/>
    <col min="5" max="5" width="12.5" style="29" bestFit="1" customWidth="1"/>
    <col min="6" max="6" width="11.33203125" style="29" bestFit="1" customWidth="1"/>
    <col min="7" max="7" width="12.1640625" style="29" bestFit="1" customWidth="1"/>
    <col min="8" max="8" width="12.1640625" style="61" bestFit="1" customWidth="1"/>
    <col min="9" max="9" width="14.6640625" style="29" bestFit="1" customWidth="1"/>
    <col min="10" max="10" width="14.1640625" style="61" bestFit="1" customWidth="1"/>
    <col min="11" max="11" width="11.6640625" style="61" bestFit="1" customWidth="1"/>
    <col min="12" max="12" width="10" style="67" bestFit="1" customWidth="1"/>
    <col min="13" max="13" width="11" style="29" bestFit="1" customWidth="1"/>
    <col min="14" max="14" width="12.5" style="29" bestFit="1" customWidth="1"/>
    <col min="15" max="15" width="21.6640625" style="29" bestFit="1" customWidth="1"/>
    <col min="16" max="16" width="14.83203125" style="29" bestFit="1" customWidth="1"/>
    <col min="17" max="17" width="13.83203125" style="67" bestFit="1" customWidth="1"/>
    <col min="18" max="18" width="18.6640625" style="29" bestFit="1" customWidth="1"/>
    <col min="19" max="19" width="18" style="29" bestFit="1" customWidth="1"/>
    <col min="20" max="20" width="15.83203125" style="29" bestFit="1" customWidth="1"/>
    <col min="21" max="21" width="37.83203125" style="29" bestFit="1" customWidth="1"/>
    <col min="22" max="22" width="45" style="29" bestFit="1" customWidth="1"/>
    <col min="23" max="23" width="67.1640625" style="29" bestFit="1" customWidth="1"/>
    <col min="24" max="24" width="63.33203125" style="29" bestFit="1" customWidth="1"/>
    <col min="25" max="25" width="11.5" style="29" bestFit="1" customWidth="1"/>
    <col min="26" max="26" width="13.83203125" style="29" bestFit="1" customWidth="1"/>
    <col min="27" max="27" width="13.1640625" style="61" bestFit="1" customWidth="1"/>
    <col min="28" max="28" width="23.5" style="29" bestFit="1" customWidth="1"/>
    <col min="29" max="29" width="19.83203125" style="67" bestFit="1" customWidth="1"/>
    <col min="30" max="30" width="26" style="29" bestFit="1" customWidth="1"/>
    <col min="31" max="31" width="23.83203125" style="29" bestFit="1" customWidth="1"/>
    <col min="32" max="32" width="25" style="29" bestFit="1" customWidth="1"/>
    <col min="33" max="33" width="27" style="29" bestFit="1" customWidth="1"/>
    <col min="34" max="34" width="13.1640625" style="29" bestFit="1" customWidth="1"/>
    <col min="35" max="35" width="14.83203125" style="29" bestFit="1" customWidth="1"/>
    <col min="36" max="36" width="20" style="29" bestFit="1" customWidth="1"/>
    <col min="37" max="37" width="14.1640625" style="67" bestFit="1" customWidth="1"/>
    <col min="38" max="38" width="18.83203125" style="29" bestFit="1" customWidth="1"/>
    <col min="39" max="39" width="18.6640625" style="29" bestFit="1" customWidth="1"/>
    <col min="40" max="40" width="16" style="29" bestFit="1" customWidth="1"/>
    <col min="41" max="41" width="17" style="29" bestFit="1" customWidth="1"/>
    <col min="42" max="42" width="23.6640625" style="29" bestFit="1" customWidth="1"/>
    <col min="43" max="43" width="9" style="29" bestFit="1" customWidth="1"/>
    <col min="44" max="44" width="10.83203125" style="29" bestFit="1" customWidth="1"/>
    <col min="45" max="45" width="7.83203125" style="29" bestFit="1" customWidth="1"/>
    <col min="46" max="46" width="9.83203125" style="29" bestFit="1" customWidth="1"/>
    <col min="47" max="47" width="12.33203125" style="29" bestFit="1" customWidth="1"/>
    <col min="48" max="48" width="17.1640625" style="29" bestFit="1" customWidth="1"/>
    <col min="49" max="49" width="22.1640625" style="29" bestFit="1" customWidth="1"/>
    <col min="50" max="50" width="20.33203125" style="29" bestFit="1" customWidth="1"/>
    <col min="51" max="51" width="24.6640625" style="29" bestFit="1" customWidth="1"/>
    <col min="52" max="52" width="23.1640625" style="29" bestFit="1" customWidth="1"/>
    <col min="53" max="53" width="24.5" style="29" bestFit="1" customWidth="1"/>
    <col min="54" max="54" width="19.83203125" style="29" bestFit="1" customWidth="1"/>
    <col min="55" max="55" width="22.1640625" style="29" bestFit="1" customWidth="1"/>
    <col min="56" max="57" width="12.1640625" style="29" bestFit="1" customWidth="1"/>
    <col min="58" max="58" width="13.1640625" style="29" bestFit="1" customWidth="1"/>
    <col min="59" max="59" width="13.6640625" style="29" bestFit="1" customWidth="1"/>
    <col min="60" max="60" width="15.33203125" style="29" bestFit="1" customWidth="1"/>
    <col min="61" max="61" width="13.83203125" style="29" bestFit="1" customWidth="1"/>
    <col min="62" max="62" width="12.33203125" style="29" bestFit="1" customWidth="1"/>
    <col min="63" max="63" width="15.83203125" style="29" bestFit="1" customWidth="1"/>
    <col min="64" max="64" width="8.6640625" style="29" bestFit="1" customWidth="1"/>
    <col min="65" max="65" width="13.33203125" style="29" bestFit="1" customWidth="1"/>
    <col min="66" max="66" width="9.1640625" style="29"/>
    <col min="67" max="67" width="13.83203125" style="29" bestFit="1" customWidth="1"/>
    <col min="68" max="68" width="10.83203125" style="29" bestFit="1" customWidth="1"/>
    <col min="69" max="69" width="15.5" style="29" bestFit="1" customWidth="1"/>
    <col min="70" max="70" width="9.33203125" style="29" bestFit="1" customWidth="1"/>
    <col min="71" max="71" width="14.1640625" style="29" bestFit="1" customWidth="1"/>
    <col min="72" max="72" width="7.83203125" style="29" bestFit="1" customWidth="1"/>
    <col min="73" max="73" width="11.5" style="29" bestFit="1" customWidth="1"/>
    <col min="74" max="74" width="11.33203125" style="29" bestFit="1" customWidth="1"/>
    <col min="75" max="75" width="12.1640625" style="29" bestFit="1" customWidth="1"/>
    <col min="76" max="76" width="16.6640625" style="29" bestFit="1" customWidth="1"/>
    <col min="77" max="77" width="12.1640625" style="29" bestFit="1" customWidth="1"/>
    <col min="78" max="78" width="14.6640625" style="29" bestFit="1" customWidth="1"/>
    <col min="79" max="79" width="10.83203125" style="29" bestFit="1" customWidth="1"/>
    <col min="80" max="80" width="13.6640625" style="29" bestFit="1" customWidth="1"/>
    <col min="81" max="82" width="16.5" style="29" bestFit="1" customWidth="1"/>
    <col min="83" max="83" width="18.6640625" style="29" bestFit="1" customWidth="1"/>
    <col min="84" max="84" width="19.1640625" style="29" bestFit="1" customWidth="1"/>
    <col min="85" max="85" width="12.1640625" style="29" bestFit="1" customWidth="1"/>
    <col min="86" max="86" width="14.33203125" style="29" bestFit="1" customWidth="1"/>
    <col min="87" max="87" width="12.1640625" style="29" bestFit="1" customWidth="1"/>
    <col min="88" max="88" width="15.83203125" style="29" bestFit="1" customWidth="1"/>
    <col min="89" max="89" width="65.83203125" style="29" bestFit="1" customWidth="1"/>
    <col min="90" max="90" width="15.33203125" style="29" bestFit="1" customWidth="1"/>
    <col min="91" max="91" width="16.1640625" style="29" bestFit="1" customWidth="1"/>
    <col min="92" max="93" width="12.1640625" style="29" bestFit="1" customWidth="1"/>
    <col min="94" max="94" width="11.5" style="29" bestFit="1" customWidth="1"/>
    <col min="95" max="95" width="14.33203125" style="29" bestFit="1" customWidth="1"/>
    <col min="96" max="96" width="13.6640625" style="29" bestFit="1" customWidth="1"/>
    <col min="97" max="97" width="12.5" style="29" bestFit="1" customWidth="1"/>
    <col min="98" max="98" width="13.1640625" style="29" bestFit="1" customWidth="1"/>
    <col min="99" max="99" width="13.5" style="30" bestFit="1" customWidth="1"/>
    <col min="100" max="100" width="14.1640625" style="29" bestFit="1" customWidth="1"/>
    <col min="101" max="101" width="12.83203125" style="29" bestFit="1" customWidth="1"/>
    <col min="102" max="102" width="13.5" style="29" bestFit="1" customWidth="1"/>
    <col min="103" max="103" width="9" style="30" bestFit="1" customWidth="1"/>
    <col min="104" max="104" width="15.33203125" style="29" bestFit="1" customWidth="1"/>
    <col min="105" max="105" width="14.1640625" style="29" bestFit="1" customWidth="1"/>
    <col min="106" max="106" width="14.6640625" style="29" bestFit="1" customWidth="1"/>
    <col min="107" max="107" width="12.83203125" style="29" bestFit="1" customWidth="1"/>
    <col min="108" max="108" width="22.33203125" style="29" bestFit="1" customWidth="1"/>
    <col min="109" max="112" width="24.5" style="29" bestFit="1" customWidth="1"/>
    <col min="113" max="113" width="11.1640625" style="29" bestFit="1" customWidth="1"/>
    <col min="114" max="114" width="13.6640625" style="29" bestFit="1" customWidth="1"/>
    <col min="115" max="116" width="48.1640625" style="29" bestFit="1" customWidth="1"/>
    <col min="117" max="117" width="12.6640625" style="29" bestFit="1" customWidth="1"/>
    <col min="118" max="119" width="12.1640625" style="29" bestFit="1" customWidth="1"/>
    <col min="120" max="120" width="21.6640625" style="29" bestFit="1" customWidth="1"/>
    <col min="121" max="121" width="28" style="29" bestFit="1" customWidth="1"/>
    <col min="122" max="122" width="40" style="29" bestFit="1" customWidth="1"/>
    <col min="123" max="123" width="20.5" style="29" bestFit="1" customWidth="1"/>
    <col min="124" max="125" width="12.5" style="29" bestFit="1" customWidth="1"/>
    <col min="126" max="126" width="10.5" style="29" bestFit="1" customWidth="1"/>
    <col min="127" max="127" width="11.6640625" style="29" bestFit="1" customWidth="1"/>
    <col min="128" max="129" width="7" style="29" bestFit="1" customWidth="1"/>
    <col min="130" max="131" width="7.5" style="29" bestFit="1" customWidth="1"/>
    <col min="132" max="132" width="8.6640625" style="29" bestFit="1" customWidth="1"/>
    <col min="133" max="133" width="8" style="29" bestFit="1" customWidth="1"/>
    <col min="134" max="134" width="58.33203125" style="29" bestFit="1" customWidth="1"/>
    <col min="135" max="135" width="17" style="29" bestFit="1" customWidth="1"/>
    <col min="136" max="136" width="12.5" style="29" bestFit="1" customWidth="1"/>
    <col min="137" max="137" width="10.5" style="29" bestFit="1" customWidth="1"/>
    <col min="138" max="138" width="12" style="29" bestFit="1" customWidth="1"/>
    <col min="139" max="139" width="12.6640625" style="29" bestFit="1" customWidth="1"/>
    <col min="140" max="140" width="6.5" style="29" bestFit="1" customWidth="1"/>
    <col min="141" max="141" width="13.6640625" style="29" bestFit="1" customWidth="1"/>
    <col min="142" max="142" width="13.33203125" style="29" bestFit="1" customWidth="1"/>
    <col min="143" max="143" width="9.5" style="29" bestFit="1" customWidth="1"/>
    <col min="144" max="144" width="9.1640625" style="29" bestFit="1" customWidth="1"/>
    <col min="145" max="145" width="8" style="29" bestFit="1" customWidth="1"/>
    <col min="146" max="146" width="9.5" style="29" bestFit="1" customWidth="1"/>
    <col min="147" max="147" width="9.1640625" style="29"/>
    <col min="148" max="148" width="9.5" style="29" bestFit="1" customWidth="1"/>
    <col min="149" max="150" width="10.33203125" style="29" bestFit="1" customWidth="1"/>
    <col min="151" max="151" width="12.1640625" style="29" bestFit="1" customWidth="1"/>
    <col min="152" max="152" width="14.5" style="29" bestFit="1" customWidth="1"/>
    <col min="153" max="153" width="13.33203125" style="29" bestFit="1" customWidth="1"/>
    <col min="154" max="154" width="17.83203125" style="29" bestFit="1" customWidth="1"/>
    <col min="155" max="259" width="9.1640625" style="29"/>
    <col min="260" max="260" width="5.5" style="29" bestFit="1" customWidth="1"/>
    <col min="261" max="263" width="30.6640625" style="29" customWidth="1"/>
    <col min="264" max="264" width="13.5" style="29" bestFit="1" customWidth="1"/>
    <col min="265" max="265" width="9.1640625" style="29"/>
    <col min="266" max="266" width="13" style="29" bestFit="1" customWidth="1"/>
    <col min="267" max="267" width="10.5" style="29" bestFit="1" customWidth="1"/>
    <col min="268" max="273" width="9.1640625" style="29"/>
    <col min="274" max="274" width="16.1640625" style="29" bestFit="1" customWidth="1"/>
    <col min="275" max="276" width="9.1640625" style="29"/>
    <col min="277" max="277" width="38.33203125" style="29" bestFit="1" customWidth="1"/>
    <col min="278" max="281" width="9.1640625" style="29"/>
    <col min="282" max="282" width="11" style="29" bestFit="1" customWidth="1"/>
    <col min="283" max="283" width="9.1640625" style="29"/>
    <col min="284" max="284" width="13.5" style="29" customWidth="1"/>
    <col min="285" max="304" width="9.1640625" style="29"/>
    <col min="305" max="305" width="17.6640625" style="29" bestFit="1" customWidth="1"/>
    <col min="306" max="313" width="9.1640625" style="29"/>
    <col min="314" max="314" width="11.1640625" style="29" customWidth="1"/>
    <col min="315" max="334" width="9.1640625" style="29"/>
    <col min="335" max="335" width="13.5" style="29" bestFit="1" customWidth="1"/>
    <col min="336" max="359" width="9.1640625" style="29"/>
    <col min="360" max="360" width="48.5" style="29" bestFit="1" customWidth="1"/>
    <col min="361" max="366" width="9.1640625" style="29"/>
    <col min="367" max="367" width="18" style="29" bestFit="1" customWidth="1"/>
    <col min="368" max="369" width="14.5" style="29" bestFit="1" customWidth="1"/>
    <col min="370" max="515" width="9.1640625" style="29"/>
    <col min="516" max="516" width="5.5" style="29" bestFit="1" customWidth="1"/>
    <col min="517" max="519" width="30.6640625" style="29" customWidth="1"/>
    <col min="520" max="520" width="13.5" style="29" bestFit="1" customWidth="1"/>
    <col min="521" max="521" width="9.1640625" style="29"/>
    <col min="522" max="522" width="13" style="29" bestFit="1" customWidth="1"/>
    <col min="523" max="523" width="10.5" style="29" bestFit="1" customWidth="1"/>
    <col min="524" max="529" width="9.1640625" style="29"/>
    <col min="530" max="530" width="16.1640625" style="29" bestFit="1" customWidth="1"/>
    <col min="531" max="532" width="9.1640625" style="29"/>
    <col min="533" max="533" width="38.33203125" style="29" bestFit="1" customWidth="1"/>
    <col min="534" max="537" width="9.1640625" style="29"/>
    <col min="538" max="538" width="11" style="29" bestFit="1" customWidth="1"/>
    <col min="539" max="539" width="9.1640625" style="29"/>
    <col min="540" max="540" width="13.5" style="29" customWidth="1"/>
    <col min="541" max="560" width="9.1640625" style="29"/>
    <col min="561" max="561" width="17.6640625" style="29" bestFit="1" customWidth="1"/>
    <col min="562" max="569" width="9.1640625" style="29"/>
    <col min="570" max="570" width="11.1640625" style="29" customWidth="1"/>
    <col min="571" max="590" width="9.1640625" style="29"/>
    <col min="591" max="591" width="13.5" style="29" bestFit="1" customWidth="1"/>
    <col min="592" max="615" width="9.1640625" style="29"/>
    <col min="616" max="616" width="48.5" style="29" bestFit="1" customWidth="1"/>
    <col min="617" max="622" width="9.1640625" style="29"/>
    <col min="623" max="623" width="18" style="29" bestFit="1" customWidth="1"/>
    <col min="624" max="625" width="14.5" style="29" bestFit="1" customWidth="1"/>
    <col min="626" max="771" width="9.1640625" style="29"/>
    <col min="772" max="772" width="5.5" style="29" bestFit="1" customWidth="1"/>
    <col min="773" max="775" width="30.6640625" style="29" customWidth="1"/>
    <col min="776" max="776" width="13.5" style="29" bestFit="1" customWidth="1"/>
    <col min="777" max="777" width="9.1640625" style="29"/>
    <col min="778" max="778" width="13" style="29" bestFit="1" customWidth="1"/>
    <col min="779" max="779" width="10.5" style="29" bestFit="1" customWidth="1"/>
    <col min="780" max="785" width="9.1640625" style="29"/>
    <col min="786" max="786" width="16.1640625" style="29" bestFit="1" customWidth="1"/>
    <col min="787" max="788" width="9.1640625" style="29"/>
    <col min="789" max="789" width="38.33203125" style="29" bestFit="1" customWidth="1"/>
    <col min="790" max="793" width="9.1640625" style="29"/>
    <col min="794" max="794" width="11" style="29" bestFit="1" customWidth="1"/>
    <col min="795" max="795" width="9.1640625" style="29"/>
    <col min="796" max="796" width="13.5" style="29" customWidth="1"/>
    <col min="797" max="816" width="9.1640625" style="29"/>
    <col min="817" max="817" width="17.6640625" style="29" bestFit="1" customWidth="1"/>
    <col min="818" max="825" width="9.1640625" style="29"/>
    <col min="826" max="826" width="11.1640625" style="29" customWidth="1"/>
    <col min="827" max="846" width="9.1640625" style="29"/>
    <col min="847" max="847" width="13.5" style="29" bestFit="1" customWidth="1"/>
    <col min="848" max="871" width="9.1640625" style="29"/>
    <col min="872" max="872" width="48.5" style="29" bestFit="1" customWidth="1"/>
    <col min="873" max="878" width="9.1640625" style="29"/>
    <col min="879" max="879" width="18" style="29" bestFit="1" customWidth="1"/>
    <col min="880" max="881" width="14.5" style="29" bestFit="1" customWidth="1"/>
    <col min="882" max="1027" width="9.1640625" style="29"/>
    <col min="1028" max="1028" width="5.5" style="29" bestFit="1" customWidth="1"/>
    <col min="1029" max="1031" width="30.6640625" style="29" customWidth="1"/>
    <col min="1032" max="1032" width="13.5" style="29" bestFit="1" customWidth="1"/>
    <col min="1033" max="1033" width="9.1640625" style="29"/>
    <col min="1034" max="1034" width="13" style="29" bestFit="1" customWidth="1"/>
    <col min="1035" max="1035" width="10.5" style="29" bestFit="1" customWidth="1"/>
    <col min="1036" max="1041" width="9.1640625" style="29"/>
    <col min="1042" max="1042" width="16.1640625" style="29" bestFit="1" customWidth="1"/>
    <col min="1043" max="1044" width="9.1640625" style="29"/>
    <col min="1045" max="1045" width="38.33203125" style="29" bestFit="1" customWidth="1"/>
    <col min="1046" max="1049" width="9.1640625" style="29"/>
    <col min="1050" max="1050" width="11" style="29" bestFit="1" customWidth="1"/>
    <col min="1051" max="1051" width="9.1640625" style="29"/>
    <col min="1052" max="1052" width="13.5" style="29" customWidth="1"/>
    <col min="1053" max="1072" width="9.1640625" style="29"/>
    <col min="1073" max="1073" width="17.6640625" style="29" bestFit="1" customWidth="1"/>
    <col min="1074" max="1081" width="9.1640625" style="29"/>
    <col min="1082" max="1082" width="11.1640625" style="29" customWidth="1"/>
    <col min="1083" max="1102" width="9.1640625" style="29"/>
    <col min="1103" max="1103" width="13.5" style="29" bestFit="1" customWidth="1"/>
    <col min="1104" max="1127" width="9.1640625" style="29"/>
    <col min="1128" max="1128" width="48.5" style="29" bestFit="1" customWidth="1"/>
    <col min="1129" max="1134" width="9.1640625" style="29"/>
    <col min="1135" max="1135" width="18" style="29" bestFit="1" customWidth="1"/>
    <col min="1136" max="1137" width="14.5" style="29" bestFit="1" customWidth="1"/>
    <col min="1138" max="1283" width="9.1640625" style="29"/>
    <col min="1284" max="1284" width="5.5" style="29" bestFit="1" customWidth="1"/>
    <col min="1285" max="1287" width="30.6640625" style="29" customWidth="1"/>
    <col min="1288" max="1288" width="13.5" style="29" bestFit="1" customWidth="1"/>
    <col min="1289" max="1289" width="9.1640625" style="29"/>
    <col min="1290" max="1290" width="13" style="29" bestFit="1" customWidth="1"/>
    <col min="1291" max="1291" width="10.5" style="29" bestFit="1" customWidth="1"/>
    <col min="1292" max="1297" width="9.1640625" style="29"/>
    <col min="1298" max="1298" width="16.1640625" style="29" bestFit="1" customWidth="1"/>
    <col min="1299" max="1300" width="9.1640625" style="29"/>
    <col min="1301" max="1301" width="38.33203125" style="29" bestFit="1" customWidth="1"/>
    <col min="1302" max="1305" width="9.1640625" style="29"/>
    <col min="1306" max="1306" width="11" style="29" bestFit="1" customWidth="1"/>
    <col min="1307" max="1307" width="9.1640625" style="29"/>
    <col min="1308" max="1308" width="13.5" style="29" customWidth="1"/>
    <col min="1309" max="1328" width="9.1640625" style="29"/>
    <col min="1329" max="1329" width="17.6640625" style="29" bestFit="1" customWidth="1"/>
    <col min="1330" max="1337" width="9.1640625" style="29"/>
    <col min="1338" max="1338" width="11.1640625" style="29" customWidth="1"/>
    <col min="1339" max="1358" width="9.1640625" style="29"/>
    <col min="1359" max="1359" width="13.5" style="29" bestFit="1" customWidth="1"/>
    <col min="1360" max="1383" width="9.1640625" style="29"/>
    <col min="1384" max="1384" width="48.5" style="29" bestFit="1" customWidth="1"/>
    <col min="1385" max="1390" width="9.1640625" style="29"/>
    <col min="1391" max="1391" width="18" style="29" bestFit="1" customWidth="1"/>
    <col min="1392" max="1393" width="14.5" style="29" bestFit="1" customWidth="1"/>
    <col min="1394" max="1539" width="9.1640625" style="29"/>
    <col min="1540" max="1540" width="5.5" style="29" bestFit="1" customWidth="1"/>
    <col min="1541" max="1543" width="30.6640625" style="29" customWidth="1"/>
    <col min="1544" max="1544" width="13.5" style="29" bestFit="1" customWidth="1"/>
    <col min="1545" max="1545" width="9.1640625" style="29"/>
    <col min="1546" max="1546" width="13" style="29" bestFit="1" customWidth="1"/>
    <col min="1547" max="1547" width="10.5" style="29" bestFit="1" customWidth="1"/>
    <col min="1548" max="1553" width="9.1640625" style="29"/>
    <col min="1554" max="1554" width="16.1640625" style="29" bestFit="1" customWidth="1"/>
    <col min="1555" max="1556" width="9.1640625" style="29"/>
    <col min="1557" max="1557" width="38.33203125" style="29" bestFit="1" customWidth="1"/>
    <col min="1558" max="1561" width="9.1640625" style="29"/>
    <col min="1562" max="1562" width="11" style="29" bestFit="1" customWidth="1"/>
    <col min="1563" max="1563" width="9.1640625" style="29"/>
    <col min="1564" max="1564" width="13.5" style="29" customWidth="1"/>
    <col min="1565" max="1584" width="9.1640625" style="29"/>
    <col min="1585" max="1585" width="17.6640625" style="29" bestFit="1" customWidth="1"/>
    <col min="1586" max="1593" width="9.1640625" style="29"/>
    <col min="1594" max="1594" width="11.1640625" style="29" customWidth="1"/>
    <col min="1595" max="1614" width="9.1640625" style="29"/>
    <col min="1615" max="1615" width="13.5" style="29" bestFit="1" customWidth="1"/>
    <col min="1616" max="1639" width="9.1640625" style="29"/>
    <col min="1640" max="1640" width="48.5" style="29" bestFit="1" customWidth="1"/>
    <col min="1641" max="1646" width="9.1640625" style="29"/>
    <col min="1647" max="1647" width="18" style="29" bestFit="1" customWidth="1"/>
    <col min="1648" max="1649" width="14.5" style="29" bestFit="1" customWidth="1"/>
    <col min="1650" max="1795" width="9.1640625" style="29"/>
    <col min="1796" max="1796" width="5.5" style="29" bestFit="1" customWidth="1"/>
    <col min="1797" max="1799" width="30.6640625" style="29" customWidth="1"/>
    <col min="1800" max="1800" width="13.5" style="29" bestFit="1" customWidth="1"/>
    <col min="1801" max="1801" width="9.1640625" style="29"/>
    <col min="1802" max="1802" width="13" style="29" bestFit="1" customWidth="1"/>
    <col min="1803" max="1803" width="10.5" style="29" bestFit="1" customWidth="1"/>
    <col min="1804" max="1809" width="9.1640625" style="29"/>
    <col min="1810" max="1810" width="16.1640625" style="29" bestFit="1" customWidth="1"/>
    <col min="1811" max="1812" width="9.1640625" style="29"/>
    <col min="1813" max="1813" width="38.33203125" style="29" bestFit="1" customWidth="1"/>
    <col min="1814" max="1817" width="9.1640625" style="29"/>
    <col min="1818" max="1818" width="11" style="29" bestFit="1" customWidth="1"/>
    <col min="1819" max="1819" width="9.1640625" style="29"/>
    <col min="1820" max="1820" width="13.5" style="29" customWidth="1"/>
    <col min="1821" max="1840" width="9.1640625" style="29"/>
    <col min="1841" max="1841" width="17.6640625" style="29" bestFit="1" customWidth="1"/>
    <col min="1842" max="1849" width="9.1640625" style="29"/>
    <col min="1850" max="1850" width="11.1640625" style="29" customWidth="1"/>
    <col min="1851" max="1870" width="9.1640625" style="29"/>
    <col min="1871" max="1871" width="13.5" style="29" bestFit="1" customWidth="1"/>
    <col min="1872" max="1895" width="9.1640625" style="29"/>
    <col min="1896" max="1896" width="48.5" style="29" bestFit="1" customWidth="1"/>
    <col min="1897" max="1902" width="9.1640625" style="29"/>
    <col min="1903" max="1903" width="18" style="29" bestFit="1" customWidth="1"/>
    <col min="1904" max="1905" width="14.5" style="29" bestFit="1" customWidth="1"/>
    <col min="1906" max="2051" width="9.1640625" style="29"/>
    <col min="2052" max="2052" width="5.5" style="29" bestFit="1" customWidth="1"/>
    <col min="2053" max="2055" width="30.6640625" style="29" customWidth="1"/>
    <col min="2056" max="2056" width="13.5" style="29" bestFit="1" customWidth="1"/>
    <col min="2057" max="2057" width="9.1640625" style="29"/>
    <col min="2058" max="2058" width="13" style="29" bestFit="1" customWidth="1"/>
    <col min="2059" max="2059" width="10.5" style="29" bestFit="1" customWidth="1"/>
    <col min="2060" max="2065" width="9.1640625" style="29"/>
    <col min="2066" max="2066" width="16.1640625" style="29" bestFit="1" customWidth="1"/>
    <col min="2067" max="2068" width="9.1640625" style="29"/>
    <col min="2069" max="2069" width="38.33203125" style="29" bestFit="1" customWidth="1"/>
    <col min="2070" max="2073" width="9.1640625" style="29"/>
    <col min="2074" max="2074" width="11" style="29" bestFit="1" customWidth="1"/>
    <col min="2075" max="2075" width="9.1640625" style="29"/>
    <col min="2076" max="2076" width="13.5" style="29" customWidth="1"/>
    <col min="2077" max="2096" width="9.1640625" style="29"/>
    <col min="2097" max="2097" width="17.6640625" style="29" bestFit="1" customWidth="1"/>
    <col min="2098" max="2105" width="9.1640625" style="29"/>
    <col min="2106" max="2106" width="11.1640625" style="29" customWidth="1"/>
    <col min="2107" max="2126" width="9.1640625" style="29"/>
    <col min="2127" max="2127" width="13.5" style="29" bestFit="1" customWidth="1"/>
    <col min="2128" max="2151" width="9.1640625" style="29"/>
    <col min="2152" max="2152" width="48.5" style="29" bestFit="1" customWidth="1"/>
    <col min="2153" max="2158" width="9.1640625" style="29"/>
    <col min="2159" max="2159" width="18" style="29" bestFit="1" customWidth="1"/>
    <col min="2160" max="2161" width="14.5" style="29" bestFit="1" customWidth="1"/>
    <col min="2162" max="2307" width="9.1640625" style="29"/>
    <col min="2308" max="2308" width="5.5" style="29" bestFit="1" customWidth="1"/>
    <col min="2309" max="2311" width="30.6640625" style="29" customWidth="1"/>
    <col min="2312" max="2312" width="13.5" style="29" bestFit="1" customWidth="1"/>
    <col min="2313" max="2313" width="9.1640625" style="29"/>
    <col min="2314" max="2314" width="13" style="29" bestFit="1" customWidth="1"/>
    <col min="2315" max="2315" width="10.5" style="29" bestFit="1" customWidth="1"/>
    <col min="2316" max="2321" width="9.1640625" style="29"/>
    <col min="2322" max="2322" width="16.1640625" style="29" bestFit="1" customWidth="1"/>
    <col min="2323" max="2324" width="9.1640625" style="29"/>
    <col min="2325" max="2325" width="38.33203125" style="29" bestFit="1" customWidth="1"/>
    <col min="2326" max="2329" width="9.1640625" style="29"/>
    <col min="2330" max="2330" width="11" style="29" bestFit="1" customWidth="1"/>
    <col min="2331" max="2331" width="9.1640625" style="29"/>
    <col min="2332" max="2332" width="13.5" style="29" customWidth="1"/>
    <col min="2333" max="2352" width="9.1640625" style="29"/>
    <col min="2353" max="2353" width="17.6640625" style="29" bestFit="1" customWidth="1"/>
    <col min="2354" max="2361" width="9.1640625" style="29"/>
    <col min="2362" max="2362" width="11.1640625" style="29" customWidth="1"/>
    <col min="2363" max="2382" width="9.1640625" style="29"/>
    <col min="2383" max="2383" width="13.5" style="29" bestFit="1" customWidth="1"/>
    <col min="2384" max="2407" width="9.1640625" style="29"/>
    <col min="2408" max="2408" width="48.5" style="29" bestFit="1" customWidth="1"/>
    <col min="2409" max="2414" width="9.1640625" style="29"/>
    <col min="2415" max="2415" width="18" style="29" bestFit="1" customWidth="1"/>
    <col min="2416" max="2417" width="14.5" style="29" bestFit="1" customWidth="1"/>
    <col min="2418" max="2563" width="9.1640625" style="29"/>
    <col min="2564" max="2564" width="5.5" style="29" bestFit="1" customWidth="1"/>
    <col min="2565" max="2567" width="30.6640625" style="29" customWidth="1"/>
    <col min="2568" max="2568" width="13.5" style="29" bestFit="1" customWidth="1"/>
    <col min="2569" max="2569" width="9.1640625" style="29"/>
    <col min="2570" max="2570" width="13" style="29" bestFit="1" customWidth="1"/>
    <col min="2571" max="2571" width="10.5" style="29" bestFit="1" customWidth="1"/>
    <col min="2572" max="2577" width="9.1640625" style="29"/>
    <col min="2578" max="2578" width="16.1640625" style="29" bestFit="1" customWidth="1"/>
    <col min="2579" max="2580" width="9.1640625" style="29"/>
    <col min="2581" max="2581" width="38.33203125" style="29" bestFit="1" customWidth="1"/>
    <col min="2582" max="2585" width="9.1640625" style="29"/>
    <col min="2586" max="2586" width="11" style="29" bestFit="1" customWidth="1"/>
    <col min="2587" max="2587" width="9.1640625" style="29"/>
    <col min="2588" max="2588" width="13.5" style="29" customWidth="1"/>
    <col min="2589" max="2608" width="9.1640625" style="29"/>
    <col min="2609" max="2609" width="17.6640625" style="29" bestFit="1" customWidth="1"/>
    <col min="2610" max="2617" width="9.1640625" style="29"/>
    <col min="2618" max="2618" width="11.1640625" style="29" customWidth="1"/>
    <col min="2619" max="2638" width="9.1640625" style="29"/>
    <col min="2639" max="2639" width="13.5" style="29" bestFit="1" customWidth="1"/>
    <col min="2640" max="2663" width="9.1640625" style="29"/>
    <col min="2664" max="2664" width="48.5" style="29" bestFit="1" customWidth="1"/>
    <col min="2665" max="2670" width="9.1640625" style="29"/>
    <col min="2671" max="2671" width="18" style="29" bestFit="1" customWidth="1"/>
    <col min="2672" max="2673" width="14.5" style="29" bestFit="1" customWidth="1"/>
    <col min="2674" max="2819" width="9.1640625" style="29"/>
    <col min="2820" max="2820" width="5.5" style="29" bestFit="1" customWidth="1"/>
    <col min="2821" max="2823" width="30.6640625" style="29" customWidth="1"/>
    <col min="2824" max="2824" width="13.5" style="29" bestFit="1" customWidth="1"/>
    <col min="2825" max="2825" width="9.1640625" style="29"/>
    <col min="2826" max="2826" width="13" style="29" bestFit="1" customWidth="1"/>
    <col min="2827" max="2827" width="10.5" style="29" bestFit="1" customWidth="1"/>
    <col min="2828" max="2833" width="9.1640625" style="29"/>
    <col min="2834" max="2834" width="16.1640625" style="29" bestFit="1" customWidth="1"/>
    <col min="2835" max="2836" width="9.1640625" style="29"/>
    <col min="2837" max="2837" width="38.33203125" style="29" bestFit="1" customWidth="1"/>
    <col min="2838" max="2841" width="9.1640625" style="29"/>
    <col min="2842" max="2842" width="11" style="29" bestFit="1" customWidth="1"/>
    <col min="2843" max="2843" width="9.1640625" style="29"/>
    <col min="2844" max="2844" width="13.5" style="29" customWidth="1"/>
    <col min="2845" max="2864" width="9.1640625" style="29"/>
    <col min="2865" max="2865" width="17.6640625" style="29" bestFit="1" customWidth="1"/>
    <col min="2866" max="2873" width="9.1640625" style="29"/>
    <col min="2874" max="2874" width="11.1640625" style="29" customWidth="1"/>
    <col min="2875" max="2894" width="9.1640625" style="29"/>
    <col min="2895" max="2895" width="13.5" style="29" bestFit="1" customWidth="1"/>
    <col min="2896" max="2919" width="9.1640625" style="29"/>
    <col min="2920" max="2920" width="48.5" style="29" bestFit="1" customWidth="1"/>
    <col min="2921" max="2926" width="9.1640625" style="29"/>
    <col min="2927" max="2927" width="18" style="29" bestFit="1" customWidth="1"/>
    <col min="2928" max="2929" width="14.5" style="29" bestFit="1" customWidth="1"/>
    <col min="2930" max="3075" width="9.1640625" style="29"/>
    <col min="3076" max="3076" width="5.5" style="29" bestFit="1" customWidth="1"/>
    <col min="3077" max="3079" width="30.6640625" style="29" customWidth="1"/>
    <col min="3080" max="3080" width="13.5" style="29" bestFit="1" customWidth="1"/>
    <col min="3081" max="3081" width="9.1640625" style="29"/>
    <col min="3082" max="3082" width="13" style="29" bestFit="1" customWidth="1"/>
    <col min="3083" max="3083" width="10.5" style="29" bestFit="1" customWidth="1"/>
    <col min="3084" max="3089" width="9.1640625" style="29"/>
    <col min="3090" max="3090" width="16.1640625" style="29" bestFit="1" customWidth="1"/>
    <col min="3091" max="3092" width="9.1640625" style="29"/>
    <col min="3093" max="3093" width="38.33203125" style="29" bestFit="1" customWidth="1"/>
    <col min="3094" max="3097" width="9.1640625" style="29"/>
    <col min="3098" max="3098" width="11" style="29" bestFit="1" customWidth="1"/>
    <col min="3099" max="3099" width="9.1640625" style="29"/>
    <col min="3100" max="3100" width="13.5" style="29" customWidth="1"/>
    <col min="3101" max="3120" width="9.1640625" style="29"/>
    <col min="3121" max="3121" width="17.6640625" style="29" bestFit="1" customWidth="1"/>
    <col min="3122" max="3129" width="9.1640625" style="29"/>
    <col min="3130" max="3130" width="11.1640625" style="29" customWidth="1"/>
    <col min="3131" max="3150" width="9.1640625" style="29"/>
    <col min="3151" max="3151" width="13.5" style="29" bestFit="1" customWidth="1"/>
    <col min="3152" max="3175" width="9.1640625" style="29"/>
    <col min="3176" max="3176" width="48.5" style="29" bestFit="1" customWidth="1"/>
    <col min="3177" max="3182" width="9.1640625" style="29"/>
    <col min="3183" max="3183" width="18" style="29" bestFit="1" customWidth="1"/>
    <col min="3184" max="3185" width="14.5" style="29" bestFit="1" customWidth="1"/>
    <col min="3186" max="3331" width="9.1640625" style="29"/>
    <col min="3332" max="3332" width="5.5" style="29" bestFit="1" customWidth="1"/>
    <col min="3333" max="3335" width="30.6640625" style="29" customWidth="1"/>
    <col min="3336" max="3336" width="13.5" style="29" bestFit="1" customWidth="1"/>
    <col min="3337" max="3337" width="9.1640625" style="29"/>
    <col min="3338" max="3338" width="13" style="29" bestFit="1" customWidth="1"/>
    <col min="3339" max="3339" width="10.5" style="29" bestFit="1" customWidth="1"/>
    <col min="3340" max="3345" width="9.1640625" style="29"/>
    <col min="3346" max="3346" width="16.1640625" style="29" bestFit="1" customWidth="1"/>
    <col min="3347" max="3348" width="9.1640625" style="29"/>
    <col min="3349" max="3349" width="38.33203125" style="29" bestFit="1" customWidth="1"/>
    <col min="3350" max="3353" width="9.1640625" style="29"/>
    <col min="3354" max="3354" width="11" style="29" bestFit="1" customWidth="1"/>
    <col min="3355" max="3355" width="9.1640625" style="29"/>
    <col min="3356" max="3356" width="13.5" style="29" customWidth="1"/>
    <col min="3357" max="3376" width="9.1640625" style="29"/>
    <col min="3377" max="3377" width="17.6640625" style="29" bestFit="1" customWidth="1"/>
    <col min="3378" max="3385" width="9.1640625" style="29"/>
    <col min="3386" max="3386" width="11.1640625" style="29" customWidth="1"/>
    <col min="3387" max="3406" width="9.1640625" style="29"/>
    <col min="3407" max="3407" width="13.5" style="29" bestFit="1" customWidth="1"/>
    <col min="3408" max="3431" width="9.1640625" style="29"/>
    <col min="3432" max="3432" width="48.5" style="29" bestFit="1" customWidth="1"/>
    <col min="3433" max="3438" width="9.1640625" style="29"/>
    <col min="3439" max="3439" width="18" style="29" bestFit="1" customWidth="1"/>
    <col min="3440" max="3441" width="14.5" style="29" bestFit="1" customWidth="1"/>
    <col min="3442" max="3587" width="9.1640625" style="29"/>
    <col min="3588" max="3588" width="5.5" style="29" bestFit="1" customWidth="1"/>
    <col min="3589" max="3591" width="30.6640625" style="29" customWidth="1"/>
    <col min="3592" max="3592" width="13.5" style="29" bestFit="1" customWidth="1"/>
    <col min="3593" max="3593" width="9.1640625" style="29"/>
    <col min="3594" max="3594" width="13" style="29" bestFit="1" customWidth="1"/>
    <col min="3595" max="3595" width="10.5" style="29" bestFit="1" customWidth="1"/>
    <col min="3596" max="3601" width="9.1640625" style="29"/>
    <col min="3602" max="3602" width="16.1640625" style="29" bestFit="1" customWidth="1"/>
    <col min="3603" max="3604" width="9.1640625" style="29"/>
    <col min="3605" max="3605" width="38.33203125" style="29" bestFit="1" customWidth="1"/>
    <col min="3606" max="3609" width="9.1640625" style="29"/>
    <col min="3610" max="3610" width="11" style="29" bestFit="1" customWidth="1"/>
    <col min="3611" max="3611" width="9.1640625" style="29"/>
    <col min="3612" max="3612" width="13.5" style="29" customWidth="1"/>
    <col min="3613" max="3632" width="9.1640625" style="29"/>
    <col min="3633" max="3633" width="17.6640625" style="29" bestFit="1" customWidth="1"/>
    <col min="3634" max="3641" width="9.1640625" style="29"/>
    <col min="3642" max="3642" width="11.1640625" style="29" customWidth="1"/>
    <col min="3643" max="3662" width="9.1640625" style="29"/>
    <col min="3663" max="3663" width="13.5" style="29" bestFit="1" customWidth="1"/>
    <col min="3664" max="3687" width="9.1640625" style="29"/>
    <col min="3688" max="3688" width="48.5" style="29" bestFit="1" customWidth="1"/>
    <col min="3689" max="3694" width="9.1640625" style="29"/>
    <col min="3695" max="3695" width="18" style="29" bestFit="1" customWidth="1"/>
    <col min="3696" max="3697" width="14.5" style="29" bestFit="1" customWidth="1"/>
    <col min="3698" max="3843" width="9.1640625" style="29"/>
    <col min="3844" max="3844" width="5.5" style="29" bestFit="1" customWidth="1"/>
    <col min="3845" max="3847" width="30.6640625" style="29" customWidth="1"/>
    <col min="3848" max="3848" width="13.5" style="29" bestFit="1" customWidth="1"/>
    <col min="3849" max="3849" width="9.1640625" style="29"/>
    <col min="3850" max="3850" width="13" style="29" bestFit="1" customWidth="1"/>
    <col min="3851" max="3851" width="10.5" style="29" bestFit="1" customWidth="1"/>
    <col min="3852" max="3857" width="9.1640625" style="29"/>
    <col min="3858" max="3858" width="16.1640625" style="29" bestFit="1" customWidth="1"/>
    <col min="3859" max="3860" width="9.1640625" style="29"/>
    <col min="3861" max="3861" width="38.33203125" style="29" bestFit="1" customWidth="1"/>
    <col min="3862" max="3865" width="9.1640625" style="29"/>
    <col min="3866" max="3866" width="11" style="29" bestFit="1" customWidth="1"/>
    <col min="3867" max="3867" width="9.1640625" style="29"/>
    <col min="3868" max="3868" width="13.5" style="29" customWidth="1"/>
    <col min="3869" max="3888" width="9.1640625" style="29"/>
    <col min="3889" max="3889" width="17.6640625" style="29" bestFit="1" customWidth="1"/>
    <col min="3890" max="3897" width="9.1640625" style="29"/>
    <col min="3898" max="3898" width="11.1640625" style="29" customWidth="1"/>
    <col min="3899" max="3918" width="9.1640625" style="29"/>
    <col min="3919" max="3919" width="13.5" style="29" bestFit="1" customWidth="1"/>
    <col min="3920" max="3943" width="9.1640625" style="29"/>
    <col min="3944" max="3944" width="48.5" style="29" bestFit="1" customWidth="1"/>
    <col min="3945" max="3950" width="9.1640625" style="29"/>
    <col min="3951" max="3951" width="18" style="29" bestFit="1" customWidth="1"/>
    <col min="3952" max="3953" width="14.5" style="29" bestFit="1" customWidth="1"/>
    <col min="3954" max="4099" width="9.1640625" style="29"/>
    <col min="4100" max="4100" width="5.5" style="29" bestFit="1" customWidth="1"/>
    <col min="4101" max="4103" width="30.6640625" style="29" customWidth="1"/>
    <col min="4104" max="4104" width="13.5" style="29" bestFit="1" customWidth="1"/>
    <col min="4105" max="4105" width="9.1640625" style="29"/>
    <col min="4106" max="4106" width="13" style="29" bestFit="1" customWidth="1"/>
    <col min="4107" max="4107" width="10.5" style="29" bestFit="1" customWidth="1"/>
    <col min="4108" max="4113" width="9.1640625" style="29"/>
    <col min="4114" max="4114" width="16.1640625" style="29" bestFit="1" customWidth="1"/>
    <col min="4115" max="4116" width="9.1640625" style="29"/>
    <col min="4117" max="4117" width="38.33203125" style="29" bestFit="1" customWidth="1"/>
    <col min="4118" max="4121" width="9.1640625" style="29"/>
    <col min="4122" max="4122" width="11" style="29" bestFit="1" customWidth="1"/>
    <col min="4123" max="4123" width="9.1640625" style="29"/>
    <col min="4124" max="4124" width="13.5" style="29" customWidth="1"/>
    <col min="4125" max="4144" width="9.1640625" style="29"/>
    <col min="4145" max="4145" width="17.6640625" style="29" bestFit="1" customWidth="1"/>
    <col min="4146" max="4153" width="9.1640625" style="29"/>
    <col min="4154" max="4154" width="11.1640625" style="29" customWidth="1"/>
    <col min="4155" max="4174" width="9.1640625" style="29"/>
    <col min="4175" max="4175" width="13.5" style="29" bestFit="1" customWidth="1"/>
    <col min="4176" max="4199" width="9.1640625" style="29"/>
    <col min="4200" max="4200" width="48.5" style="29" bestFit="1" customWidth="1"/>
    <col min="4201" max="4206" width="9.1640625" style="29"/>
    <col min="4207" max="4207" width="18" style="29" bestFit="1" customWidth="1"/>
    <col min="4208" max="4209" width="14.5" style="29" bestFit="1" customWidth="1"/>
    <col min="4210" max="4355" width="9.1640625" style="29"/>
    <col min="4356" max="4356" width="5.5" style="29" bestFit="1" customWidth="1"/>
    <col min="4357" max="4359" width="30.6640625" style="29" customWidth="1"/>
    <col min="4360" max="4360" width="13.5" style="29" bestFit="1" customWidth="1"/>
    <col min="4361" max="4361" width="9.1640625" style="29"/>
    <col min="4362" max="4362" width="13" style="29" bestFit="1" customWidth="1"/>
    <col min="4363" max="4363" width="10.5" style="29" bestFit="1" customWidth="1"/>
    <col min="4364" max="4369" width="9.1640625" style="29"/>
    <col min="4370" max="4370" width="16.1640625" style="29" bestFit="1" customWidth="1"/>
    <col min="4371" max="4372" width="9.1640625" style="29"/>
    <col min="4373" max="4373" width="38.33203125" style="29" bestFit="1" customWidth="1"/>
    <col min="4374" max="4377" width="9.1640625" style="29"/>
    <col min="4378" max="4378" width="11" style="29" bestFit="1" customWidth="1"/>
    <col min="4379" max="4379" width="9.1640625" style="29"/>
    <col min="4380" max="4380" width="13.5" style="29" customWidth="1"/>
    <col min="4381" max="4400" width="9.1640625" style="29"/>
    <col min="4401" max="4401" width="17.6640625" style="29" bestFit="1" customWidth="1"/>
    <col min="4402" max="4409" width="9.1640625" style="29"/>
    <col min="4410" max="4410" width="11.1640625" style="29" customWidth="1"/>
    <col min="4411" max="4430" width="9.1640625" style="29"/>
    <col min="4431" max="4431" width="13.5" style="29" bestFit="1" customWidth="1"/>
    <col min="4432" max="4455" width="9.1640625" style="29"/>
    <col min="4456" max="4456" width="48.5" style="29" bestFit="1" customWidth="1"/>
    <col min="4457" max="4462" width="9.1640625" style="29"/>
    <col min="4463" max="4463" width="18" style="29" bestFit="1" customWidth="1"/>
    <col min="4464" max="4465" width="14.5" style="29" bestFit="1" customWidth="1"/>
    <col min="4466" max="4611" width="9.1640625" style="29"/>
    <col min="4612" max="4612" width="5.5" style="29" bestFit="1" customWidth="1"/>
    <col min="4613" max="4615" width="30.6640625" style="29" customWidth="1"/>
    <col min="4616" max="4616" width="13.5" style="29" bestFit="1" customWidth="1"/>
    <col min="4617" max="4617" width="9.1640625" style="29"/>
    <col min="4618" max="4618" width="13" style="29" bestFit="1" customWidth="1"/>
    <col min="4619" max="4619" width="10.5" style="29" bestFit="1" customWidth="1"/>
    <col min="4620" max="4625" width="9.1640625" style="29"/>
    <col min="4626" max="4626" width="16.1640625" style="29" bestFit="1" customWidth="1"/>
    <col min="4627" max="4628" width="9.1640625" style="29"/>
    <col min="4629" max="4629" width="38.33203125" style="29" bestFit="1" customWidth="1"/>
    <col min="4630" max="4633" width="9.1640625" style="29"/>
    <col min="4634" max="4634" width="11" style="29" bestFit="1" customWidth="1"/>
    <col min="4635" max="4635" width="9.1640625" style="29"/>
    <col min="4636" max="4636" width="13.5" style="29" customWidth="1"/>
    <col min="4637" max="4656" width="9.1640625" style="29"/>
    <col min="4657" max="4657" width="17.6640625" style="29" bestFit="1" customWidth="1"/>
    <col min="4658" max="4665" width="9.1640625" style="29"/>
    <col min="4666" max="4666" width="11.1640625" style="29" customWidth="1"/>
    <col min="4667" max="4686" width="9.1640625" style="29"/>
    <col min="4687" max="4687" width="13.5" style="29" bestFit="1" customWidth="1"/>
    <col min="4688" max="4711" width="9.1640625" style="29"/>
    <col min="4712" max="4712" width="48.5" style="29" bestFit="1" customWidth="1"/>
    <col min="4713" max="4718" width="9.1640625" style="29"/>
    <col min="4719" max="4719" width="18" style="29" bestFit="1" customWidth="1"/>
    <col min="4720" max="4721" width="14.5" style="29" bestFit="1" customWidth="1"/>
    <col min="4722" max="4867" width="9.1640625" style="29"/>
    <col min="4868" max="4868" width="5.5" style="29" bestFit="1" customWidth="1"/>
    <col min="4869" max="4871" width="30.6640625" style="29" customWidth="1"/>
    <col min="4872" max="4872" width="13.5" style="29" bestFit="1" customWidth="1"/>
    <col min="4873" max="4873" width="9.1640625" style="29"/>
    <col min="4874" max="4874" width="13" style="29" bestFit="1" customWidth="1"/>
    <col min="4875" max="4875" width="10.5" style="29" bestFit="1" customWidth="1"/>
    <col min="4876" max="4881" width="9.1640625" style="29"/>
    <col min="4882" max="4882" width="16.1640625" style="29" bestFit="1" customWidth="1"/>
    <col min="4883" max="4884" width="9.1640625" style="29"/>
    <col min="4885" max="4885" width="38.33203125" style="29" bestFit="1" customWidth="1"/>
    <col min="4886" max="4889" width="9.1640625" style="29"/>
    <col min="4890" max="4890" width="11" style="29" bestFit="1" customWidth="1"/>
    <col min="4891" max="4891" width="9.1640625" style="29"/>
    <col min="4892" max="4892" width="13.5" style="29" customWidth="1"/>
    <col min="4893" max="4912" width="9.1640625" style="29"/>
    <col min="4913" max="4913" width="17.6640625" style="29" bestFit="1" customWidth="1"/>
    <col min="4914" max="4921" width="9.1640625" style="29"/>
    <col min="4922" max="4922" width="11.1640625" style="29" customWidth="1"/>
    <col min="4923" max="4942" width="9.1640625" style="29"/>
    <col min="4943" max="4943" width="13.5" style="29" bestFit="1" customWidth="1"/>
    <col min="4944" max="4967" width="9.1640625" style="29"/>
    <col min="4968" max="4968" width="48.5" style="29" bestFit="1" customWidth="1"/>
    <col min="4969" max="4974" width="9.1640625" style="29"/>
    <col min="4975" max="4975" width="18" style="29" bestFit="1" customWidth="1"/>
    <col min="4976" max="4977" width="14.5" style="29" bestFit="1" customWidth="1"/>
    <col min="4978" max="5123" width="9.1640625" style="29"/>
    <col min="5124" max="5124" width="5.5" style="29" bestFit="1" customWidth="1"/>
    <col min="5125" max="5127" width="30.6640625" style="29" customWidth="1"/>
    <col min="5128" max="5128" width="13.5" style="29" bestFit="1" customWidth="1"/>
    <col min="5129" max="5129" width="9.1640625" style="29"/>
    <col min="5130" max="5130" width="13" style="29" bestFit="1" customWidth="1"/>
    <col min="5131" max="5131" width="10.5" style="29" bestFit="1" customWidth="1"/>
    <col min="5132" max="5137" width="9.1640625" style="29"/>
    <col min="5138" max="5138" width="16.1640625" style="29" bestFit="1" customWidth="1"/>
    <col min="5139" max="5140" width="9.1640625" style="29"/>
    <col min="5141" max="5141" width="38.33203125" style="29" bestFit="1" customWidth="1"/>
    <col min="5142" max="5145" width="9.1640625" style="29"/>
    <col min="5146" max="5146" width="11" style="29" bestFit="1" customWidth="1"/>
    <col min="5147" max="5147" width="9.1640625" style="29"/>
    <col min="5148" max="5148" width="13.5" style="29" customWidth="1"/>
    <col min="5149" max="5168" width="9.1640625" style="29"/>
    <col min="5169" max="5169" width="17.6640625" style="29" bestFit="1" customWidth="1"/>
    <col min="5170" max="5177" width="9.1640625" style="29"/>
    <col min="5178" max="5178" width="11.1640625" style="29" customWidth="1"/>
    <col min="5179" max="5198" width="9.1640625" style="29"/>
    <col min="5199" max="5199" width="13.5" style="29" bestFit="1" customWidth="1"/>
    <col min="5200" max="5223" width="9.1640625" style="29"/>
    <col min="5224" max="5224" width="48.5" style="29" bestFit="1" customWidth="1"/>
    <col min="5225" max="5230" width="9.1640625" style="29"/>
    <col min="5231" max="5231" width="18" style="29" bestFit="1" customWidth="1"/>
    <col min="5232" max="5233" width="14.5" style="29" bestFit="1" customWidth="1"/>
    <col min="5234" max="5379" width="9.1640625" style="29"/>
    <col min="5380" max="5380" width="5.5" style="29" bestFit="1" customWidth="1"/>
    <col min="5381" max="5383" width="30.6640625" style="29" customWidth="1"/>
    <col min="5384" max="5384" width="13.5" style="29" bestFit="1" customWidth="1"/>
    <col min="5385" max="5385" width="9.1640625" style="29"/>
    <col min="5386" max="5386" width="13" style="29" bestFit="1" customWidth="1"/>
    <col min="5387" max="5387" width="10.5" style="29" bestFit="1" customWidth="1"/>
    <col min="5388" max="5393" width="9.1640625" style="29"/>
    <col min="5394" max="5394" width="16.1640625" style="29" bestFit="1" customWidth="1"/>
    <col min="5395" max="5396" width="9.1640625" style="29"/>
    <col min="5397" max="5397" width="38.33203125" style="29" bestFit="1" customWidth="1"/>
    <col min="5398" max="5401" width="9.1640625" style="29"/>
    <col min="5402" max="5402" width="11" style="29" bestFit="1" customWidth="1"/>
    <col min="5403" max="5403" width="9.1640625" style="29"/>
    <col min="5404" max="5404" width="13.5" style="29" customWidth="1"/>
    <col min="5405" max="5424" width="9.1640625" style="29"/>
    <col min="5425" max="5425" width="17.6640625" style="29" bestFit="1" customWidth="1"/>
    <col min="5426" max="5433" width="9.1640625" style="29"/>
    <col min="5434" max="5434" width="11.1640625" style="29" customWidth="1"/>
    <col min="5435" max="5454" width="9.1640625" style="29"/>
    <col min="5455" max="5455" width="13.5" style="29" bestFit="1" customWidth="1"/>
    <col min="5456" max="5479" width="9.1640625" style="29"/>
    <col min="5480" max="5480" width="48.5" style="29" bestFit="1" customWidth="1"/>
    <col min="5481" max="5486" width="9.1640625" style="29"/>
    <col min="5487" max="5487" width="18" style="29" bestFit="1" customWidth="1"/>
    <col min="5488" max="5489" width="14.5" style="29" bestFit="1" customWidth="1"/>
    <col min="5490" max="5635" width="9.1640625" style="29"/>
    <col min="5636" max="5636" width="5.5" style="29" bestFit="1" customWidth="1"/>
    <col min="5637" max="5639" width="30.6640625" style="29" customWidth="1"/>
    <col min="5640" max="5640" width="13.5" style="29" bestFit="1" customWidth="1"/>
    <col min="5641" max="5641" width="9.1640625" style="29"/>
    <col min="5642" max="5642" width="13" style="29" bestFit="1" customWidth="1"/>
    <col min="5643" max="5643" width="10.5" style="29" bestFit="1" customWidth="1"/>
    <col min="5644" max="5649" width="9.1640625" style="29"/>
    <col min="5650" max="5650" width="16.1640625" style="29" bestFit="1" customWidth="1"/>
    <col min="5651" max="5652" width="9.1640625" style="29"/>
    <col min="5653" max="5653" width="38.33203125" style="29" bestFit="1" customWidth="1"/>
    <col min="5654" max="5657" width="9.1640625" style="29"/>
    <col min="5658" max="5658" width="11" style="29" bestFit="1" customWidth="1"/>
    <col min="5659" max="5659" width="9.1640625" style="29"/>
    <col min="5660" max="5660" width="13.5" style="29" customWidth="1"/>
    <col min="5661" max="5680" width="9.1640625" style="29"/>
    <col min="5681" max="5681" width="17.6640625" style="29" bestFit="1" customWidth="1"/>
    <col min="5682" max="5689" width="9.1640625" style="29"/>
    <col min="5690" max="5690" width="11.1640625" style="29" customWidth="1"/>
    <col min="5691" max="5710" width="9.1640625" style="29"/>
    <col min="5711" max="5711" width="13.5" style="29" bestFit="1" customWidth="1"/>
    <col min="5712" max="5735" width="9.1640625" style="29"/>
    <col min="5736" max="5736" width="48.5" style="29" bestFit="1" customWidth="1"/>
    <col min="5737" max="5742" width="9.1640625" style="29"/>
    <col min="5743" max="5743" width="18" style="29" bestFit="1" customWidth="1"/>
    <col min="5744" max="5745" width="14.5" style="29" bestFit="1" customWidth="1"/>
    <col min="5746" max="5891" width="9.1640625" style="29"/>
    <col min="5892" max="5892" width="5.5" style="29" bestFit="1" customWidth="1"/>
    <col min="5893" max="5895" width="30.6640625" style="29" customWidth="1"/>
    <col min="5896" max="5896" width="13.5" style="29" bestFit="1" customWidth="1"/>
    <col min="5897" max="5897" width="9.1640625" style="29"/>
    <col min="5898" max="5898" width="13" style="29" bestFit="1" customWidth="1"/>
    <col min="5899" max="5899" width="10.5" style="29" bestFit="1" customWidth="1"/>
    <col min="5900" max="5905" width="9.1640625" style="29"/>
    <col min="5906" max="5906" width="16.1640625" style="29" bestFit="1" customWidth="1"/>
    <col min="5907" max="5908" width="9.1640625" style="29"/>
    <col min="5909" max="5909" width="38.33203125" style="29" bestFit="1" customWidth="1"/>
    <col min="5910" max="5913" width="9.1640625" style="29"/>
    <col min="5914" max="5914" width="11" style="29" bestFit="1" customWidth="1"/>
    <col min="5915" max="5915" width="9.1640625" style="29"/>
    <col min="5916" max="5916" width="13.5" style="29" customWidth="1"/>
    <col min="5917" max="5936" width="9.1640625" style="29"/>
    <col min="5937" max="5937" width="17.6640625" style="29" bestFit="1" customWidth="1"/>
    <col min="5938" max="5945" width="9.1640625" style="29"/>
    <col min="5946" max="5946" width="11.1640625" style="29" customWidth="1"/>
    <col min="5947" max="5966" width="9.1640625" style="29"/>
    <col min="5967" max="5967" width="13.5" style="29" bestFit="1" customWidth="1"/>
    <col min="5968" max="5991" width="9.1640625" style="29"/>
    <col min="5992" max="5992" width="48.5" style="29" bestFit="1" customWidth="1"/>
    <col min="5993" max="5998" width="9.1640625" style="29"/>
    <col min="5999" max="5999" width="18" style="29" bestFit="1" customWidth="1"/>
    <col min="6000" max="6001" width="14.5" style="29" bestFit="1" customWidth="1"/>
    <col min="6002" max="6147" width="9.1640625" style="29"/>
    <col min="6148" max="6148" width="5.5" style="29" bestFit="1" customWidth="1"/>
    <col min="6149" max="6151" width="30.6640625" style="29" customWidth="1"/>
    <col min="6152" max="6152" width="13.5" style="29" bestFit="1" customWidth="1"/>
    <col min="6153" max="6153" width="9.1640625" style="29"/>
    <col min="6154" max="6154" width="13" style="29" bestFit="1" customWidth="1"/>
    <col min="6155" max="6155" width="10.5" style="29" bestFit="1" customWidth="1"/>
    <col min="6156" max="6161" width="9.1640625" style="29"/>
    <col min="6162" max="6162" width="16.1640625" style="29" bestFit="1" customWidth="1"/>
    <col min="6163" max="6164" width="9.1640625" style="29"/>
    <col min="6165" max="6165" width="38.33203125" style="29" bestFit="1" customWidth="1"/>
    <col min="6166" max="6169" width="9.1640625" style="29"/>
    <col min="6170" max="6170" width="11" style="29" bestFit="1" customWidth="1"/>
    <col min="6171" max="6171" width="9.1640625" style="29"/>
    <col min="6172" max="6172" width="13.5" style="29" customWidth="1"/>
    <col min="6173" max="6192" width="9.1640625" style="29"/>
    <col min="6193" max="6193" width="17.6640625" style="29" bestFit="1" customWidth="1"/>
    <col min="6194" max="6201" width="9.1640625" style="29"/>
    <col min="6202" max="6202" width="11.1640625" style="29" customWidth="1"/>
    <col min="6203" max="6222" width="9.1640625" style="29"/>
    <col min="6223" max="6223" width="13.5" style="29" bestFit="1" customWidth="1"/>
    <col min="6224" max="6247" width="9.1640625" style="29"/>
    <col min="6248" max="6248" width="48.5" style="29" bestFit="1" customWidth="1"/>
    <col min="6249" max="6254" width="9.1640625" style="29"/>
    <col min="6255" max="6255" width="18" style="29" bestFit="1" customWidth="1"/>
    <col min="6256" max="6257" width="14.5" style="29" bestFit="1" customWidth="1"/>
    <col min="6258" max="6403" width="9.1640625" style="29"/>
    <col min="6404" max="6404" width="5.5" style="29" bestFit="1" customWidth="1"/>
    <col min="6405" max="6407" width="30.6640625" style="29" customWidth="1"/>
    <col min="6408" max="6408" width="13.5" style="29" bestFit="1" customWidth="1"/>
    <col min="6409" max="6409" width="9.1640625" style="29"/>
    <col min="6410" max="6410" width="13" style="29" bestFit="1" customWidth="1"/>
    <col min="6411" max="6411" width="10.5" style="29" bestFit="1" customWidth="1"/>
    <col min="6412" max="6417" width="9.1640625" style="29"/>
    <col min="6418" max="6418" width="16.1640625" style="29" bestFit="1" customWidth="1"/>
    <col min="6419" max="6420" width="9.1640625" style="29"/>
    <col min="6421" max="6421" width="38.33203125" style="29" bestFit="1" customWidth="1"/>
    <col min="6422" max="6425" width="9.1640625" style="29"/>
    <col min="6426" max="6426" width="11" style="29" bestFit="1" customWidth="1"/>
    <col min="6427" max="6427" width="9.1640625" style="29"/>
    <col min="6428" max="6428" width="13.5" style="29" customWidth="1"/>
    <col min="6429" max="6448" width="9.1640625" style="29"/>
    <col min="6449" max="6449" width="17.6640625" style="29" bestFit="1" customWidth="1"/>
    <col min="6450" max="6457" width="9.1640625" style="29"/>
    <col min="6458" max="6458" width="11.1640625" style="29" customWidth="1"/>
    <col min="6459" max="6478" width="9.1640625" style="29"/>
    <col min="6479" max="6479" width="13.5" style="29" bestFit="1" customWidth="1"/>
    <col min="6480" max="6503" width="9.1640625" style="29"/>
    <col min="6504" max="6504" width="48.5" style="29" bestFit="1" customWidth="1"/>
    <col min="6505" max="6510" width="9.1640625" style="29"/>
    <col min="6511" max="6511" width="18" style="29" bestFit="1" customWidth="1"/>
    <col min="6512" max="6513" width="14.5" style="29" bestFit="1" customWidth="1"/>
    <col min="6514" max="6659" width="9.1640625" style="29"/>
    <col min="6660" max="6660" width="5.5" style="29" bestFit="1" customWidth="1"/>
    <col min="6661" max="6663" width="30.6640625" style="29" customWidth="1"/>
    <col min="6664" max="6664" width="13.5" style="29" bestFit="1" customWidth="1"/>
    <col min="6665" max="6665" width="9.1640625" style="29"/>
    <col min="6666" max="6666" width="13" style="29" bestFit="1" customWidth="1"/>
    <col min="6667" max="6667" width="10.5" style="29" bestFit="1" customWidth="1"/>
    <col min="6668" max="6673" width="9.1640625" style="29"/>
    <col min="6674" max="6674" width="16.1640625" style="29" bestFit="1" customWidth="1"/>
    <col min="6675" max="6676" width="9.1640625" style="29"/>
    <col min="6677" max="6677" width="38.33203125" style="29" bestFit="1" customWidth="1"/>
    <col min="6678" max="6681" width="9.1640625" style="29"/>
    <col min="6682" max="6682" width="11" style="29" bestFit="1" customWidth="1"/>
    <col min="6683" max="6683" width="9.1640625" style="29"/>
    <col min="6684" max="6684" width="13.5" style="29" customWidth="1"/>
    <col min="6685" max="6704" width="9.1640625" style="29"/>
    <col min="6705" max="6705" width="17.6640625" style="29" bestFit="1" customWidth="1"/>
    <col min="6706" max="6713" width="9.1640625" style="29"/>
    <col min="6714" max="6714" width="11.1640625" style="29" customWidth="1"/>
    <col min="6715" max="6734" width="9.1640625" style="29"/>
    <col min="6735" max="6735" width="13.5" style="29" bestFit="1" customWidth="1"/>
    <col min="6736" max="6759" width="9.1640625" style="29"/>
    <col min="6760" max="6760" width="48.5" style="29" bestFit="1" customWidth="1"/>
    <col min="6761" max="6766" width="9.1640625" style="29"/>
    <col min="6767" max="6767" width="18" style="29" bestFit="1" customWidth="1"/>
    <col min="6768" max="6769" width="14.5" style="29" bestFit="1" customWidth="1"/>
    <col min="6770" max="6915" width="9.1640625" style="29"/>
    <col min="6916" max="6916" width="5.5" style="29" bestFit="1" customWidth="1"/>
    <col min="6917" max="6919" width="30.6640625" style="29" customWidth="1"/>
    <col min="6920" max="6920" width="13.5" style="29" bestFit="1" customWidth="1"/>
    <col min="6921" max="6921" width="9.1640625" style="29"/>
    <col min="6922" max="6922" width="13" style="29" bestFit="1" customWidth="1"/>
    <col min="6923" max="6923" width="10.5" style="29" bestFit="1" customWidth="1"/>
    <col min="6924" max="6929" width="9.1640625" style="29"/>
    <col min="6930" max="6930" width="16.1640625" style="29" bestFit="1" customWidth="1"/>
    <col min="6931" max="6932" width="9.1640625" style="29"/>
    <col min="6933" max="6933" width="38.33203125" style="29" bestFit="1" customWidth="1"/>
    <col min="6934" max="6937" width="9.1640625" style="29"/>
    <col min="6938" max="6938" width="11" style="29" bestFit="1" customWidth="1"/>
    <col min="6939" max="6939" width="9.1640625" style="29"/>
    <col min="6940" max="6940" width="13.5" style="29" customWidth="1"/>
    <col min="6941" max="6960" width="9.1640625" style="29"/>
    <col min="6961" max="6961" width="17.6640625" style="29" bestFit="1" customWidth="1"/>
    <col min="6962" max="6969" width="9.1640625" style="29"/>
    <col min="6970" max="6970" width="11.1640625" style="29" customWidth="1"/>
    <col min="6971" max="6990" width="9.1640625" style="29"/>
    <col min="6991" max="6991" width="13.5" style="29" bestFit="1" customWidth="1"/>
    <col min="6992" max="7015" width="9.1640625" style="29"/>
    <col min="7016" max="7016" width="48.5" style="29" bestFit="1" customWidth="1"/>
    <col min="7017" max="7022" width="9.1640625" style="29"/>
    <col min="7023" max="7023" width="18" style="29" bestFit="1" customWidth="1"/>
    <col min="7024" max="7025" width="14.5" style="29" bestFit="1" customWidth="1"/>
    <col min="7026" max="7171" width="9.1640625" style="29"/>
    <col min="7172" max="7172" width="5.5" style="29" bestFit="1" customWidth="1"/>
    <col min="7173" max="7175" width="30.6640625" style="29" customWidth="1"/>
    <col min="7176" max="7176" width="13.5" style="29" bestFit="1" customWidth="1"/>
    <col min="7177" max="7177" width="9.1640625" style="29"/>
    <col min="7178" max="7178" width="13" style="29" bestFit="1" customWidth="1"/>
    <col min="7179" max="7179" width="10.5" style="29" bestFit="1" customWidth="1"/>
    <col min="7180" max="7185" width="9.1640625" style="29"/>
    <col min="7186" max="7186" width="16.1640625" style="29" bestFit="1" customWidth="1"/>
    <col min="7187" max="7188" width="9.1640625" style="29"/>
    <col min="7189" max="7189" width="38.33203125" style="29" bestFit="1" customWidth="1"/>
    <col min="7190" max="7193" width="9.1640625" style="29"/>
    <col min="7194" max="7194" width="11" style="29" bestFit="1" customWidth="1"/>
    <col min="7195" max="7195" width="9.1640625" style="29"/>
    <col min="7196" max="7196" width="13.5" style="29" customWidth="1"/>
    <col min="7197" max="7216" width="9.1640625" style="29"/>
    <col min="7217" max="7217" width="17.6640625" style="29" bestFit="1" customWidth="1"/>
    <col min="7218" max="7225" width="9.1640625" style="29"/>
    <col min="7226" max="7226" width="11.1640625" style="29" customWidth="1"/>
    <col min="7227" max="7246" width="9.1640625" style="29"/>
    <col min="7247" max="7247" width="13.5" style="29" bestFit="1" customWidth="1"/>
    <col min="7248" max="7271" width="9.1640625" style="29"/>
    <col min="7272" max="7272" width="48.5" style="29" bestFit="1" customWidth="1"/>
    <col min="7273" max="7278" width="9.1640625" style="29"/>
    <col min="7279" max="7279" width="18" style="29" bestFit="1" customWidth="1"/>
    <col min="7280" max="7281" width="14.5" style="29" bestFit="1" customWidth="1"/>
    <col min="7282" max="7427" width="9.1640625" style="29"/>
    <col min="7428" max="7428" width="5.5" style="29" bestFit="1" customWidth="1"/>
    <col min="7429" max="7431" width="30.6640625" style="29" customWidth="1"/>
    <col min="7432" max="7432" width="13.5" style="29" bestFit="1" customWidth="1"/>
    <col min="7433" max="7433" width="9.1640625" style="29"/>
    <col min="7434" max="7434" width="13" style="29" bestFit="1" customWidth="1"/>
    <col min="7435" max="7435" width="10.5" style="29" bestFit="1" customWidth="1"/>
    <col min="7436" max="7441" width="9.1640625" style="29"/>
    <col min="7442" max="7442" width="16.1640625" style="29" bestFit="1" customWidth="1"/>
    <col min="7443" max="7444" width="9.1640625" style="29"/>
    <col min="7445" max="7445" width="38.33203125" style="29" bestFit="1" customWidth="1"/>
    <col min="7446" max="7449" width="9.1640625" style="29"/>
    <col min="7450" max="7450" width="11" style="29" bestFit="1" customWidth="1"/>
    <col min="7451" max="7451" width="9.1640625" style="29"/>
    <col min="7452" max="7452" width="13.5" style="29" customWidth="1"/>
    <col min="7453" max="7472" width="9.1640625" style="29"/>
    <col min="7473" max="7473" width="17.6640625" style="29" bestFit="1" customWidth="1"/>
    <col min="7474" max="7481" width="9.1640625" style="29"/>
    <col min="7482" max="7482" width="11.1640625" style="29" customWidth="1"/>
    <col min="7483" max="7502" width="9.1640625" style="29"/>
    <col min="7503" max="7503" width="13.5" style="29" bestFit="1" customWidth="1"/>
    <col min="7504" max="7527" width="9.1640625" style="29"/>
    <col min="7528" max="7528" width="48.5" style="29" bestFit="1" customWidth="1"/>
    <col min="7529" max="7534" width="9.1640625" style="29"/>
    <col min="7535" max="7535" width="18" style="29" bestFit="1" customWidth="1"/>
    <col min="7536" max="7537" width="14.5" style="29" bestFit="1" customWidth="1"/>
    <col min="7538" max="7683" width="9.1640625" style="29"/>
    <col min="7684" max="7684" width="5.5" style="29" bestFit="1" customWidth="1"/>
    <col min="7685" max="7687" width="30.6640625" style="29" customWidth="1"/>
    <col min="7688" max="7688" width="13.5" style="29" bestFit="1" customWidth="1"/>
    <col min="7689" max="7689" width="9.1640625" style="29"/>
    <col min="7690" max="7690" width="13" style="29" bestFit="1" customWidth="1"/>
    <col min="7691" max="7691" width="10.5" style="29" bestFit="1" customWidth="1"/>
    <col min="7692" max="7697" width="9.1640625" style="29"/>
    <col min="7698" max="7698" width="16.1640625" style="29" bestFit="1" customWidth="1"/>
    <col min="7699" max="7700" width="9.1640625" style="29"/>
    <col min="7701" max="7701" width="38.33203125" style="29" bestFit="1" customWidth="1"/>
    <col min="7702" max="7705" width="9.1640625" style="29"/>
    <col min="7706" max="7706" width="11" style="29" bestFit="1" customWidth="1"/>
    <col min="7707" max="7707" width="9.1640625" style="29"/>
    <col min="7708" max="7708" width="13.5" style="29" customWidth="1"/>
    <col min="7709" max="7728" width="9.1640625" style="29"/>
    <col min="7729" max="7729" width="17.6640625" style="29" bestFit="1" customWidth="1"/>
    <col min="7730" max="7737" width="9.1640625" style="29"/>
    <col min="7738" max="7738" width="11.1640625" style="29" customWidth="1"/>
    <col min="7739" max="7758" width="9.1640625" style="29"/>
    <col min="7759" max="7759" width="13.5" style="29" bestFit="1" customWidth="1"/>
    <col min="7760" max="7783" width="9.1640625" style="29"/>
    <col min="7784" max="7784" width="48.5" style="29" bestFit="1" customWidth="1"/>
    <col min="7785" max="7790" width="9.1640625" style="29"/>
    <col min="7791" max="7791" width="18" style="29" bestFit="1" customWidth="1"/>
    <col min="7792" max="7793" width="14.5" style="29" bestFit="1" customWidth="1"/>
    <col min="7794" max="7939" width="9.1640625" style="29"/>
    <col min="7940" max="7940" width="5.5" style="29" bestFit="1" customWidth="1"/>
    <col min="7941" max="7943" width="30.6640625" style="29" customWidth="1"/>
    <col min="7944" max="7944" width="13.5" style="29" bestFit="1" customWidth="1"/>
    <col min="7945" max="7945" width="9.1640625" style="29"/>
    <col min="7946" max="7946" width="13" style="29" bestFit="1" customWidth="1"/>
    <col min="7947" max="7947" width="10.5" style="29" bestFit="1" customWidth="1"/>
    <col min="7948" max="7953" width="9.1640625" style="29"/>
    <col min="7954" max="7954" width="16.1640625" style="29" bestFit="1" customWidth="1"/>
    <col min="7955" max="7956" width="9.1640625" style="29"/>
    <col min="7957" max="7957" width="38.33203125" style="29" bestFit="1" customWidth="1"/>
    <col min="7958" max="7961" width="9.1640625" style="29"/>
    <col min="7962" max="7962" width="11" style="29" bestFit="1" customWidth="1"/>
    <col min="7963" max="7963" width="9.1640625" style="29"/>
    <col min="7964" max="7964" width="13.5" style="29" customWidth="1"/>
    <col min="7965" max="7984" width="9.1640625" style="29"/>
    <col min="7985" max="7985" width="17.6640625" style="29" bestFit="1" customWidth="1"/>
    <col min="7986" max="7993" width="9.1640625" style="29"/>
    <col min="7994" max="7994" width="11.1640625" style="29" customWidth="1"/>
    <col min="7995" max="8014" width="9.1640625" style="29"/>
    <col min="8015" max="8015" width="13.5" style="29" bestFit="1" customWidth="1"/>
    <col min="8016" max="8039" width="9.1640625" style="29"/>
    <col min="8040" max="8040" width="48.5" style="29" bestFit="1" customWidth="1"/>
    <col min="8041" max="8046" width="9.1640625" style="29"/>
    <col min="8047" max="8047" width="18" style="29" bestFit="1" customWidth="1"/>
    <col min="8048" max="8049" width="14.5" style="29" bestFit="1" customWidth="1"/>
    <col min="8050" max="8195" width="9.1640625" style="29"/>
    <col min="8196" max="8196" width="5.5" style="29" bestFit="1" customWidth="1"/>
    <col min="8197" max="8199" width="30.6640625" style="29" customWidth="1"/>
    <col min="8200" max="8200" width="13.5" style="29" bestFit="1" customWidth="1"/>
    <col min="8201" max="8201" width="9.1640625" style="29"/>
    <col min="8202" max="8202" width="13" style="29" bestFit="1" customWidth="1"/>
    <col min="8203" max="8203" width="10.5" style="29" bestFit="1" customWidth="1"/>
    <col min="8204" max="8209" width="9.1640625" style="29"/>
    <col min="8210" max="8210" width="16.1640625" style="29" bestFit="1" customWidth="1"/>
    <col min="8211" max="8212" width="9.1640625" style="29"/>
    <col min="8213" max="8213" width="38.33203125" style="29" bestFit="1" customWidth="1"/>
    <col min="8214" max="8217" width="9.1640625" style="29"/>
    <col min="8218" max="8218" width="11" style="29" bestFit="1" customWidth="1"/>
    <col min="8219" max="8219" width="9.1640625" style="29"/>
    <col min="8220" max="8220" width="13.5" style="29" customWidth="1"/>
    <col min="8221" max="8240" width="9.1640625" style="29"/>
    <col min="8241" max="8241" width="17.6640625" style="29" bestFit="1" customWidth="1"/>
    <col min="8242" max="8249" width="9.1640625" style="29"/>
    <col min="8250" max="8250" width="11.1640625" style="29" customWidth="1"/>
    <col min="8251" max="8270" width="9.1640625" style="29"/>
    <col min="8271" max="8271" width="13.5" style="29" bestFit="1" customWidth="1"/>
    <col min="8272" max="8295" width="9.1640625" style="29"/>
    <col min="8296" max="8296" width="48.5" style="29" bestFit="1" customWidth="1"/>
    <col min="8297" max="8302" width="9.1640625" style="29"/>
    <col min="8303" max="8303" width="18" style="29" bestFit="1" customWidth="1"/>
    <col min="8304" max="8305" width="14.5" style="29" bestFit="1" customWidth="1"/>
    <col min="8306" max="8451" width="9.1640625" style="29"/>
    <col min="8452" max="8452" width="5.5" style="29" bestFit="1" customWidth="1"/>
    <col min="8453" max="8455" width="30.6640625" style="29" customWidth="1"/>
    <col min="8456" max="8456" width="13.5" style="29" bestFit="1" customWidth="1"/>
    <col min="8457" max="8457" width="9.1640625" style="29"/>
    <col min="8458" max="8458" width="13" style="29" bestFit="1" customWidth="1"/>
    <col min="8459" max="8459" width="10.5" style="29" bestFit="1" customWidth="1"/>
    <col min="8460" max="8465" width="9.1640625" style="29"/>
    <col min="8466" max="8466" width="16.1640625" style="29" bestFit="1" customWidth="1"/>
    <col min="8467" max="8468" width="9.1640625" style="29"/>
    <col min="8469" max="8469" width="38.33203125" style="29" bestFit="1" customWidth="1"/>
    <col min="8470" max="8473" width="9.1640625" style="29"/>
    <col min="8474" max="8474" width="11" style="29" bestFit="1" customWidth="1"/>
    <col min="8475" max="8475" width="9.1640625" style="29"/>
    <col min="8476" max="8476" width="13.5" style="29" customWidth="1"/>
    <col min="8477" max="8496" width="9.1640625" style="29"/>
    <col min="8497" max="8497" width="17.6640625" style="29" bestFit="1" customWidth="1"/>
    <col min="8498" max="8505" width="9.1640625" style="29"/>
    <col min="8506" max="8506" width="11.1640625" style="29" customWidth="1"/>
    <col min="8507" max="8526" width="9.1640625" style="29"/>
    <col min="8527" max="8527" width="13.5" style="29" bestFit="1" customWidth="1"/>
    <col min="8528" max="8551" width="9.1640625" style="29"/>
    <col min="8552" max="8552" width="48.5" style="29" bestFit="1" customWidth="1"/>
    <col min="8553" max="8558" width="9.1640625" style="29"/>
    <col min="8559" max="8559" width="18" style="29" bestFit="1" customWidth="1"/>
    <col min="8560" max="8561" width="14.5" style="29" bestFit="1" customWidth="1"/>
    <col min="8562" max="8707" width="9.1640625" style="29"/>
    <col min="8708" max="8708" width="5.5" style="29" bestFit="1" customWidth="1"/>
    <col min="8709" max="8711" width="30.6640625" style="29" customWidth="1"/>
    <col min="8712" max="8712" width="13.5" style="29" bestFit="1" customWidth="1"/>
    <col min="8713" max="8713" width="9.1640625" style="29"/>
    <col min="8714" max="8714" width="13" style="29" bestFit="1" customWidth="1"/>
    <col min="8715" max="8715" width="10.5" style="29" bestFit="1" customWidth="1"/>
    <col min="8716" max="8721" width="9.1640625" style="29"/>
    <col min="8722" max="8722" width="16.1640625" style="29" bestFit="1" customWidth="1"/>
    <col min="8723" max="8724" width="9.1640625" style="29"/>
    <col min="8725" max="8725" width="38.33203125" style="29" bestFit="1" customWidth="1"/>
    <col min="8726" max="8729" width="9.1640625" style="29"/>
    <col min="8730" max="8730" width="11" style="29" bestFit="1" customWidth="1"/>
    <col min="8731" max="8731" width="9.1640625" style="29"/>
    <col min="8732" max="8732" width="13.5" style="29" customWidth="1"/>
    <col min="8733" max="8752" width="9.1640625" style="29"/>
    <col min="8753" max="8753" width="17.6640625" style="29" bestFit="1" customWidth="1"/>
    <col min="8754" max="8761" width="9.1640625" style="29"/>
    <col min="8762" max="8762" width="11.1640625" style="29" customWidth="1"/>
    <col min="8763" max="8782" width="9.1640625" style="29"/>
    <col min="8783" max="8783" width="13.5" style="29" bestFit="1" customWidth="1"/>
    <col min="8784" max="8807" width="9.1640625" style="29"/>
    <col min="8808" max="8808" width="48.5" style="29" bestFit="1" customWidth="1"/>
    <col min="8809" max="8814" width="9.1640625" style="29"/>
    <col min="8815" max="8815" width="18" style="29" bestFit="1" customWidth="1"/>
    <col min="8816" max="8817" width="14.5" style="29" bestFit="1" customWidth="1"/>
    <col min="8818" max="8963" width="9.1640625" style="29"/>
    <col min="8964" max="8964" width="5.5" style="29" bestFit="1" customWidth="1"/>
    <col min="8965" max="8967" width="30.6640625" style="29" customWidth="1"/>
    <col min="8968" max="8968" width="13.5" style="29" bestFit="1" customWidth="1"/>
    <col min="8969" max="8969" width="9.1640625" style="29"/>
    <col min="8970" max="8970" width="13" style="29" bestFit="1" customWidth="1"/>
    <col min="8971" max="8971" width="10.5" style="29" bestFit="1" customWidth="1"/>
    <col min="8972" max="8977" width="9.1640625" style="29"/>
    <col min="8978" max="8978" width="16.1640625" style="29" bestFit="1" customWidth="1"/>
    <col min="8979" max="8980" width="9.1640625" style="29"/>
    <col min="8981" max="8981" width="38.33203125" style="29" bestFit="1" customWidth="1"/>
    <col min="8982" max="8985" width="9.1640625" style="29"/>
    <col min="8986" max="8986" width="11" style="29" bestFit="1" customWidth="1"/>
    <col min="8987" max="8987" width="9.1640625" style="29"/>
    <col min="8988" max="8988" width="13.5" style="29" customWidth="1"/>
    <col min="8989" max="9008" width="9.1640625" style="29"/>
    <col min="9009" max="9009" width="17.6640625" style="29" bestFit="1" customWidth="1"/>
    <col min="9010" max="9017" width="9.1640625" style="29"/>
    <col min="9018" max="9018" width="11.1640625" style="29" customWidth="1"/>
    <col min="9019" max="9038" width="9.1640625" style="29"/>
    <col min="9039" max="9039" width="13.5" style="29" bestFit="1" customWidth="1"/>
    <col min="9040" max="9063" width="9.1640625" style="29"/>
    <col min="9064" max="9064" width="48.5" style="29" bestFit="1" customWidth="1"/>
    <col min="9065" max="9070" width="9.1640625" style="29"/>
    <col min="9071" max="9071" width="18" style="29" bestFit="1" customWidth="1"/>
    <col min="9072" max="9073" width="14.5" style="29" bestFit="1" customWidth="1"/>
    <col min="9074" max="9219" width="9.1640625" style="29"/>
    <col min="9220" max="9220" width="5.5" style="29" bestFit="1" customWidth="1"/>
    <col min="9221" max="9223" width="30.6640625" style="29" customWidth="1"/>
    <col min="9224" max="9224" width="13.5" style="29" bestFit="1" customWidth="1"/>
    <col min="9225" max="9225" width="9.1640625" style="29"/>
    <col min="9226" max="9226" width="13" style="29" bestFit="1" customWidth="1"/>
    <col min="9227" max="9227" width="10.5" style="29" bestFit="1" customWidth="1"/>
    <col min="9228" max="9233" width="9.1640625" style="29"/>
    <col min="9234" max="9234" width="16.1640625" style="29" bestFit="1" customWidth="1"/>
    <col min="9235" max="9236" width="9.1640625" style="29"/>
    <col min="9237" max="9237" width="38.33203125" style="29" bestFit="1" customWidth="1"/>
    <col min="9238" max="9241" width="9.1640625" style="29"/>
    <col min="9242" max="9242" width="11" style="29" bestFit="1" customWidth="1"/>
    <col min="9243" max="9243" width="9.1640625" style="29"/>
    <col min="9244" max="9244" width="13.5" style="29" customWidth="1"/>
    <col min="9245" max="9264" width="9.1640625" style="29"/>
    <col min="9265" max="9265" width="17.6640625" style="29" bestFit="1" customWidth="1"/>
    <col min="9266" max="9273" width="9.1640625" style="29"/>
    <col min="9274" max="9274" width="11.1640625" style="29" customWidth="1"/>
    <col min="9275" max="9294" width="9.1640625" style="29"/>
    <col min="9295" max="9295" width="13.5" style="29" bestFit="1" customWidth="1"/>
    <col min="9296" max="9319" width="9.1640625" style="29"/>
    <col min="9320" max="9320" width="48.5" style="29" bestFit="1" customWidth="1"/>
    <col min="9321" max="9326" width="9.1640625" style="29"/>
    <col min="9327" max="9327" width="18" style="29" bestFit="1" customWidth="1"/>
    <col min="9328" max="9329" width="14.5" style="29" bestFit="1" customWidth="1"/>
    <col min="9330" max="9475" width="9.1640625" style="29"/>
    <col min="9476" max="9476" width="5.5" style="29" bestFit="1" customWidth="1"/>
    <col min="9477" max="9479" width="30.6640625" style="29" customWidth="1"/>
    <col min="9480" max="9480" width="13.5" style="29" bestFit="1" customWidth="1"/>
    <col min="9481" max="9481" width="9.1640625" style="29"/>
    <col min="9482" max="9482" width="13" style="29" bestFit="1" customWidth="1"/>
    <col min="9483" max="9483" width="10.5" style="29" bestFit="1" customWidth="1"/>
    <col min="9484" max="9489" width="9.1640625" style="29"/>
    <col min="9490" max="9490" width="16.1640625" style="29" bestFit="1" customWidth="1"/>
    <col min="9491" max="9492" width="9.1640625" style="29"/>
    <col min="9493" max="9493" width="38.33203125" style="29" bestFit="1" customWidth="1"/>
    <col min="9494" max="9497" width="9.1640625" style="29"/>
    <col min="9498" max="9498" width="11" style="29" bestFit="1" customWidth="1"/>
    <col min="9499" max="9499" width="9.1640625" style="29"/>
    <col min="9500" max="9500" width="13.5" style="29" customWidth="1"/>
    <col min="9501" max="9520" width="9.1640625" style="29"/>
    <col min="9521" max="9521" width="17.6640625" style="29" bestFit="1" customWidth="1"/>
    <col min="9522" max="9529" width="9.1640625" style="29"/>
    <col min="9530" max="9530" width="11.1640625" style="29" customWidth="1"/>
    <col min="9531" max="9550" width="9.1640625" style="29"/>
    <col min="9551" max="9551" width="13.5" style="29" bestFit="1" customWidth="1"/>
    <col min="9552" max="9575" width="9.1640625" style="29"/>
    <col min="9576" max="9576" width="48.5" style="29" bestFit="1" customWidth="1"/>
    <col min="9577" max="9582" width="9.1640625" style="29"/>
    <col min="9583" max="9583" width="18" style="29" bestFit="1" customWidth="1"/>
    <col min="9584" max="9585" width="14.5" style="29" bestFit="1" customWidth="1"/>
    <col min="9586" max="9731" width="9.1640625" style="29"/>
    <col min="9732" max="9732" width="5.5" style="29" bestFit="1" customWidth="1"/>
    <col min="9733" max="9735" width="30.6640625" style="29" customWidth="1"/>
    <col min="9736" max="9736" width="13.5" style="29" bestFit="1" customWidth="1"/>
    <col min="9737" max="9737" width="9.1640625" style="29"/>
    <col min="9738" max="9738" width="13" style="29" bestFit="1" customWidth="1"/>
    <col min="9739" max="9739" width="10.5" style="29" bestFit="1" customWidth="1"/>
    <col min="9740" max="9745" width="9.1640625" style="29"/>
    <col min="9746" max="9746" width="16.1640625" style="29" bestFit="1" customWidth="1"/>
    <col min="9747" max="9748" width="9.1640625" style="29"/>
    <col min="9749" max="9749" width="38.33203125" style="29" bestFit="1" customWidth="1"/>
    <col min="9750" max="9753" width="9.1640625" style="29"/>
    <col min="9754" max="9754" width="11" style="29" bestFit="1" customWidth="1"/>
    <col min="9755" max="9755" width="9.1640625" style="29"/>
    <col min="9756" max="9756" width="13.5" style="29" customWidth="1"/>
    <col min="9757" max="9776" width="9.1640625" style="29"/>
    <col min="9777" max="9777" width="17.6640625" style="29" bestFit="1" customWidth="1"/>
    <col min="9778" max="9785" width="9.1640625" style="29"/>
    <col min="9786" max="9786" width="11.1640625" style="29" customWidth="1"/>
    <col min="9787" max="9806" width="9.1640625" style="29"/>
    <col min="9807" max="9807" width="13.5" style="29" bestFit="1" customWidth="1"/>
    <col min="9808" max="9831" width="9.1640625" style="29"/>
    <col min="9832" max="9832" width="48.5" style="29" bestFit="1" customWidth="1"/>
    <col min="9833" max="9838" width="9.1640625" style="29"/>
    <col min="9839" max="9839" width="18" style="29" bestFit="1" customWidth="1"/>
    <col min="9840" max="9841" width="14.5" style="29" bestFit="1" customWidth="1"/>
    <col min="9842" max="9987" width="9.1640625" style="29"/>
    <col min="9988" max="9988" width="5.5" style="29" bestFit="1" customWidth="1"/>
    <col min="9989" max="9991" width="30.6640625" style="29" customWidth="1"/>
    <col min="9992" max="9992" width="13.5" style="29" bestFit="1" customWidth="1"/>
    <col min="9993" max="9993" width="9.1640625" style="29"/>
    <col min="9994" max="9994" width="13" style="29" bestFit="1" customWidth="1"/>
    <col min="9995" max="9995" width="10.5" style="29" bestFit="1" customWidth="1"/>
    <col min="9996" max="10001" width="9.1640625" style="29"/>
    <col min="10002" max="10002" width="16.1640625" style="29" bestFit="1" customWidth="1"/>
    <col min="10003" max="10004" width="9.1640625" style="29"/>
    <col min="10005" max="10005" width="38.33203125" style="29" bestFit="1" customWidth="1"/>
    <col min="10006" max="10009" width="9.1640625" style="29"/>
    <col min="10010" max="10010" width="11" style="29" bestFit="1" customWidth="1"/>
    <col min="10011" max="10011" width="9.1640625" style="29"/>
    <col min="10012" max="10012" width="13.5" style="29" customWidth="1"/>
    <col min="10013" max="10032" width="9.1640625" style="29"/>
    <col min="10033" max="10033" width="17.6640625" style="29" bestFit="1" customWidth="1"/>
    <col min="10034" max="10041" width="9.1640625" style="29"/>
    <col min="10042" max="10042" width="11.1640625" style="29" customWidth="1"/>
    <col min="10043" max="10062" width="9.1640625" style="29"/>
    <col min="10063" max="10063" width="13.5" style="29" bestFit="1" customWidth="1"/>
    <col min="10064" max="10087" width="9.1640625" style="29"/>
    <col min="10088" max="10088" width="48.5" style="29" bestFit="1" customWidth="1"/>
    <col min="10089" max="10094" width="9.1640625" style="29"/>
    <col min="10095" max="10095" width="18" style="29" bestFit="1" customWidth="1"/>
    <col min="10096" max="10097" width="14.5" style="29" bestFit="1" customWidth="1"/>
    <col min="10098" max="10243" width="9.1640625" style="29"/>
    <col min="10244" max="10244" width="5.5" style="29" bestFit="1" customWidth="1"/>
    <col min="10245" max="10247" width="30.6640625" style="29" customWidth="1"/>
    <col min="10248" max="10248" width="13.5" style="29" bestFit="1" customWidth="1"/>
    <col min="10249" max="10249" width="9.1640625" style="29"/>
    <col min="10250" max="10250" width="13" style="29" bestFit="1" customWidth="1"/>
    <col min="10251" max="10251" width="10.5" style="29" bestFit="1" customWidth="1"/>
    <col min="10252" max="10257" width="9.1640625" style="29"/>
    <col min="10258" max="10258" width="16.1640625" style="29" bestFit="1" customWidth="1"/>
    <col min="10259" max="10260" width="9.1640625" style="29"/>
    <col min="10261" max="10261" width="38.33203125" style="29" bestFit="1" customWidth="1"/>
    <col min="10262" max="10265" width="9.1640625" style="29"/>
    <col min="10266" max="10266" width="11" style="29" bestFit="1" customWidth="1"/>
    <col min="10267" max="10267" width="9.1640625" style="29"/>
    <col min="10268" max="10268" width="13.5" style="29" customWidth="1"/>
    <col min="10269" max="10288" width="9.1640625" style="29"/>
    <col min="10289" max="10289" width="17.6640625" style="29" bestFit="1" customWidth="1"/>
    <col min="10290" max="10297" width="9.1640625" style="29"/>
    <col min="10298" max="10298" width="11.1640625" style="29" customWidth="1"/>
    <col min="10299" max="10318" width="9.1640625" style="29"/>
    <col min="10319" max="10319" width="13.5" style="29" bestFit="1" customWidth="1"/>
    <col min="10320" max="10343" width="9.1640625" style="29"/>
    <col min="10344" max="10344" width="48.5" style="29" bestFit="1" customWidth="1"/>
    <col min="10345" max="10350" width="9.1640625" style="29"/>
    <col min="10351" max="10351" width="18" style="29" bestFit="1" customWidth="1"/>
    <col min="10352" max="10353" width="14.5" style="29" bestFit="1" customWidth="1"/>
    <col min="10354" max="10499" width="9.1640625" style="29"/>
    <col min="10500" max="10500" width="5.5" style="29" bestFit="1" customWidth="1"/>
    <col min="10501" max="10503" width="30.6640625" style="29" customWidth="1"/>
    <col min="10504" max="10504" width="13.5" style="29" bestFit="1" customWidth="1"/>
    <col min="10505" max="10505" width="9.1640625" style="29"/>
    <col min="10506" max="10506" width="13" style="29" bestFit="1" customWidth="1"/>
    <col min="10507" max="10507" width="10.5" style="29" bestFit="1" customWidth="1"/>
    <col min="10508" max="10513" width="9.1640625" style="29"/>
    <col min="10514" max="10514" width="16.1640625" style="29" bestFit="1" customWidth="1"/>
    <col min="10515" max="10516" width="9.1640625" style="29"/>
    <col min="10517" max="10517" width="38.33203125" style="29" bestFit="1" customWidth="1"/>
    <col min="10518" max="10521" width="9.1640625" style="29"/>
    <col min="10522" max="10522" width="11" style="29" bestFit="1" customWidth="1"/>
    <col min="10523" max="10523" width="9.1640625" style="29"/>
    <col min="10524" max="10524" width="13.5" style="29" customWidth="1"/>
    <col min="10525" max="10544" width="9.1640625" style="29"/>
    <col min="10545" max="10545" width="17.6640625" style="29" bestFit="1" customWidth="1"/>
    <col min="10546" max="10553" width="9.1640625" style="29"/>
    <col min="10554" max="10554" width="11.1640625" style="29" customWidth="1"/>
    <col min="10555" max="10574" width="9.1640625" style="29"/>
    <col min="10575" max="10575" width="13.5" style="29" bestFit="1" customWidth="1"/>
    <col min="10576" max="10599" width="9.1640625" style="29"/>
    <col min="10600" max="10600" width="48.5" style="29" bestFit="1" customWidth="1"/>
    <col min="10601" max="10606" width="9.1640625" style="29"/>
    <col min="10607" max="10607" width="18" style="29" bestFit="1" customWidth="1"/>
    <col min="10608" max="10609" width="14.5" style="29" bestFit="1" customWidth="1"/>
    <col min="10610" max="10755" width="9.1640625" style="29"/>
    <col min="10756" max="10756" width="5.5" style="29" bestFit="1" customWidth="1"/>
    <col min="10757" max="10759" width="30.6640625" style="29" customWidth="1"/>
    <col min="10760" max="10760" width="13.5" style="29" bestFit="1" customWidth="1"/>
    <col min="10761" max="10761" width="9.1640625" style="29"/>
    <col min="10762" max="10762" width="13" style="29" bestFit="1" customWidth="1"/>
    <col min="10763" max="10763" width="10.5" style="29" bestFit="1" customWidth="1"/>
    <col min="10764" max="10769" width="9.1640625" style="29"/>
    <col min="10770" max="10770" width="16.1640625" style="29" bestFit="1" customWidth="1"/>
    <col min="10771" max="10772" width="9.1640625" style="29"/>
    <col min="10773" max="10773" width="38.33203125" style="29" bestFit="1" customWidth="1"/>
    <col min="10774" max="10777" width="9.1640625" style="29"/>
    <col min="10778" max="10778" width="11" style="29" bestFit="1" customWidth="1"/>
    <col min="10779" max="10779" width="9.1640625" style="29"/>
    <col min="10780" max="10780" width="13.5" style="29" customWidth="1"/>
    <col min="10781" max="10800" width="9.1640625" style="29"/>
    <col min="10801" max="10801" width="17.6640625" style="29" bestFit="1" customWidth="1"/>
    <col min="10802" max="10809" width="9.1640625" style="29"/>
    <col min="10810" max="10810" width="11.1640625" style="29" customWidth="1"/>
    <col min="10811" max="10830" width="9.1640625" style="29"/>
    <col min="10831" max="10831" width="13.5" style="29" bestFit="1" customWidth="1"/>
    <col min="10832" max="10855" width="9.1640625" style="29"/>
    <col min="10856" max="10856" width="48.5" style="29" bestFit="1" customWidth="1"/>
    <col min="10857" max="10862" width="9.1640625" style="29"/>
    <col min="10863" max="10863" width="18" style="29" bestFit="1" customWidth="1"/>
    <col min="10864" max="10865" width="14.5" style="29" bestFit="1" customWidth="1"/>
    <col min="10866" max="11011" width="9.1640625" style="29"/>
    <col min="11012" max="11012" width="5.5" style="29" bestFit="1" customWidth="1"/>
    <col min="11013" max="11015" width="30.6640625" style="29" customWidth="1"/>
    <col min="11016" max="11016" width="13.5" style="29" bestFit="1" customWidth="1"/>
    <col min="11017" max="11017" width="9.1640625" style="29"/>
    <col min="11018" max="11018" width="13" style="29" bestFit="1" customWidth="1"/>
    <col min="11019" max="11019" width="10.5" style="29" bestFit="1" customWidth="1"/>
    <col min="11020" max="11025" width="9.1640625" style="29"/>
    <col min="11026" max="11026" width="16.1640625" style="29" bestFit="1" customWidth="1"/>
    <col min="11027" max="11028" width="9.1640625" style="29"/>
    <col min="11029" max="11029" width="38.33203125" style="29" bestFit="1" customWidth="1"/>
    <col min="11030" max="11033" width="9.1640625" style="29"/>
    <col min="11034" max="11034" width="11" style="29" bestFit="1" customWidth="1"/>
    <col min="11035" max="11035" width="9.1640625" style="29"/>
    <col min="11036" max="11036" width="13.5" style="29" customWidth="1"/>
    <col min="11037" max="11056" width="9.1640625" style="29"/>
    <col min="11057" max="11057" width="17.6640625" style="29" bestFit="1" customWidth="1"/>
    <col min="11058" max="11065" width="9.1640625" style="29"/>
    <col min="11066" max="11066" width="11.1640625" style="29" customWidth="1"/>
    <col min="11067" max="11086" width="9.1640625" style="29"/>
    <col min="11087" max="11087" width="13.5" style="29" bestFit="1" customWidth="1"/>
    <col min="11088" max="11111" width="9.1640625" style="29"/>
    <col min="11112" max="11112" width="48.5" style="29" bestFit="1" customWidth="1"/>
    <col min="11113" max="11118" width="9.1640625" style="29"/>
    <col min="11119" max="11119" width="18" style="29" bestFit="1" customWidth="1"/>
    <col min="11120" max="11121" width="14.5" style="29" bestFit="1" customWidth="1"/>
    <col min="11122" max="11267" width="9.1640625" style="29"/>
    <col min="11268" max="11268" width="5.5" style="29" bestFit="1" customWidth="1"/>
    <col min="11269" max="11271" width="30.6640625" style="29" customWidth="1"/>
    <col min="11272" max="11272" width="13.5" style="29" bestFit="1" customWidth="1"/>
    <col min="11273" max="11273" width="9.1640625" style="29"/>
    <col min="11274" max="11274" width="13" style="29" bestFit="1" customWidth="1"/>
    <col min="11275" max="11275" width="10.5" style="29" bestFit="1" customWidth="1"/>
    <col min="11276" max="11281" width="9.1640625" style="29"/>
    <col min="11282" max="11282" width="16.1640625" style="29" bestFit="1" customWidth="1"/>
    <col min="11283" max="11284" width="9.1640625" style="29"/>
    <col min="11285" max="11285" width="38.33203125" style="29" bestFit="1" customWidth="1"/>
    <col min="11286" max="11289" width="9.1640625" style="29"/>
    <col min="11290" max="11290" width="11" style="29" bestFit="1" customWidth="1"/>
    <col min="11291" max="11291" width="9.1640625" style="29"/>
    <col min="11292" max="11292" width="13.5" style="29" customWidth="1"/>
    <col min="11293" max="11312" width="9.1640625" style="29"/>
    <col min="11313" max="11313" width="17.6640625" style="29" bestFit="1" customWidth="1"/>
    <col min="11314" max="11321" width="9.1640625" style="29"/>
    <col min="11322" max="11322" width="11.1640625" style="29" customWidth="1"/>
    <col min="11323" max="11342" width="9.1640625" style="29"/>
    <col min="11343" max="11343" width="13.5" style="29" bestFit="1" customWidth="1"/>
    <col min="11344" max="11367" width="9.1640625" style="29"/>
    <col min="11368" max="11368" width="48.5" style="29" bestFit="1" customWidth="1"/>
    <col min="11369" max="11374" width="9.1640625" style="29"/>
    <col min="11375" max="11375" width="18" style="29" bestFit="1" customWidth="1"/>
    <col min="11376" max="11377" width="14.5" style="29" bestFit="1" customWidth="1"/>
    <col min="11378" max="11523" width="9.1640625" style="29"/>
    <col min="11524" max="11524" width="5.5" style="29" bestFit="1" customWidth="1"/>
    <col min="11525" max="11527" width="30.6640625" style="29" customWidth="1"/>
    <col min="11528" max="11528" width="13.5" style="29" bestFit="1" customWidth="1"/>
    <col min="11529" max="11529" width="9.1640625" style="29"/>
    <col min="11530" max="11530" width="13" style="29" bestFit="1" customWidth="1"/>
    <col min="11531" max="11531" width="10.5" style="29" bestFit="1" customWidth="1"/>
    <col min="11532" max="11537" width="9.1640625" style="29"/>
    <col min="11538" max="11538" width="16.1640625" style="29" bestFit="1" customWidth="1"/>
    <col min="11539" max="11540" width="9.1640625" style="29"/>
    <col min="11541" max="11541" width="38.33203125" style="29" bestFit="1" customWidth="1"/>
    <col min="11542" max="11545" width="9.1640625" style="29"/>
    <col min="11546" max="11546" width="11" style="29" bestFit="1" customWidth="1"/>
    <col min="11547" max="11547" width="9.1640625" style="29"/>
    <col min="11548" max="11548" width="13.5" style="29" customWidth="1"/>
    <col min="11549" max="11568" width="9.1640625" style="29"/>
    <col min="11569" max="11569" width="17.6640625" style="29" bestFit="1" customWidth="1"/>
    <col min="11570" max="11577" width="9.1640625" style="29"/>
    <col min="11578" max="11578" width="11.1640625" style="29" customWidth="1"/>
    <col min="11579" max="11598" width="9.1640625" style="29"/>
    <col min="11599" max="11599" width="13.5" style="29" bestFit="1" customWidth="1"/>
    <col min="11600" max="11623" width="9.1640625" style="29"/>
    <col min="11624" max="11624" width="48.5" style="29" bestFit="1" customWidth="1"/>
    <col min="11625" max="11630" width="9.1640625" style="29"/>
    <col min="11631" max="11631" width="18" style="29" bestFit="1" customWidth="1"/>
    <col min="11632" max="11633" width="14.5" style="29" bestFit="1" customWidth="1"/>
    <col min="11634" max="11779" width="9.1640625" style="29"/>
    <col min="11780" max="11780" width="5.5" style="29" bestFit="1" customWidth="1"/>
    <col min="11781" max="11783" width="30.6640625" style="29" customWidth="1"/>
    <col min="11784" max="11784" width="13.5" style="29" bestFit="1" customWidth="1"/>
    <col min="11785" max="11785" width="9.1640625" style="29"/>
    <col min="11786" max="11786" width="13" style="29" bestFit="1" customWidth="1"/>
    <col min="11787" max="11787" width="10.5" style="29" bestFit="1" customWidth="1"/>
    <col min="11788" max="11793" width="9.1640625" style="29"/>
    <col min="11794" max="11794" width="16.1640625" style="29" bestFit="1" customWidth="1"/>
    <col min="11795" max="11796" width="9.1640625" style="29"/>
    <col min="11797" max="11797" width="38.33203125" style="29" bestFit="1" customWidth="1"/>
    <col min="11798" max="11801" width="9.1640625" style="29"/>
    <col min="11802" max="11802" width="11" style="29" bestFit="1" customWidth="1"/>
    <col min="11803" max="11803" width="9.1640625" style="29"/>
    <col min="11804" max="11804" width="13.5" style="29" customWidth="1"/>
    <col min="11805" max="11824" width="9.1640625" style="29"/>
    <col min="11825" max="11825" width="17.6640625" style="29" bestFit="1" customWidth="1"/>
    <col min="11826" max="11833" width="9.1640625" style="29"/>
    <col min="11834" max="11834" width="11.1640625" style="29" customWidth="1"/>
    <col min="11835" max="11854" width="9.1640625" style="29"/>
    <col min="11855" max="11855" width="13.5" style="29" bestFit="1" customWidth="1"/>
    <col min="11856" max="11879" width="9.1640625" style="29"/>
    <col min="11880" max="11880" width="48.5" style="29" bestFit="1" customWidth="1"/>
    <col min="11881" max="11886" width="9.1640625" style="29"/>
    <col min="11887" max="11887" width="18" style="29" bestFit="1" customWidth="1"/>
    <col min="11888" max="11889" width="14.5" style="29" bestFit="1" customWidth="1"/>
    <col min="11890" max="12035" width="9.1640625" style="29"/>
    <col min="12036" max="12036" width="5.5" style="29" bestFit="1" customWidth="1"/>
    <col min="12037" max="12039" width="30.6640625" style="29" customWidth="1"/>
    <col min="12040" max="12040" width="13.5" style="29" bestFit="1" customWidth="1"/>
    <col min="12041" max="12041" width="9.1640625" style="29"/>
    <col min="12042" max="12042" width="13" style="29" bestFit="1" customWidth="1"/>
    <col min="12043" max="12043" width="10.5" style="29" bestFit="1" customWidth="1"/>
    <col min="12044" max="12049" width="9.1640625" style="29"/>
    <col min="12050" max="12050" width="16.1640625" style="29" bestFit="1" customWidth="1"/>
    <col min="12051" max="12052" width="9.1640625" style="29"/>
    <col min="12053" max="12053" width="38.33203125" style="29" bestFit="1" customWidth="1"/>
    <col min="12054" max="12057" width="9.1640625" style="29"/>
    <col min="12058" max="12058" width="11" style="29" bestFit="1" customWidth="1"/>
    <col min="12059" max="12059" width="9.1640625" style="29"/>
    <col min="12060" max="12060" width="13.5" style="29" customWidth="1"/>
    <col min="12061" max="12080" width="9.1640625" style="29"/>
    <col min="12081" max="12081" width="17.6640625" style="29" bestFit="1" customWidth="1"/>
    <col min="12082" max="12089" width="9.1640625" style="29"/>
    <col min="12090" max="12090" width="11.1640625" style="29" customWidth="1"/>
    <col min="12091" max="12110" width="9.1640625" style="29"/>
    <col min="12111" max="12111" width="13.5" style="29" bestFit="1" customWidth="1"/>
    <col min="12112" max="12135" width="9.1640625" style="29"/>
    <col min="12136" max="12136" width="48.5" style="29" bestFit="1" customWidth="1"/>
    <col min="12137" max="12142" width="9.1640625" style="29"/>
    <col min="12143" max="12143" width="18" style="29" bestFit="1" customWidth="1"/>
    <col min="12144" max="12145" width="14.5" style="29" bestFit="1" customWidth="1"/>
    <col min="12146" max="12291" width="9.1640625" style="29"/>
    <col min="12292" max="12292" width="5.5" style="29" bestFit="1" customWidth="1"/>
    <col min="12293" max="12295" width="30.6640625" style="29" customWidth="1"/>
    <col min="12296" max="12296" width="13.5" style="29" bestFit="1" customWidth="1"/>
    <col min="12297" max="12297" width="9.1640625" style="29"/>
    <col min="12298" max="12298" width="13" style="29" bestFit="1" customWidth="1"/>
    <col min="12299" max="12299" width="10.5" style="29" bestFit="1" customWidth="1"/>
    <col min="12300" max="12305" width="9.1640625" style="29"/>
    <col min="12306" max="12306" width="16.1640625" style="29" bestFit="1" customWidth="1"/>
    <col min="12307" max="12308" width="9.1640625" style="29"/>
    <col min="12309" max="12309" width="38.33203125" style="29" bestFit="1" customWidth="1"/>
    <col min="12310" max="12313" width="9.1640625" style="29"/>
    <col min="12314" max="12314" width="11" style="29" bestFit="1" customWidth="1"/>
    <col min="12315" max="12315" width="9.1640625" style="29"/>
    <col min="12316" max="12316" width="13.5" style="29" customWidth="1"/>
    <col min="12317" max="12336" width="9.1640625" style="29"/>
    <col min="12337" max="12337" width="17.6640625" style="29" bestFit="1" customWidth="1"/>
    <col min="12338" max="12345" width="9.1640625" style="29"/>
    <col min="12346" max="12346" width="11.1640625" style="29" customWidth="1"/>
    <col min="12347" max="12366" width="9.1640625" style="29"/>
    <col min="12367" max="12367" width="13.5" style="29" bestFit="1" customWidth="1"/>
    <col min="12368" max="12391" width="9.1640625" style="29"/>
    <col min="12392" max="12392" width="48.5" style="29" bestFit="1" customWidth="1"/>
    <col min="12393" max="12398" width="9.1640625" style="29"/>
    <col min="12399" max="12399" width="18" style="29" bestFit="1" customWidth="1"/>
    <col min="12400" max="12401" width="14.5" style="29" bestFit="1" customWidth="1"/>
    <col min="12402" max="12547" width="9.1640625" style="29"/>
    <col min="12548" max="12548" width="5.5" style="29" bestFit="1" customWidth="1"/>
    <col min="12549" max="12551" width="30.6640625" style="29" customWidth="1"/>
    <col min="12552" max="12552" width="13.5" style="29" bestFit="1" customWidth="1"/>
    <col min="12553" max="12553" width="9.1640625" style="29"/>
    <col min="12554" max="12554" width="13" style="29" bestFit="1" customWidth="1"/>
    <col min="12555" max="12555" width="10.5" style="29" bestFit="1" customWidth="1"/>
    <col min="12556" max="12561" width="9.1640625" style="29"/>
    <col min="12562" max="12562" width="16.1640625" style="29" bestFit="1" customWidth="1"/>
    <col min="12563" max="12564" width="9.1640625" style="29"/>
    <col min="12565" max="12565" width="38.33203125" style="29" bestFit="1" customWidth="1"/>
    <col min="12566" max="12569" width="9.1640625" style="29"/>
    <col min="12570" max="12570" width="11" style="29" bestFit="1" customWidth="1"/>
    <col min="12571" max="12571" width="9.1640625" style="29"/>
    <col min="12572" max="12572" width="13.5" style="29" customWidth="1"/>
    <col min="12573" max="12592" width="9.1640625" style="29"/>
    <col min="12593" max="12593" width="17.6640625" style="29" bestFit="1" customWidth="1"/>
    <col min="12594" max="12601" width="9.1640625" style="29"/>
    <col min="12602" max="12602" width="11.1640625" style="29" customWidth="1"/>
    <col min="12603" max="12622" width="9.1640625" style="29"/>
    <col min="12623" max="12623" width="13.5" style="29" bestFit="1" customWidth="1"/>
    <col min="12624" max="12647" width="9.1640625" style="29"/>
    <col min="12648" max="12648" width="48.5" style="29" bestFit="1" customWidth="1"/>
    <col min="12649" max="12654" width="9.1640625" style="29"/>
    <col min="12655" max="12655" width="18" style="29" bestFit="1" customWidth="1"/>
    <col min="12656" max="12657" width="14.5" style="29" bestFit="1" customWidth="1"/>
    <col min="12658" max="12803" width="9.1640625" style="29"/>
    <col min="12804" max="12804" width="5.5" style="29" bestFit="1" customWidth="1"/>
    <col min="12805" max="12807" width="30.6640625" style="29" customWidth="1"/>
    <col min="12808" max="12808" width="13.5" style="29" bestFit="1" customWidth="1"/>
    <col min="12809" max="12809" width="9.1640625" style="29"/>
    <col min="12810" max="12810" width="13" style="29" bestFit="1" customWidth="1"/>
    <col min="12811" max="12811" width="10.5" style="29" bestFit="1" customWidth="1"/>
    <col min="12812" max="12817" width="9.1640625" style="29"/>
    <col min="12818" max="12818" width="16.1640625" style="29" bestFit="1" customWidth="1"/>
    <col min="12819" max="12820" width="9.1640625" style="29"/>
    <col min="12821" max="12821" width="38.33203125" style="29" bestFit="1" customWidth="1"/>
    <col min="12822" max="12825" width="9.1640625" style="29"/>
    <col min="12826" max="12826" width="11" style="29" bestFit="1" customWidth="1"/>
    <col min="12827" max="12827" width="9.1640625" style="29"/>
    <col min="12828" max="12828" width="13.5" style="29" customWidth="1"/>
    <col min="12829" max="12848" width="9.1640625" style="29"/>
    <col min="12849" max="12849" width="17.6640625" style="29" bestFit="1" customWidth="1"/>
    <col min="12850" max="12857" width="9.1640625" style="29"/>
    <col min="12858" max="12858" width="11.1640625" style="29" customWidth="1"/>
    <col min="12859" max="12878" width="9.1640625" style="29"/>
    <col min="12879" max="12879" width="13.5" style="29" bestFit="1" customWidth="1"/>
    <col min="12880" max="12903" width="9.1640625" style="29"/>
    <col min="12904" max="12904" width="48.5" style="29" bestFit="1" customWidth="1"/>
    <col min="12905" max="12910" width="9.1640625" style="29"/>
    <col min="12911" max="12911" width="18" style="29" bestFit="1" customWidth="1"/>
    <col min="12912" max="12913" width="14.5" style="29" bestFit="1" customWidth="1"/>
    <col min="12914" max="13059" width="9.1640625" style="29"/>
    <col min="13060" max="13060" width="5.5" style="29" bestFit="1" customWidth="1"/>
    <col min="13061" max="13063" width="30.6640625" style="29" customWidth="1"/>
    <col min="13064" max="13064" width="13.5" style="29" bestFit="1" customWidth="1"/>
    <col min="13065" max="13065" width="9.1640625" style="29"/>
    <col min="13066" max="13066" width="13" style="29" bestFit="1" customWidth="1"/>
    <col min="13067" max="13067" width="10.5" style="29" bestFit="1" customWidth="1"/>
    <col min="13068" max="13073" width="9.1640625" style="29"/>
    <col min="13074" max="13074" width="16.1640625" style="29" bestFit="1" customWidth="1"/>
    <col min="13075" max="13076" width="9.1640625" style="29"/>
    <col min="13077" max="13077" width="38.33203125" style="29" bestFit="1" customWidth="1"/>
    <col min="13078" max="13081" width="9.1640625" style="29"/>
    <col min="13082" max="13082" width="11" style="29" bestFit="1" customWidth="1"/>
    <col min="13083" max="13083" width="9.1640625" style="29"/>
    <col min="13084" max="13084" width="13.5" style="29" customWidth="1"/>
    <col min="13085" max="13104" width="9.1640625" style="29"/>
    <col min="13105" max="13105" width="17.6640625" style="29" bestFit="1" customWidth="1"/>
    <col min="13106" max="13113" width="9.1640625" style="29"/>
    <col min="13114" max="13114" width="11.1640625" style="29" customWidth="1"/>
    <col min="13115" max="13134" width="9.1640625" style="29"/>
    <col min="13135" max="13135" width="13.5" style="29" bestFit="1" customWidth="1"/>
    <col min="13136" max="13159" width="9.1640625" style="29"/>
    <col min="13160" max="13160" width="48.5" style="29" bestFit="1" customWidth="1"/>
    <col min="13161" max="13166" width="9.1640625" style="29"/>
    <col min="13167" max="13167" width="18" style="29" bestFit="1" customWidth="1"/>
    <col min="13168" max="13169" width="14.5" style="29" bestFit="1" customWidth="1"/>
    <col min="13170" max="13315" width="9.1640625" style="29"/>
    <col min="13316" max="13316" width="5.5" style="29" bestFit="1" customWidth="1"/>
    <col min="13317" max="13319" width="30.6640625" style="29" customWidth="1"/>
    <col min="13320" max="13320" width="13.5" style="29" bestFit="1" customWidth="1"/>
    <col min="13321" max="13321" width="9.1640625" style="29"/>
    <col min="13322" max="13322" width="13" style="29" bestFit="1" customWidth="1"/>
    <col min="13323" max="13323" width="10.5" style="29" bestFit="1" customWidth="1"/>
    <col min="13324" max="13329" width="9.1640625" style="29"/>
    <col min="13330" max="13330" width="16.1640625" style="29" bestFit="1" customWidth="1"/>
    <col min="13331" max="13332" width="9.1640625" style="29"/>
    <col min="13333" max="13333" width="38.33203125" style="29" bestFit="1" customWidth="1"/>
    <col min="13334" max="13337" width="9.1640625" style="29"/>
    <col min="13338" max="13338" width="11" style="29" bestFit="1" customWidth="1"/>
    <col min="13339" max="13339" width="9.1640625" style="29"/>
    <col min="13340" max="13340" width="13.5" style="29" customWidth="1"/>
    <col min="13341" max="13360" width="9.1640625" style="29"/>
    <col min="13361" max="13361" width="17.6640625" style="29" bestFit="1" customWidth="1"/>
    <col min="13362" max="13369" width="9.1640625" style="29"/>
    <col min="13370" max="13370" width="11.1640625" style="29" customWidth="1"/>
    <col min="13371" max="13390" width="9.1640625" style="29"/>
    <col min="13391" max="13391" width="13.5" style="29" bestFit="1" customWidth="1"/>
    <col min="13392" max="13415" width="9.1640625" style="29"/>
    <col min="13416" max="13416" width="48.5" style="29" bestFit="1" customWidth="1"/>
    <col min="13417" max="13422" width="9.1640625" style="29"/>
    <col min="13423" max="13423" width="18" style="29" bestFit="1" customWidth="1"/>
    <col min="13424" max="13425" width="14.5" style="29" bestFit="1" customWidth="1"/>
    <col min="13426" max="13571" width="9.1640625" style="29"/>
    <col min="13572" max="13572" width="5.5" style="29" bestFit="1" customWidth="1"/>
    <col min="13573" max="13575" width="30.6640625" style="29" customWidth="1"/>
    <col min="13576" max="13576" width="13.5" style="29" bestFit="1" customWidth="1"/>
    <col min="13577" max="13577" width="9.1640625" style="29"/>
    <col min="13578" max="13578" width="13" style="29" bestFit="1" customWidth="1"/>
    <col min="13579" max="13579" width="10.5" style="29" bestFit="1" customWidth="1"/>
    <col min="13580" max="13585" width="9.1640625" style="29"/>
    <col min="13586" max="13586" width="16.1640625" style="29" bestFit="1" customWidth="1"/>
    <col min="13587" max="13588" width="9.1640625" style="29"/>
    <col min="13589" max="13589" width="38.33203125" style="29" bestFit="1" customWidth="1"/>
    <col min="13590" max="13593" width="9.1640625" style="29"/>
    <col min="13594" max="13594" width="11" style="29" bestFit="1" customWidth="1"/>
    <col min="13595" max="13595" width="9.1640625" style="29"/>
    <col min="13596" max="13596" width="13.5" style="29" customWidth="1"/>
    <col min="13597" max="13616" width="9.1640625" style="29"/>
    <col min="13617" max="13617" width="17.6640625" style="29" bestFit="1" customWidth="1"/>
    <col min="13618" max="13625" width="9.1640625" style="29"/>
    <col min="13626" max="13626" width="11.1640625" style="29" customWidth="1"/>
    <col min="13627" max="13646" width="9.1640625" style="29"/>
    <col min="13647" max="13647" width="13.5" style="29" bestFit="1" customWidth="1"/>
    <col min="13648" max="13671" width="9.1640625" style="29"/>
    <col min="13672" max="13672" width="48.5" style="29" bestFit="1" customWidth="1"/>
    <col min="13673" max="13678" width="9.1640625" style="29"/>
    <col min="13679" max="13679" width="18" style="29" bestFit="1" customWidth="1"/>
    <col min="13680" max="13681" width="14.5" style="29" bestFit="1" customWidth="1"/>
    <col min="13682" max="13827" width="9.1640625" style="29"/>
    <col min="13828" max="13828" width="5.5" style="29" bestFit="1" customWidth="1"/>
    <col min="13829" max="13831" width="30.6640625" style="29" customWidth="1"/>
    <col min="13832" max="13832" width="13.5" style="29" bestFit="1" customWidth="1"/>
    <col min="13833" max="13833" width="9.1640625" style="29"/>
    <col min="13834" max="13834" width="13" style="29" bestFit="1" customWidth="1"/>
    <col min="13835" max="13835" width="10.5" style="29" bestFit="1" customWidth="1"/>
    <col min="13836" max="13841" width="9.1640625" style="29"/>
    <col min="13842" max="13842" width="16.1640625" style="29" bestFit="1" customWidth="1"/>
    <col min="13843" max="13844" width="9.1640625" style="29"/>
    <col min="13845" max="13845" width="38.33203125" style="29" bestFit="1" customWidth="1"/>
    <col min="13846" max="13849" width="9.1640625" style="29"/>
    <col min="13850" max="13850" width="11" style="29" bestFit="1" customWidth="1"/>
    <col min="13851" max="13851" width="9.1640625" style="29"/>
    <col min="13852" max="13852" width="13.5" style="29" customWidth="1"/>
    <col min="13853" max="13872" width="9.1640625" style="29"/>
    <col min="13873" max="13873" width="17.6640625" style="29" bestFit="1" customWidth="1"/>
    <col min="13874" max="13881" width="9.1640625" style="29"/>
    <col min="13882" max="13882" width="11.1640625" style="29" customWidth="1"/>
    <col min="13883" max="13902" width="9.1640625" style="29"/>
    <col min="13903" max="13903" width="13.5" style="29" bestFit="1" customWidth="1"/>
    <col min="13904" max="13927" width="9.1640625" style="29"/>
    <col min="13928" max="13928" width="48.5" style="29" bestFit="1" customWidth="1"/>
    <col min="13929" max="13934" width="9.1640625" style="29"/>
    <col min="13935" max="13935" width="18" style="29" bestFit="1" customWidth="1"/>
    <col min="13936" max="13937" width="14.5" style="29" bestFit="1" customWidth="1"/>
    <col min="13938" max="14083" width="9.1640625" style="29"/>
    <col min="14084" max="14084" width="5.5" style="29" bestFit="1" customWidth="1"/>
    <col min="14085" max="14087" width="30.6640625" style="29" customWidth="1"/>
    <col min="14088" max="14088" width="13.5" style="29" bestFit="1" customWidth="1"/>
    <col min="14089" max="14089" width="9.1640625" style="29"/>
    <col min="14090" max="14090" width="13" style="29" bestFit="1" customWidth="1"/>
    <col min="14091" max="14091" width="10.5" style="29" bestFit="1" customWidth="1"/>
    <col min="14092" max="14097" width="9.1640625" style="29"/>
    <col min="14098" max="14098" width="16.1640625" style="29" bestFit="1" customWidth="1"/>
    <col min="14099" max="14100" width="9.1640625" style="29"/>
    <col min="14101" max="14101" width="38.33203125" style="29" bestFit="1" customWidth="1"/>
    <col min="14102" max="14105" width="9.1640625" style="29"/>
    <col min="14106" max="14106" width="11" style="29" bestFit="1" customWidth="1"/>
    <col min="14107" max="14107" width="9.1640625" style="29"/>
    <col min="14108" max="14108" width="13.5" style="29" customWidth="1"/>
    <col min="14109" max="14128" width="9.1640625" style="29"/>
    <col min="14129" max="14129" width="17.6640625" style="29" bestFit="1" customWidth="1"/>
    <col min="14130" max="14137" width="9.1640625" style="29"/>
    <col min="14138" max="14138" width="11.1640625" style="29" customWidth="1"/>
    <col min="14139" max="14158" width="9.1640625" style="29"/>
    <col min="14159" max="14159" width="13.5" style="29" bestFit="1" customWidth="1"/>
    <col min="14160" max="14183" width="9.1640625" style="29"/>
    <col min="14184" max="14184" width="48.5" style="29" bestFit="1" customWidth="1"/>
    <col min="14185" max="14190" width="9.1640625" style="29"/>
    <col min="14191" max="14191" width="18" style="29" bestFit="1" customWidth="1"/>
    <col min="14192" max="14193" width="14.5" style="29" bestFit="1" customWidth="1"/>
    <col min="14194" max="14339" width="9.1640625" style="29"/>
    <col min="14340" max="14340" width="5.5" style="29" bestFit="1" customWidth="1"/>
    <col min="14341" max="14343" width="30.6640625" style="29" customWidth="1"/>
    <col min="14344" max="14344" width="13.5" style="29" bestFit="1" customWidth="1"/>
    <col min="14345" max="14345" width="9.1640625" style="29"/>
    <col min="14346" max="14346" width="13" style="29" bestFit="1" customWidth="1"/>
    <col min="14347" max="14347" width="10.5" style="29" bestFit="1" customWidth="1"/>
    <col min="14348" max="14353" width="9.1640625" style="29"/>
    <col min="14354" max="14354" width="16.1640625" style="29" bestFit="1" customWidth="1"/>
    <col min="14355" max="14356" width="9.1640625" style="29"/>
    <col min="14357" max="14357" width="38.33203125" style="29" bestFit="1" customWidth="1"/>
    <col min="14358" max="14361" width="9.1640625" style="29"/>
    <col min="14362" max="14362" width="11" style="29" bestFit="1" customWidth="1"/>
    <col min="14363" max="14363" width="9.1640625" style="29"/>
    <col min="14364" max="14364" width="13.5" style="29" customWidth="1"/>
    <col min="14365" max="14384" width="9.1640625" style="29"/>
    <col min="14385" max="14385" width="17.6640625" style="29" bestFit="1" customWidth="1"/>
    <col min="14386" max="14393" width="9.1640625" style="29"/>
    <col min="14394" max="14394" width="11.1640625" style="29" customWidth="1"/>
    <col min="14395" max="14414" width="9.1640625" style="29"/>
    <col min="14415" max="14415" width="13.5" style="29" bestFit="1" customWidth="1"/>
    <col min="14416" max="14439" width="9.1640625" style="29"/>
    <col min="14440" max="14440" width="48.5" style="29" bestFit="1" customWidth="1"/>
    <col min="14441" max="14446" width="9.1640625" style="29"/>
    <col min="14447" max="14447" width="18" style="29" bestFit="1" customWidth="1"/>
    <col min="14448" max="14449" width="14.5" style="29" bestFit="1" customWidth="1"/>
    <col min="14450" max="14595" width="9.1640625" style="29"/>
    <col min="14596" max="14596" width="5.5" style="29" bestFit="1" customWidth="1"/>
    <col min="14597" max="14599" width="30.6640625" style="29" customWidth="1"/>
    <col min="14600" max="14600" width="13.5" style="29" bestFit="1" customWidth="1"/>
    <col min="14601" max="14601" width="9.1640625" style="29"/>
    <col min="14602" max="14602" width="13" style="29" bestFit="1" customWidth="1"/>
    <col min="14603" max="14603" width="10.5" style="29" bestFit="1" customWidth="1"/>
    <col min="14604" max="14609" width="9.1640625" style="29"/>
    <col min="14610" max="14610" width="16.1640625" style="29" bestFit="1" customWidth="1"/>
    <col min="14611" max="14612" width="9.1640625" style="29"/>
    <col min="14613" max="14613" width="38.33203125" style="29" bestFit="1" customWidth="1"/>
    <col min="14614" max="14617" width="9.1640625" style="29"/>
    <col min="14618" max="14618" width="11" style="29" bestFit="1" customWidth="1"/>
    <col min="14619" max="14619" width="9.1640625" style="29"/>
    <col min="14620" max="14620" width="13.5" style="29" customWidth="1"/>
    <col min="14621" max="14640" width="9.1640625" style="29"/>
    <col min="14641" max="14641" width="17.6640625" style="29" bestFit="1" customWidth="1"/>
    <col min="14642" max="14649" width="9.1640625" style="29"/>
    <col min="14650" max="14650" width="11.1640625" style="29" customWidth="1"/>
    <col min="14651" max="14670" width="9.1640625" style="29"/>
    <col min="14671" max="14671" width="13.5" style="29" bestFit="1" customWidth="1"/>
    <col min="14672" max="14695" width="9.1640625" style="29"/>
    <col min="14696" max="14696" width="48.5" style="29" bestFit="1" customWidth="1"/>
    <col min="14697" max="14702" width="9.1640625" style="29"/>
    <col min="14703" max="14703" width="18" style="29" bestFit="1" customWidth="1"/>
    <col min="14704" max="14705" width="14.5" style="29" bestFit="1" customWidth="1"/>
    <col min="14706" max="14851" width="9.1640625" style="29"/>
    <col min="14852" max="14852" width="5.5" style="29" bestFit="1" customWidth="1"/>
    <col min="14853" max="14855" width="30.6640625" style="29" customWidth="1"/>
    <col min="14856" max="14856" width="13.5" style="29" bestFit="1" customWidth="1"/>
    <col min="14857" max="14857" width="9.1640625" style="29"/>
    <col min="14858" max="14858" width="13" style="29" bestFit="1" customWidth="1"/>
    <col min="14859" max="14859" width="10.5" style="29" bestFit="1" customWidth="1"/>
    <col min="14860" max="14865" width="9.1640625" style="29"/>
    <col min="14866" max="14866" width="16.1640625" style="29" bestFit="1" customWidth="1"/>
    <col min="14867" max="14868" width="9.1640625" style="29"/>
    <col min="14869" max="14869" width="38.33203125" style="29" bestFit="1" customWidth="1"/>
    <col min="14870" max="14873" width="9.1640625" style="29"/>
    <col min="14874" max="14874" width="11" style="29" bestFit="1" customWidth="1"/>
    <col min="14875" max="14875" width="9.1640625" style="29"/>
    <col min="14876" max="14876" width="13.5" style="29" customWidth="1"/>
    <col min="14877" max="14896" width="9.1640625" style="29"/>
    <col min="14897" max="14897" width="17.6640625" style="29" bestFit="1" customWidth="1"/>
    <col min="14898" max="14905" width="9.1640625" style="29"/>
    <col min="14906" max="14906" width="11.1640625" style="29" customWidth="1"/>
    <col min="14907" max="14926" width="9.1640625" style="29"/>
    <col min="14927" max="14927" width="13.5" style="29" bestFit="1" customWidth="1"/>
    <col min="14928" max="14951" width="9.1640625" style="29"/>
    <col min="14952" max="14952" width="48.5" style="29" bestFit="1" customWidth="1"/>
    <col min="14953" max="14958" width="9.1640625" style="29"/>
    <col min="14959" max="14959" width="18" style="29" bestFit="1" customWidth="1"/>
    <col min="14960" max="14961" width="14.5" style="29" bestFit="1" customWidth="1"/>
    <col min="14962" max="15107" width="9.1640625" style="29"/>
    <col min="15108" max="15108" width="5.5" style="29" bestFit="1" customWidth="1"/>
    <col min="15109" max="15111" width="30.6640625" style="29" customWidth="1"/>
    <col min="15112" max="15112" width="13.5" style="29" bestFit="1" customWidth="1"/>
    <col min="15113" max="15113" width="9.1640625" style="29"/>
    <col min="15114" max="15114" width="13" style="29" bestFit="1" customWidth="1"/>
    <col min="15115" max="15115" width="10.5" style="29" bestFit="1" customWidth="1"/>
    <col min="15116" max="15121" width="9.1640625" style="29"/>
    <col min="15122" max="15122" width="16.1640625" style="29" bestFit="1" customWidth="1"/>
    <col min="15123" max="15124" width="9.1640625" style="29"/>
    <col min="15125" max="15125" width="38.33203125" style="29" bestFit="1" customWidth="1"/>
    <col min="15126" max="15129" width="9.1640625" style="29"/>
    <col min="15130" max="15130" width="11" style="29" bestFit="1" customWidth="1"/>
    <col min="15131" max="15131" width="9.1640625" style="29"/>
    <col min="15132" max="15132" width="13.5" style="29" customWidth="1"/>
    <col min="15133" max="15152" width="9.1640625" style="29"/>
    <col min="15153" max="15153" width="17.6640625" style="29" bestFit="1" customWidth="1"/>
    <col min="15154" max="15161" width="9.1640625" style="29"/>
    <col min="15162" max="15162" width="11.1640625" style="29" customWidth="1"/>
    <col min="15163" max="15182" width="9.1640625" style="29"/>
    <col min="15183" max="15183" width="13.5" style="29" bestFit="1" customWidth="1"/>
    <col min="15184" max="15207" width="9.1640625" style="29"/>
    <col min="15208" max="15208" width="48.5" style="29" bestFit="1" customWidth="1"/>
    <col min="15209" max="15214" width="9.1640625" style="29"/>
    <col min="15215" max="15215" width="18" style="29" bestFit="1" customWidth="1"/>
    <col min="15216" max="15217" width="14.5" style="29" bestFit="1" customWidth="1"/>
    <col min="15218" max="15363" width="9.1640625" style="29"/>
    <col min="15364" max="15364" width="5.5" style="29" bestFit="1" customWidth="1"/>
    <col min="15365" max="15367" width="30.6640625" style="29" customWidth="1"/>
    <col min="15368" max="15368" width="13.5" style="29" bestFit="1" customWidth="1"/>
    <col min="15369" max="15369" width="9.1640625" style="29"/>
    <col min="15370" max="15370" width="13" style="29" bestFit="1" customWidth="1"/>
    <col min="15371" max="15371" width="10.5" style="29" bestFit="1" customWidth="1"/>
    <col min="15372" max="15377" width="9.1640625" style="29"/>
    <col min="15378" max="15378" width="16.1640625" style="29" bestFit="1" customWidth="1"/>
    <col min="15379" max="15380" width="9.1640625" style="29"/>
    <col min="15381" max="15381" width="38.33203125" style="29" bestFit="1" customWidth="1"/>
    <col min="15382" max="15385" width="9.1640625" style="29"/>
    <col min="15386" max="15386" width="11" style="29" bestFit="1" customWidth="1"/>
    <col min="15387" max="15387" width="9.1640625" style="29"/>
    <col min="15388" max="15388" width="13.5" style="29" customWidth="1"/>
    <col min="15389" max="15408" width="9.1640625" style="29"/>
    <col min="15409" max="15409" width="17.6640625" style="29" bestFit="1" customWidth="1"/>
    <col min="15410" max="15417" width="9.1640625" style="29"/>
    <col min="15418" max="15418" width="11.1640625" style="29" customWidth="1"/>
    <col min="15419" max="15438" width="9.1640625" style="29"/>
    <col min="15439" max="15439" width="13.5" style="29" bestFit="1" customWidth="1"/>
    <col min="15440" max="15463" width="9.1640625" style="29"/>
    <col min="15464" max="15464" width="48.5" style="29" bestFit="1" customWidth="1"/>
    <col min="15465" max="15470" width="9.1640625" style="29"/>
    <col min="15471" max="15471" width="18" style="29" bestFit="1" customWidth="1"/>
    <col min="15472" max="15473" width="14.5" style="29" bestFit="1" customWidth="1"/>
    <col min="15474" max="15619" width="9.1640625" style="29"/>
    <col min="15620" max="15620" width="5.5" style="29" bestFit="1" customWidth="1"/>
    <col min="15621" max="15623" width="30.6640625" style="29" customWidth="1"/>
    <col min="15624" max="15624" width="13.5" style="29" bestFit="1" customWidth="1"/>
    <col min="15625" max="15625" width="9.1640625" style="29"/>
    <col min="15626" max="15626" width="13" style="29" bestFit="1" customWidth="1"/>
    <col min="15627" max="15627" width="10.5" style="29" bestFit="1" customWidth="1"/>
    <col min="15628" max="15633" width="9.1640625" style="29"/>
    <col min="15634" max="15634" width="16.1640625" style="29" bestFit="1" customWidth="1"/>
    <col min="15635" max="15636" width="9.1640625" style="29"/>
    <col min="15637" max="15637" width="38.33203125" style="29" bestFit="1" customWidth="1"/>
    <col min="15638" max="15641" width="9.1640625" style="29"/>
    <col min="15642" max="15642" width="11" style="29" bestFit="1" customWidth="1"/>
    <col min="15643" max="15643" width="9.1640625" style="29"/>
    <col min="15644" max="15644" width="13.5" style="29" customWidth="1"/>
    <col min="15645" max="15664" width="9.1640625" style="29"/>
    <col min="15665" max="15665" width="17.6640625" style="29" bestFit="1" customWidth="1"/>
    <col min="15666" max="15673" width="9.1640625" style="29"/>
    <col min="15674" max="15674" width="11.1640625" style="29" customWidth="1"/>
    <col min="15675" max="15694" width="9.1640625" style="29"/>
    <col min="15695" max="15695" width="13.5" style="29" bestFit="1" customWidth="1"/>
    <col min="15696" max="15719" width="9.1640625" style="29"/>
    <col min="15720" max="15720" width="48.5" style="29" bestFit="1" customWidth="1"/>
    <col min="15721" max="15726" width="9.1640625" style="29"/>
    <col min="15727" max="15727" width="18" style="29" bestFit="1" customWidth="1"/>
    <col min="15728" max="15729" width="14.5" style="29" bestFit="1" customWidth="1"/>
    <col min="15730" max="15875" width="9.1640625" style="29"/>
    <col min="15876" max="15876" width="5.5" style="29" bestFit="1" customWidth="1"/>
    <col min="15877" max="15879" width="30.6640625" style="29" customWidth="1"/>
    <col min="15880" max="15880" width="13.5" style="29" bestFit="1" customWidth="1"/>
    <col min="15881" max="15881" width="9.1640625" style="29"/>
    <col min="15882" max="15882" width="13" style="29" bestFit="1" customWidth="1"/>
    <col min="15883" max="15883" width="10.5" style="29" bestFit="1" customWidth="1"/>
    <col min="15884" max="15889" width="9.1640625" style="29"/>
    <col min="15890" max="15890" width="16.1640625" style="29" bestFit="1" customWidth="1"/>
    <col min="15891" max="15892" width="9.1640625" style="29"/>
    <col min="15893" max="15893" width="38.33203125" style="29" bestFit="1" customWidth="1"/>
    <col min="15894" max="15897" width="9.1640625" style="29"/>
    <col min="15898" max="15898" width="11" style="29" bestFit="1" customWidth="1"/>
    <col min="15899" max="15899" width="9.1640625" style="29"/>
    <col min="15900" max="15900" width="13.5" style="29" customWidth="1"/>
    <col min="15901" max="15920" width="9.1640625" style="29"/>
    <col min="15921" max="15921" width="17.6640625" style="29" bestFit="1" customWidth="1"/>
    <col min="15922" max="15929" width="9.1640625" style="29"/>
    <col min="15930" max="15930" width="11.1640625" style="29" customWidth="1"/>
    <col min="15931" max="15950" width="9.1640625" style="29"/>
    <col min="15951" max="15951" width="13.5" style="29" bestFit="1" customWidth="1"/>
    <col min="15952" max="15975" width="9.1640625" style="29"/>
    <col min="15976" max="15976" width="48.5" style="29" bestFit="1" customWidth="1"/>
    <col min="15977" max="15982" width="9.1640625" style="29"/>
    <col min="15983" max="15983" width="18" style="29" bestFit="1" customWidth="1"/>
    <col min="15984" max="15985" width="14.5" style="29" bestFit="1" customWidth="1"/>
    <col min="15986" max="16131" width="9.1640625" style="29"/>
    <col min="16132" max="16132" width="5.5" style="29" bestFit="1" customWidth="1"/>
    <col min="16133" max="16135" width="30.6640625" style="29" customWidth="1"/>
    <col min="16136" max="16136" width="13.5" style="29" bestFit="1" customWidth="1"/>
    <col min="16137" max="16137" width="9.1640625" style="29"/>
    <col min="16138" max="16138" width="13" style="29" bestFit="1" customWidth="1"/>
    <col min="16139" max="16139" width="10.5" style="29" bestFit="1" customWidth="1"/>
    <col min="16140" max="16145" width="9.1640625" style="29"/>
    <col min="16146" max="16146" width="16.1640625" style="29" bestFit="1" customWidth="1"/>
    <col min="16147" max="16148" width="9.1640625" style="29"/>
    <col min="16149" max="16149" width="38.33203125" style="29" bestFit="1" customWidth="1"/>
    <col min="16150" max="16153" width="9.1640625" style="29"/>
    <col min="16154" max="16154" width="11" style="29" bestFit="1" customWidth="1"/>
    <col min="16155" max="16155" width="9.1640625" style="29"/>
    <col min="16156" max="16156" width="13.5" style="29" customWidth="1"/>
    <col min="16157" max="16176" width="9.1640625" style="29"/>
    <col min="16177" max="16177" width="17.6640625" style="29" bestFit="1" customWidth="1"/>
    <col min="16178" max="16185" width="9.1640625" style="29"/>
    <col min="16186" max="16186" width="11.1640625" style="29" customWidth="1"/>
    <col min="16187" max="16206" width="9.1640625" style="29"/>
    <col min="16207" max="16207" width="13.5" style="29" bestFit="1" customWidth="1"/>
    <col min="16208" max="16231" width="9.1640625" style="29"/>
    <col min="16232" max="16232" width="48.5" style="29" bestFit="1" customWidth="1"/>
    <col min="16233" max="16238" width="9.1640625" style="29"/>
    <col min="16239" max="16239" width="18" style="29" bestFit="1" customWidth="1"/>
    <col min="16240" max="16241" width="14.5" style="29" bestFit="1" customWidth="1"/>
    <col min="16242" max="16384" width="9.1640625" style="29"/>
  </cols>
  <sheetData>
    <row r="1" spans="1:154" ht="15" x14ac:dyDescent="0.2">
      <c r="A1" s="29" t="s">
        <v>434</v>
      </c>
      <c r="B1" s="29" t="s">
        <v>419</v>
      </c>
      <c r="C1" s="29" t="s">
        <v>435</v>
      </c>
      <c r="D1" s="29" t="s">
        <v>436</v>
      </c>
      <c r="E1" s="29" t="s">
        <v>437</v>
      </c>
      <c r="F1" s="29" t="s">
        <v>438</v>
      </c>
      <c r="G1" s="29" t="s">
        <v>439</v>
      </c>
      <c r="H1" s="61" t="s">
        <v>2211</v>
      </c>
      <c r="I1" s="29" t="s">
        <v>440</v>
      </c>
      <c r="J1" s="61" t="s">
        <v>2237</v>
      </c>
      <c r="K1" s="61" t="s">
        <v>2235</v>
      </c>
      <c r="L1" s="67" t="s">
        <v>441</v>
      </c>
      <c r="M1" s="29" t="s">
        <v>442</v>
      </c>
      <c r="N1" s="29" t="s">
        <v>443</v>
      </c>
      <c r="O1" s="29" t="s">
        <v>444</v>
      </c>
      <c r="P1" s="29" t="s">
        <v>445</v>
      </c>
      <c r="Q1" s="67" t="s">
        <v>446</v>
      </c>
      <c r="R1" s="29" t="s">
        <v>447</v>
      </c>
      <c r="S1" s="29" t="s">
        <v>448</v>
      </c>
      <c r="T1" s="29" t="s">
        <v>449</v>
      </c>
      <c r="U1" s="29" t="s">
        <v>420</v>
      </c>
      <c r="V1" s="29" t="s">
        <v>450</v>
      </c>
      <c r="W1" s="29" t="s">
        <v>451</v>
      </c>
      <c r="X1" s="29" t="s">
        <v>452</v>
      </c>
      <c r="Y1" s="29" t="s">
        <v>453</v>
      </c>
      <c r="Z1" s="29" t="s">
        <v>454</v>
      </c>
      <c r="AA1" s="61" t="s">
        <v>455</v>
      </c>
      <c r="AB1" s="29" t="s">
        <v>456</v>
      </c>
      <c r="AC1" s="67" t="s">
        <v>457</v>
      </c>
      <c r="AD1" s="29" t="s">
        <v>458</v>
      </c>
      <c r="AE1" s="29" t="s">
        <v>459</v>
      </c>
      <c r="AF1" s="29" t="s">
        <v>460</v>
      </c>
      <c r="AG1" s="29" t="s">
        <v>461</v>
      </c>
      <c r="AH1" s="29" t="s">
        <v>462</v>
      </c>
      <c r="AI1" s="29" t="s">
        <v>463</v>
      </c>
      <c r="AJ1" s="29" t="s">
        <v>464</v>
      </c>
      <c r="AK1" s="67" t="s">
        <v>465</v>
      </c>
      <c r="AL1" s="29" t="s">
        <v>466</v>
      </c>
      <c r="AM1" s="29" t="s">
        <v>467</v>
      </c>
      <c r="AN1" s="29" t="s">
        <v>468</v>
      </c>
      <c r="AO1" s="29" t="s">
        <v>469</v>
      </c>
      <c r="AP1" s="29" t="s">
        <v>470</v>
      </c>
      <c r="AQ1" t="s">
        <v>2190</v>
      </c>
      <c r="AR1" s="29" t="s">
        <v>2191</v>
      </c>
      <c r="AS1" s="29" t="s">
        <v>2212</v>
      </c>
      <c r="AT1" s="29" t="s">
        <v>2217</v>
      </c>
      <c r="AU1" s="29" t="s">
        <v>2224</v>
      </c>
      <c r="AV1" s="29" t="s">
        <v>471</v>
      </c>
      <c r="AW1" s="29" t="s">
        <v>472</v>
      </c>
      <c r="AX1" s="29" t="s">
        <v>473</v>
      </c>
      <c r="AY1" s="29" t="s">
        <v>474</v>
      </c>
      <c r="AZ1" s="29" t="s">
        <v>475</v>
      </c>
      <c r="BA1" s="29" t="s">
        <v>476</v>
      </c>
      <c r="BB1" s="29" t="s">
        <v>477</v>
      </c>
      <c r="BC1" s="29" t="s">
        <v>478</v>
      </c>
      <c r="BD1" s="29" t="s">
        <v>2213</v>
      </c>
      <c r="BE1" s="29" t="s">
        <v>2214</v>
      </c>
      <c r="BF1" s="29" t="s">
        <v>479</v>
      </c>
      <c r="BG1" s="29" t="s">
        <v>480</v>
      </c>
      <c r="BH1" s="29" t="s">
        <v>481</v>
      </c>
      <c r="BI1" s="29" t="s">
        <v>482</v>
      </c>
      <c r="BJ1" s="29" t="s">
        <v>483</v>
      </c>
      <c r="BK1" s="29" t="s">
        <v>484</v>
      </c>
      <c r="BL1" s="29" t="s">
        <v>485</v>
      </c>
      <c r="BM1" s="29" t="s">
        <v>486</v>
      </c>
      <c r="BN1" s="29" t="s">
        <v>487</v>
      </c>
      <c r="BO1" s="29" t="s">
        <v>488</v>
      </c>
      <c r="BP1" s="29" t="s">
        <v>489</v>
      </c>
      <c r="BQ1" s="29" t="s">
        <v>490</v>
      </c>
      <c r="BR1" s="29" t="s">
        <v>491</v>
      </c>
      <c r="BS1" s="29" t="s">
        <v>492</v>
      </c>
      <c r="BT1" s="29" t="s">
        <v>493</v>
      </c>
      <c r="BU1" s="29" t="s">
        <v>494</v>
      </c>
      <c r="BV1" s="29" t="s">
        <v>495</v>
      </c>
      <c r="BW1" s="29" t="s">
        <v>2215</v>
      </c>
      <c r="BX1" s="29" t="s">
        <v>2222</v>
      </c>
      <c r="BY1" s="29" t="s">
        <v>496</v>
      </c>
      <c r="BZ1" s="29" t="s">
        <v>497</v>
      </c>
      <c r="CA1" s="29" t="s">
        <v>498</v>
      </c>
      <c r="CB1" s="29" t="s">
        <v>499</v>
      </c>
      <c r="CC1" s="29" t="s">
        <v>500</v>
      </c>
      <c r="CD1" s="29" t="s">
        <v>501</v>
      </c>
      <c r="CE1" s="29" t="s">
        <v>502</v>
      </c>
      <c r="CF1" s="29" t="s">
        <v>503</v>
      </c>
      <c r="CG1" s="29" t="s">
        <v>2216</v>
      </c>
      <c r="CH1" s="29" t="s">
        <v>2218</v>
      </c>
      <c r="CI1" s="29" t="s">
        <v>2189</v>
      </c>
      <c r="CJ1" s="29" t="s">
        <v>504</v>
      </c>
      <c r="CK1" s="29" t="s">
        <v>505</v>
      </c>
      <c r="CL1" s="29" t="s">
        <v>506</v>
      </c>
      <c r="CM1" s="29" t="s">
        <v>507</v>
      </c>
      <c r="CN1" s="29" t="s">
        <v>508</v>
      </c>
      <c r="CO1" s="29" t="s">
        <v>509</v>
      </c>
      <c r="CP1" s="29" t="s">
        <v>510</v>
      </c>
      <c r="CQ1" s="29" t="s">
        <v>511</v>
      </c>
      <c r="CR1" s="29" t="s">
        <v>512</v>
      </c>
      <c r="CS1" s="29" t="s">
        <v>513</v>
      </c>
      <c r="CT1" s="29" t="s">
        <v>514</v>
      </c>
      <c r="CU1" s="30" t="s">
        <v>515</v>
      </c>
      <c r="CV1" s="29" t="s">
        <v>516</v>
      </c>
      <c r="CW1" s="29" t="s">
        <v>517</v>
      </c>
      <c r="CX1" s="29" t="s">
        <v>518</v>
      </c>
      <c r="CY1" s="30" t="s">
        <v>519</v>
      </c>
      <c r="CZ1" s="29" t="s">
        <v>520</v>
      </c>
      <c r="DA1" s="29" t="s">
        <v>521</v>
      </c>
      <c r="DB1" s="29" t="s">
        <v>522</v>
      </c>
      <c r="DC1" s="29" t="s">
        <v>523</v>
      </c>
      <c r="DD1" s="29" t="s">
        <v>524</v>
      </c>
      <c r="DE1" s="29" t="s">
        <v>525</v>
      </c>
      <c r="DF1" s="29" t="s">
        <v>526</v>
      </c>
      <c r="DG1" s="29" t="s">
        <v>527</v>
      </c>
      <c r="DH1" s="29" t="s">
        <v>528</v>
      </c>
      <c r="DI1" s="29" t="s">
        <v>529</v>
      </c>
      <c r="DJ1" s="29" t="s">
        <v>530</v>
      </c>
      <c r="DK1" s="29" t="s">
        <v>531</v>
      </c>
      <c r="DL1" s="29" t="s">
        <v>532</v>
      </c>
      <c r="DM1" s="29" t="s">
        <v>533</v>
      </c>
      <c r="DN1" s="29" t="s">
        <v>534</v>
      </c>
      <c r="DO1" s="29" t="s">
        <v>535</v>
      </c>
      <c r="DP1" s="29" t="s">
        <v>536</v>
      </c>
      <c r="DQ1" s="29" t="s">
        <v>537</v>
      </c>
      <c r="DR1" s="29" t="s">
        <v>538</v>
      </c>
      <c r="DS1" s="29" t="s">
        <v>539</v>
      </c>
      <c r="DT1" s="29" t="s">
        <v>540</v>
      </c>
      <c r="DU1" s="29" t="s">
        <v>541</v>
      </c>
      <c r="DV1" s="29" t="s">
        <v>542</v>
      </c>
      <c r="DW1" s="29" t="s">
        <v>543</v>
      </c>
      <c r="DX1" s="29" t="s">
        <v>1536</v>
      </c>
      <c r="DY1" s="29" t="s">
        <v>1537</v>
      </c>
      <c r="DZ1" s="29" t="s">
        <v>1538</v>
      </c>
      <c r="EA1" s="29" t="s">
        <v>1539</v>
      </c>
      <c r="EB1" s="29" t="s">
        <v>1542</v>
      </c>
      <c r="EC1" s="29" t="s">
        <v>1544</v>
      </c>
      <c r="ED1" s="29" t="s">
        <v>1545</v>
      </c>
      <c r="EE1" s="29" t="s">
        <v>2166</v>
      </c>
      <c r="EF1" s="29" t="s">
        <v>2167</v>
      </c>
      <c r="EG1" s="29" t="s">
        <v>2204</v>
      </c>
      <c r="EH1" s="29" t="s">
        <v>2168</v>
      </c>
      <c r="EI1" s="29" t="s">
        <v>2169</v>
      </c>
      <c r="EJ1" s="29" t="s">
        <v>2170</v>
      </c>
      <c r="EK1" s="29" t="s">
        <v>2207</v>
      </c>
      <c r="EL1" s="29" t="s">
        <v>2208</v>
      </c>
      <c r="EM1" s="29" t="s">
        <v>2209</v>
      </c>
      <c r="EN1" s="29" t="s">
        <v>2210</v>
      </c>
      <c r="EO1" s="29" t="s">
        <v>2225</v>
      </c>
      <c r="EP1" s="29" t="s">
        <v>1541</v>
      </c>
      <c r="EQ1" s="29" t="s">
        <v>1540</v>
      </c>
      <c r="ER1" s="29" t="s">
        <v>2226</v>
      </c>
      <c r="ES1" s="30" t="s">
        <v>2227</v>
      </c>
      <c r="ET1" s="30" t="s">
        <v>2228</v>
      </c>
      <c r="EU1" s="30" t="s">
        <v>2229</v>
      </c>
      <c r="EV1" s="30" t="s">
        <v>2231</v>
      </c>
      <c r="EW1" s="30" t="s">
        <v>2230</v>
      </c>
      <c r="EX1" s="30" t="s">
        <v>2232</v>
      </c>
    </row>
    <row r="2" spans="1:154" ht="15" x14ac:dyDescent="0.2">
      <c r="A2" s="57" t="s">
        <v>556</v>
      </c>
      <c r="B2" s="57">
        <v>156</v>
      </c>
      <c r="C2" s="57" t="s">
        <v>173</v>
      </c>
      <c r="D2" s="57" t="s">
        <v>173</v>
      </c>
      <c r="E2" s="57" t="str">
        <f>VLOOKUP(D2,Harvest_2017_Formulae!$C$2:$D$968,2,FALSE)</f>
        <v>HALLU</v>
      </c>
      <c r="F2" s="57" t="s">
        <v>938</v>
      </c>
      <c r="G2" s="57">
        <v>2</v>
      </c>
      <c r="H2" s="61" t="str">
        <f>IF(G2&lt;0.05,"Homefield",IF(G2&lt;0.5,"Midfield","outfield"))</f>
        <v>outfield</v>
      </c>
      <c r="I2" s="57" t="s">
        <v>557</v>
      </c>
      <c r="J2" s="61" t="s">
        <v>2233</v>
      </c>
      <c r="K2" s="61" t="s">
        <v>2233</v>
      </c>
      <c r="L2" s="67">
        <v>1</v>
      </c>
      <c r="M2" s="57">
        <v>20</v>
      </c>
      <c r="N2" s="57">
        <v>5000</v>
      </c>
      <c r="O2" s="57" t="s">
        <v>547</v>
      </c>
      <c r="P2" s="57" t="s">
        <v>559</v>
      </c>
      <c r="Q2" s="67">
        <v>0</v>
      </c>
      <c r="R2" s="57" t="s">
        <v>547</v>
      </c>
      <c r="S2" s="57"/>
      <c r="T2" s="57"/>
      <c r="U2" s="57" t="s">
        <v>547</v>
      </c>
      <c r="V2" s="57"/>
      <c r="W2" s="57" t="s">
        <v>547</v>
      </c>
      <c r="X2" s="57"/>
      <c r="Y2" s="57"/>
      <c r="Z2" s="57" t="s">
        <v>547</v>
      </c>
      <c r="AA2" s="61" t="s">
        <v>548</v>
      </c>
      <c r="AB2" s="57" t="s">
        <v>568</v>
      </c>
      <c r="AC2" s="67">
        <v>1</v>
      </c>
      <c r="AD2" s="57" t="s">
        <v>942</v>
      </c>
      <c r="AE2" s="57">
        <v>3</v>
      </c>
      <c r="AF2" s="57" t="s">
        <v>547</v>
      </c>
      <c r="AG2" s="57" t="s">
        <v>943</v>
      </c>
      <c r="AH2" s="57" t="s">
        <v>546</v>
      </c>
      <c r="AI2" s="57" t="s">
        <v>546</v>
      </c>
      <c r="AJ2" s="57" t="s">
        <v>547</v>
      </c>
      <c r="AK2" s="67">
        <v>0</v>
      </c>
      <c r="AL2" s="57" t="s">
        <v>547</v>
      </c>
      <c r="AM2" s="57"/>
      <c r="AN2" s="57"/>
      <c r="AO2" s="57" t="s">
        <v>547</v>
      </c>
      <c r="AP2" s="57" t="s">
        <v>547</v>
      </c>
      <c r="AQ2" s="4">
        <f>Q2+AK2</f>
        <v>0</v>
      </c>
      <c r="AR2" s="4">
        <f>L2+AC2</f>
        <v>2</v>
      </c>
      <c r="AS2" t="str">
        <f>AQ2&amp;AR2</f>
        <v>02</v>
      </c>
      <c r="AT2" s="49">
        <f>AQ2-AR2</f>
        <v>-2</v>
      </c>
      <c r="AU2">
        <v>-1</v>
      </c>
      <c r="AV2" s="57" t="s">
        <v>548</v>
      </c>
      <c r="AW2" s="57">
        <v>0.25</v>
      </c>
      <c r="AX2" s="57" t="s">
        <v>548</v>
      </c>
      <c r="AY2" s="57">
        <v>3</v>
      </c>
      <c r="AZ2" s="57">
        <v>19</v>
      </c>
      <c r="BA2" s="57" t="s">
        <v>546</v>
      </c>
      <c r="BB2" s="57" t="s">
        <v>547</v>
      </c>
      <c r="BC2" s="57"/>
      <c r="BD2" s="29">
        <f>AW2+AZ2</f>
        <v>19.25</v>
      </c>
      <c r="BE2" s="29">
        <f>BD2+BC2</f>
        <v>19.25</v>
      </c>
      <c r="BF2" s="57" t="s">
        <v>548</v>
      </c>
      <c r="BG2" s="57" t="s">
        <v>546</v>
      </c>
      <c r="BH2" s="57" t="s">
        <v>546</v>
      </c>
      <c r="BI2" s="57" t="s">
        <v>546</v>
      </c>
      <c r="BJ2" s="57" t="s">
        <v>546</v>
      </c>
      <c r="BK2" s="57" t="s">
        <v>546</v>
      </c>
      <c r="BL2" s="57">
        <v>5</v>
      </c>
      <c r="BM2" s="57" t="s">
        <v>549</v>
      </c>
      <c r="BN2" s="57"/>
      <c r="BO2" s="57" t="s">
        <v>547</v>
      </c>
      <c r="BP2" s="57"/>
      <c r="BQ2" s="57" t="s">
        <v>547</v>
      </c>
      <c r="BR2" s="57"/>
      <c r="BS2" s="57" t="s">
        <v>547</v>
      </c>
      <c r="BT2" s="57"/>
      <c r="BU2" s="57" t="s">
        <v>547</v>
      </c>
      <c r="BV2" s="57"/>
      <c r="BW2" s="29">
        <f>(BL2*1)+(BN2*0.1)+(BP2*0.01)+(BR2*0.1)+(BT2*0.3)+(BV2*0.4)</f>
        <v>5</v>
      </c>
      <c r="BX2" s="29" t="s">
        <v>2219</v>
      </c>
      <c r="BY2" s="57">
        <v>1</v>
      </c>
      <c r="BZ2" s="57">
        <v>2</v>
      </c>
      <c r="CA2" s="57">
        <v>5</v>
      </c>
      <c r="CB2" s="57">
        <v>8</v>
      </c>
      <c r="CC2" s="57">
        <v>0</v>
      </c>
      <c r="CD2" s="57">
        <v>0</v>
      </c>
      <c r="CE2" s="57">
        <v>0</v>
      </c>
      <c r="CF2" s="57" t="s">
        <v>547</v>
      </c>
      <c r="CG2" s="29">
        <f>(CC2*15)+(CD2*0.8)+(CE2*0.3)+((AW2+AZ2)*15)</f>
        <v>288.75</v>
      </c>
      <c r="CH2" s="29" t="s">
        <v>2221</v>
      </c>
      <c r="CI2" s="57">
        <f>(BL2*1)+(BN2*0.1)+(BP2*0.01)+(BR2*0.1)+(BT2*0.3)+(BV2*0.4)+(CC2*15)+(CD2*0.8)+(CE2*0.3)+((AW2+AZ2)*15)</f>
        <v>293.75</v>
      </c>
      <c r="CJ2" s="57" t="s">
        <v>546</v>
      </c>
      <c r="CK2" s="57" t="s">
        <v>547</v>
      </c>
      <c r="CL2" s="57" t="s">
        <v>548</v>
      </c>
      <c r="CM2" s="57" t="s">
        <v>550</v>
      </c>
      <c r="CN2" s="57">
        <v>0.25</v>
      </c>
      <c r="CO2" s="57">
        <v>2.75</v>
      </c>
      <c r="CP2" s="57"/>
      <c r="CQ2" s="57" t="s">
        <v>548</v>
      </c>
      <c r="CR2" s="57">
        <v>4</v>
      </c>
      <c r="CS2" s="57">
        <v>30</v>
      </c>
      <c r="CT2" s="57" t="s">
        <v>551</v>
      </c>
      <c r="CU2" s="57">
        <v>1.7999999999999998</v>
      </c>
      <c r="CV2" s="57"/>
      <c r="CW2" s="57">
        <v>999</v>
      </c>
      <c r="CX2" s="57" t="s">
        <v>551</v>
      </c>
      <c r="CY2" s="60"/>
      <c r="CZ2" s="57">
        <v>3</v>
      </c>
      <c r="DA2" s="57">
        <v>5</v>
      </c>
      <c r="DB2" s="57" t="s">
        <v>551</v>
      </c>
      <c r="DC2" s="60">
        <v>0.39999999999999997</v>
      </c>
      <c r="DD2" s="57" t="s">
        <v>546</v>
      </c>
      <c r="DE2" s="57" t="s">
        <v>548</v>
      </c>
      <c r="DF2" s="57" t="s">
        <v>546</v>
      </c>
      <c r="DG2" s="57" t="s">
        <v>546</v>
      </c>
      <c r="DH2" s="57" t="s">
        <v>546</v>
      </c>
      <c r="DI2" s="57">
        <v>1</v>
      </c>
      <c r="DJ2" s="57">
        <v>3</v>
      </c>
      <c r="DK2" s="57" t="s">
        <v>944</v>
      </c>
      <c r="DL2" s="57" t="s">
        <v>945</v>
      </c>
      <c r="DM2" s="57">
        <v>-4.2874345779418945</v>
      </c>
      <c r="DN2" s="57">
        <v>35.901123046875</v>
      </c>
      <c r="DO2" s="57">
        <v>1195.699951171875</v>
      </c>
      <c r="DP2" s="57">
        <v>5</v>
      </c>
      <c r="DQ2" s="57">
        <v>1706031849</v>
      </c>
      <c r="DR2" s="57" t="s">
        <v>946</v>
      </c>
      <c r="DS2" s="58">
        <v>42921.43236111111</v>
      </c>
      <c r="DT2" s="58">
        <v>42913.508750000001</v>
      </c>
      <c r="DU2" s="58">
        <v>42913.51663194444</v>
      </c>
      <c r="DV2" s="59">
        <v>42771</v>
      </c>
      <c r="DW2" s="57"/>
      <c r="DX2" s="60">
        <v>1.8938827838827839</v>
      </c>
      <c r="DY2" s="60">
        <v>2.3175702075702076</v>
      </c>
      <c r="DZ2" s="60">
        <v>3.4260481099656364</v>
      </c>
      <c r="EA2" s="60">
        <v>3.469415807560138</v>
      </c>
      <c r="EB2" s="57"/>
      <c r="EC2" s="57" t="str">
        <f>IF(EQ2&lt;EP2,"FALSEE",1)</f>
        <v>FALSEE</v>
      </c>
      <c r="ED2" s="57"/>
      <c r="EE2" s="57" t="s">
        <v>2171</v>
      </c>
      <c r="EF2" s="57">
        <v>0.85303092002900005</v>
      </c>
      <c r="EG2" s="57" t="str">
        <f>IF(EF2&lt;0.5,"Depression",IF(EF2&lt;2,"Very gentle",IF(EF2&lt;5,"Gentle",IF(EF2&lt;9,"Moderate",IF(EF2&lt;15,"Strong",IF(EF2&lt;30,"Steep",IF(EF2&lt;1,"Very steep")))))))</f>
        <v>Very gentle</v>
      </c>
      <c r="EH2" s="57" t="s">
        <v>2173</v>
      </c>
      <c r="EI2" s="57">
        <v>0.45321798324599999</v>
      </c>
      <c r="EJ2" s="60">
        <v>9.7213468551600002</v>
      </c>
      <c r="EK2" s="60">
        <f>VLOOKUP(D2,[1]SoilData!$G$15:$K$237,5,FALSE)</f>
        <v>413.47643718904555</v>
      </c>
      <c r="EL2" s="60">
        <f>VLOOKUP(D2,[1]SoilData!$G$245:$K$451,5,FALSE)</f>
        <v>255.69995603503682</v>
      </c>
      <c r="EM2" s="60">
        <f>VLOOKUP(D2,[1]SoilData!$G$15:$M$238,7,FALSE)</f>
        <v>1.6579999999999999</v>
      </c>
      <c r="EN2" s="60">
        <f>VLOOKUP(D2,[1]SoilData!$G$245:$M$454,7,FALSE)</f>
        <v>1.621</v>
      </c>
      <c r="EO2" s="60">
        <f>EM2-EN2</f>
        <v>3.6999999999999922E-2</v>
      </c>
      <c r="EP2" s="60">
        <f>AVERAGE(DZ2:EA2)</f>
        <v>3.447731958762887</v>
      </c>
      <c r="EQ2" s="60">
        <f>AVERAGE(DX2:DY2)</f>
        <v>2.1057264957264956</v>
      </c>
      <c r="ER2" s="43">
        <f>EQ2-EP2</f>
        <v>-1.3420054630363913</v>
      </c>
      <c r="ES2" s="64">
        <f>IF(CU2&gt;0.000001,CU2*352,0)</f>
        <v>633.59999999999991</v>
      </c>
      <c r="ET2" s="64">
        <f>IF(DC2&gt;0.0001,DC2*682,0)</f>
        <v>272.79999999999995</v>
      </c>
      <c r="EU2" s="64">
        <f>CY2*795</f>
        <v>0</v>
      </c>
      <c r="EV2" s="64">
        <f>ES2+ET2+EU2</f>
        <v>906.39999999999986</v>
      </c>
      <c r="EW2" s="64">
        <f>IF(AA2="YES",3.5*18.2,0)</f>
        <v>63.699999999999996</v>
      </c>
      <c r="EX2" s="64">
        <f>EV2-EW2</f>
        <v>842.69999999999982</v>
      </c>
    </row>
    <row r="3" spans="1:154" ht="15" x14ac:dyDescent="0.2">
      <c r="A3" s="57" t="s">
        <v>556</v>
      </c>
      <c r="B3" s="57">
        <v>176</v>
      </c>
      <c r="C3" s="57" t="s">
        <v>1409</v>
      </c>
      <c r="D3" s="57" t="s">
        <v>1410</v>
      </c>
      <c r="E3" s="57" t="e">
        <f>VLOOKUP(D3,Harvest_2017_Formulae!$C$2:$D$968,2,FALSE)</f>
        <v>#N/A</v>
      </c>
      <c r="F3" s="57" t="s">
        <v>645</v>
      </c>
      <c r="G3" s="57">
        <v>0</v>
      </c>
      <c r="H3" s="61" t="str">
        <f>IF(G3&lt;0.05,"Homefield",IF(G3&lt;0.5,"Midfield","outfield"))</f>
        <v>Homefield</v>
      </c>
      <c r="I3" s="57" t="s">
        <v>557</v>
      </c>
      <c r="J3" s="61" t="s">
        <v>2233</v>
      </c>
      <c r="K3" s="61" t="s">
        <v>2233</v>
      </c>
      <c r="L3" s="67">
        <v>0</v>
      </c>
      <c r="M3" s="57"/>
      <c r="N3" s="57"/>
      <c r="O3" s="57" t="s">
        <v>547</v>
      </c>
      <c r="P3" s="57"/>
      <c r="Q3" s="67">
        <v>0</v>
      </c>
      <c r="R3" s="57" t="s">
        <v>547</v>
      </c>
      <c r="S3" s="57"/>
      <c r="T3" s="57"/>
      <c r="U3" s="57" t="s">
        <v>547</v>
      </c>
      <c r="V3" s="57"/>
      <c r="W3" s="57" t="s">
        <v>547</v>
      </c>
      <c r="X3" s="57"/>
      <c r="Y3" s="57"/>
      <c r="Z3" s="57" t="s">
        <v>547</v>
      </c>
      <c r="AA3" s="61" t="s">
        <v>548</v>
      </c>
      <c r="AB3" s="57" t="s">
        <v>568</v>
      </c>
      <c r="AC3" s="67">
        <v>1</v>
      </c>
      <c r="AD3" s="57" t="s">
        <v>942</v>
      </c>
      <c r="AE3" s="57">
        <v>3</v>
      </c>
      <c r="AF3" s="57">
        <v>10000</v>
      </c>
      <c r="AG3" s="57" t="s">
        <v>547</v>
      </c>
      <c r="AH3" s="57" t="s">
        <v>546</v>
      </c>
      <c r="AI3" s="57" t="s">
        <v>546</v>
      </c>
      <c r="AJ3" s="57" t="s">
        <v>547</v>
      </c>
      <c r="AK3" s="67">
        <v>0</v>
      </c>
      <c r="AL3" s="57" t="s">
        <v>547</v>
      </c>
      <c r="AM3" s="57"/>
      <c r="AN3" s="57"/>
      <c r="AO3" s="57" t="s">
        <v>547</v>
      </c>
      <c r="AP3" s="57" t="s">
        <v>547</v>
      </c>
      <c r="AQ3" s="4">
        <f>Q3+AK3</f>
        <v>0</v>
      </c>
      <c r="AR3" s="4">
        <f>L3+AC3</f>
        <v>1</v>
      </c>
      <c r="AS3" t="str">
        <f>AQ3&amp;AR3</f>
        <v>01</v>
      </c>
      <c r="AT3" s="49">
        <f>AQ3-AR3</f>
        <v>-1</v>
      </c>
      <c r="AU3">
        <v>0</v>
      </c>
      <c r="AV3" s="57" t="s">
        <v>546</v>
      </c>
      <c r="AW3" s="57"/>
      <c r="AX3" s="57" t="s">
        <v>548</v>
      </c>
      <c r="AY3" s="57">
        <v>1</v>
      </c>
      <c r="AZ3" s="57">
        <v>1</v>
      </c>
      <c r="BA3" s="57" t="s">
        <v>546</v>
      </c>
      <c r="BB3" s="57" t="s">
        <v>547</v>
      </c>
      <c r="BC3" s="57"/>
      <c r="BD3" s="29">
        <f>AW3+AZ3</f>
        <v>1</v>
      </c>
      <c r="BE3" s="29">
        <f>BD3+BC3</f>
        <v>1</v>
      </c>
      <c r="BF3" s="57" t="s">
        <v>548</v>
      </c>
      <c r="BG3" s="57" t="s">
        <v>546</v>
      </c>
      <c r="BH3" s="57" t="s">
        <v>546</v>
      </c>
      <c r="BI3" s="57" t="s">
        <v>546</v>
      </c>
      <c r="BJ3" s="57" t="s">
        <v>546</v>
      </c>
      <c r="BK3" s="57" t="s">
        <v>546</v>
      </c>
      <c r="BL3" s="57">
        <v>1</v>
      </c>
      <c r="BM3" s="57" t="s">
        <v>549</v>
      </c>
      <c r="BN3" s="57"/>
      <c r="BO3" s="57" t="s">
        <v>547</v>
      </c>
      <c r="BP3" s="57"/>
      <c r="BQ3" s="57" t="s">
        <v>547</v>
      </c>
      <c r="BR3" s="57"/>
      <c r="BS3" s="57" t="s">
        <v>547</v>
      </c>
      <c r="BT3" s="57"/>
      <c r="BU3" s="57" t="s">
        <v>547</v>
      </c>
      <c r="BV3" s="57"/>
      <c r="BW3" s="29">
        <f>(BL3*1)+(BN3*0.1)+(BP3*0.01)+(BR3*0.1)+(BT3*0.3)+(BV3*0.4)</f>
        <v>1</v>
      </c>
      <c r="BX3" s="29" t="s">
        <v>2223</v>
      </c>
      <c r="BY3" s="57">
        <v>1</v>
      </c>
      <c r="BZ3" s="57">
        <v>0</v>
      </c>
      <c r="CA3" s="57">
        <v>0</v>
      </c>
      <c r="CB3" s="57">
        <v>1</v>
      </c>
      <c r="CC3" s="57">
        <v>0</v>
      </c>
      <c r="CD3" s="57">
        <v>0</v>
      </c>
      <c r="CE3" s="57">
        <v>0</v>
      </c>
      <c r="CF3" s="57" t="s">
        <v>547</v>
      </c>
      <c r="CG3" s="29">
        <f>(CC3*15)+(CD3*0.8)+(CE3*0.3)+((AW3+AZ3)*15)</f>
        <v>15</v>
      </c>
      <c r="CH3" s="29" t="s">
        <v>2219</v>
      </c>
      <c r="CI3" s="57">
        <f>(BL3*1)+(BN3*0.1)+(BP3*0.01)+(BR3*0.1)+(BT3*0.3)+(BV3*0.4)+(CC3*15)+(CD3*0.8)+(CE3*0.3)+((AW3+AZ3)*15)</f>
        <v>16</v>
      </c>
      <c r="CJ3" s="57" t="s">
        <v>546</v>
      </c>
      <c r="CK3" s="57" t="s">
        <v>547</v>
      </c>
      <c r="CL3" s="57" t="s">
        <v>548</v>
      </c>
      <c r="CM3" s="57" t="s">
        <v>550</v>
      </c>
      <c r="CN3" s="57">
        <v>0.25</v>
      </c>
      <c r="CO3" s="57">
        <v>0.75</v>
      </c>
      <c r="CP3" s="57"/>
      <c r="CQ3" s="57" t="s">
        <v>546</v>
      </c>
      <c r="CR3" s="57">
        <v>1</v>
      </c>
      <c r="CS3" s="57">
        <v>7</v>
      </c>
      <c r="CT3" s="57" t="s">
        <v>551</v>
      </c>
      <c r="CU3" s="57">
        <v>1.6800000000000002</v>
      </c>
      <c r="CV3" s="57"/>
      <c r="CW3" s="57">
        <v>999</v>
      </c>
      <c r="CX3" s="57" t="s">
        <v>551</v>
      </c>
      <c r="CY3" s="60"/>
      <c r="CZ3" s="57">
        <v>1</v>
      </c>
      <c r="DA3" s="57">
        <v>1</v>
      </c>
      <c r="DB3" s="57" t="s">
        <v>551</v>
      </c>
      <c r="DC3" s="60">
        <v>0.24</v>
      </c>
      <c r="DD3" s="57" t="s">
        <v>546</v>
      </c>
      <c r="DE3" s="57" t="s">
        <v>546</v>
      </c>
      <c r="DF3" s="57" t="s">
        <v>548</v>
      </c>
      <c r="DG3" s="57" t="s">
        <v>546</v>
      </c>
      <c r="DH3" s="57" t="s">
        <v>546</v>
      </c>
      <c r="DI3" s="57">
        <v>1</v>
      </c>
      <c r="DJ3" s="57">
        <v>2</v>
      </c>
      <c r="DK3" s="57" t="s">
        <v>1411</v>
      </c>
      <c r="DL3" s="57" t="s">
        <v>1412</v>
      </c>
      <c r="DM3" s="57">
        <v>-4.3102259635925293</v>
      </c>
      <c r="DN3" s="57">
        <v>35.595962524414062</v>
      </c>
      <c r="DO3" s="57">
        <v>1636.0999755859375</v>
      </c>
      <c r="DP3" s="57">
        <v>5</v>
      </c>
      <c r="DQ3" s="57">
        <v>1706031849</v>
      </c>
      <c r="DR3" s="57" t="s">
        <v>1413</v>
      </c>
      <c r="DS3" s="58">
        <v>42926.57576388889</v>
      </c>
      <c r="DT3" s="58">
        <v>42921.438217592593</v>
      </c>
      <c r="DU3" s="58">
        <v>42921.62295138889</v>
      </c>
      <c r="DV3" s="59">
        <v>42749</v>
      </c>
      <c r="DW3" s="57"/>
      <c r="DX3" s="57"/>
      <c r="DY3" s="57"/>
      <c r="DZ3" s="57"/>
      <c r="EA3" s="57"/>
      <c r="EB3" s="57"/>
      <c r="EC3" s="57">
        <f>IF(EQ3&lt;EP3,"FALSEE",1)</f>
        <v>1</v>
      </c>
      <c r="ED3" s="57"/>
      <c r="EE3" s="57" t="s">
        <v>2180</v>
      </c>
      <c r="EF3" s="57">
        <v>5.0538773536699999</v>
      </c>
      <c r="EG3" s="57" t="str">
        <f>IF(EF3&lt;0.5,"Depression",IF(EF3&lt;2,"Very gentle",IF(EF3&lt;5,"Gentle",IF(EF3&lt;9,"Moderate",IF(EF3&lt;15,"Strong",IF(EF3&lt;30,"Steep",IF(EF3&lt;1,"Very steep")))))))</f>
        <v>Moderate</v>
      </c>
      <c r="EH3" s="57" t="s">
        <v>2178</v>
      </c>
      <c r="EI3" s="57">
        <v>0.18129228055499999</v>
      </c>
      <c r="EJ3" s="60">
        <v>7.6397376060499997</v>
      </c>
      <c r="EK3" s="60"/>
      <c r="EL3" s="60"/>
      <c r="EM3" s="60"/>
      <c r="EN3" s="60"/>
      <c r="EO3" s="60"/>
      <c r="EP3" s="60"/>
      <c r="EQ3" s="60"/>
      <c r="ER3" s="43"/>
      <c r="ES3" s="64">
        <f>IF(CU3&gt;0.000001,CU3*352,0)</f>
        <v>591.36</v>
      </c>
      <c r="ET3" s="64">
        <f>IF(DC3&gt;0.0001,DC3*682,0)</f>
        <v>163.68</v>
      </c>
      <c r="EU3" s="64">
        <f>CY3*795</f>
        <v>0</v>
      </c>
      <c r="EV3" s="64">
        <f>ES3+ET3+EU3</f>
        <v>755.04</v>
      </c>
      <c r="EW3" s="64">
        <f>IF(AA3="YES",3.5*18.2,0)</f>
        <v>63.699999999999996</v>
      </c>
      <c r="EX3" s="64">
        <f>EV3-EW3</f>
        <v>691.33999999999992</v>
      </c>
    </row>
    <row r="4" spans="1:154" ht="15" x14ac:dyDescent="0.2">
      <c r="A4" s="57" t="s">
        <v>1182</v>
      </c>
      <c r="B4" s="57">
        <v>93</v>
      </c>
      <c r="C4" s="57" t="s">
        <v>1513</v>
      </c>
      <c r="D4" s="57" t="s">
        <v>1513</v>
      </c>
      <c r="E4" s="57" t="e">
        <f>VLOOKUP(D4,Harvest_2017_Formulae!$C$2:$D$968,2,FALSE)</f>
        <v>#N/A</v>
      </c>
      <c r="F4" s="57" t="s">
        <v>1175</v>
      </c>
      <c r="G4" s="57">
        <v>0</v>
      </c>
      <c r="H4" s="61" t="str">
        <f>IF(G4&lt;0.05,"Homefield",IF(G4&lt;0.5,"Midfield","outfield"))</f>
        <v>Homefield</v>
      </c>
      <c r="I4" s="57" t="s">
        <v>557</v>
      </c>
      <c r="J4" s="61" t="s">
        <v>2233</v>
      </c>
      <c r="K4" s="61" t="s">
        <v>2233</v>
      </c>
      <c r="L4" s="67">
        <v>0</v>
      </c>
      <c r="M4" s="57"/>
      <c r="N4" s="57"/>
      <c r="O4" s="57" t="s">
        <v>547</v>
      </c>
      <c r="P4" s="57"/>
      <c r="Q4" s="67">
        <v>0</v>
      </c>
      <c r="R4" s="57" t="s">
        <v>547</v>
      </c>
      <c r="S4" s="57"/>
      <c r="T4" s="57" t="s">
        <v>559</v>
      </c>
      <c r="U4" s="57" t="s">
        <v>560</v>
      </c>
      <c r="V4" s="57"/>
      <c r="W4" s="57" t="s">
        <v>635</v>
      </c>
      <c r="X4" s="57"/>
      <c r="Y4" s="57"/>
      <c r="Z4" s="57" t="s">
        <v>547</v>
      </c>
      <c r="AA4" s="61" t="s">
        <v>548</v>
      </c>
      <c r="AB4" s="57" t="s">
        <v>568</v>
      </c>
      <c r="AC4" s="67">
        <v>1</v>
      </c>
      <c r="AD4" s="57" t="s">
        <v>615</v>
      </c>
      <c r="AE4" s="57">
        <v>4</v>
      </c>
      <c r="AF4" s="57" t="s">
        <v>547</v>
      </c>
      <c r="AG4" s="57" t="s">
        <v>831</v>
      </c>
      <c r="AH4" s="57" t="s">
        <v>548</v>
      </c>
      <c r="AI4" s="57" t="s">
        <v>546</v>
      </c>
      <c r="AJ4" s="57"/>
      <c r="AK4" s="67">
        <v>0</v>
      </c>
      <c r="AL4" s="57" t="s">
        <v>547</v>
      </c>
      <c r="AM4" s="57"/>
      <c r="AN4" s="57"/>
      <c r="AO4" s="57" t="s">
        <v>547</v>
      </c>
      <c r="AP4" s="57" t="s">
        <v>547</v>
      </c>
      <c r="AQ4" s="4">
        <f>Q4+AK4</f>
        <v>0</v>
      </c>
      <c r="AR4" s="4">
        <f>L4+AC4</f>
        <v>1</v>
      </c>
      <c r="AS4" t="str">
        <f>AQ4&amp;AR4</f>
        <v>01</v>
      </c>
      <c r="AT4" s="49">
        <f>AQ4-AR4</f>
        <v>-1</v>
      </c>
      <c r="AU4">
        <v>0</v>
      </c>
      <c r="AV4" s="57" t="s">
        <v>548</v>
      </c>
      <c r="AW4" s="57">
        <v>5</v>
      </c>
      <c r="AX4" s="57" t="s">
        <v>548</v>
      </c>
      <c r="AY4" s="57">
        <v>1</v>
      </c>
      <c r="AZ4" s="57">
        <v>10</v>
      </c>
      <c r="BA4" s="57" t="s">
        <v>546</v>
      </c>
      <c r="BB4" s="57" t="s">
        <v>547</v>
      </c>
      <c r="BC4" s="57"/>
      <c r="BD4" s="29">
        <f>AW4+AZ4</f>
        <v>15</v>
      </c>
      <c r="BE4" s="29">
        <f>BD4+BC4</f>
        <v>15</v>
      </c>
      <c r="BF4" s="57" t="s">
        <v>548</v>
      </c>
      <c r="BG4" s="57" t="s">
        <v>548</v>
      </c>
      <c r="BH4" s="57" t="s">
        <v>548</v>
      </c>
      <c r="BI4" s="57" t="s">
        <v>548</v>
      </c>
      <c r="BJ4" s="57" t="s">
        <v>546</v>
      </c>
      <c r="BK4" s="57" t="s">
        <v>546</v>
      </c>
      <c r="BL4" s="57">
        <v>5</v>
      </c>
      <c r="BM4" s="57" t="s">
        <v>580</v>
      </c>
      <c r="BN4" s="57">
        <v>6</v>
      </c>
      <c r="BO4" s="57" t="s">
        <v>580</v>
      </c>
      <c r="BP4" s="57">
        <v>6</v>
      </c>
      <c r="BQ4" s="57" t="s">
        <v>580</v>
      </c>
      <c r="BR4" s="57">
        <v>2</v>
      </c>
      <c r="BS4" s="57" t="s">
        <v>580</v>
      </c>
      <c r="BT4" s="57"/>
      <c r="BU4" s="57" t="s">
        <v>547</v>
      </c>
      <c r="BV4" s="57"/>
      <c r="BW4" s="29">
        <f>(BL4*1)+(BN4*0.1)+(BP4*0.01)+(BR4*0.1)+(BT4*0.3)+(BV4*0.4)</f>
        <v>5.8599999999999994</v>
      </c>
      <c r="BX4" s="29" t="s">
        <v>2219</v>
      </c>
      <c r="BY4" s="57">
        <v>1</v>
      </c>
      <c r="BZ4" s="57">
        <v>1</v>
      </c>
      <c r="CA4" s="57">
        <v>4</v>
      </c>
      <c r="CB4" s="57">
        <v>6</v>
      </c>
      <c r="CC4" s="57">
        <v>0</v>
      </c>
      <c r="CD4" s="57">
        <v>1</v>
      </c>
      <c r="CE4" s="57">
        <v>1</v>
      </c>
      <c r="CF4" s="57"/>
      <c r="CG4" s="29">
        <f>(CC4*15)+(CD4*0.8)+(CE4*0.3)+((AW4+AZ4)*15)</f>
        <v>226.1</v>
      </c>
      <c r="CH4" s="29" t="s">
        <v>2221</v>
      </c>
      <c r="CI4" s="57">
        <f>(BL4*1)+(BN4*0.1)+(BP4*0.01)+(BR4*0.1)+(BT4*0.3)+(BV4*0.4)+(CC4*15)+(CD4*0.8)+(CE4*0.3)+((AW4+AZ4)*15)</f>
        <v>231.96</v>
      </c>
      <c r="CJ4" s="57" t="s">
        <v>548</v>
      </c>
      <c r="CK4" s="57" t="s">
        <v>1514</v>
      </c>
      <c r="CL4" s="57" t="s">
        <v>548</v>
      </c>
      <c r="CM4" s="57" t="s">
        <v>550</v>
      </c>
      <c r="CN4" s="57"/>
      <c r="CO4" s="57">
        <v>12</v>
      </c>
      <c r="CP4" s="57"/>
      <c r="CQ4" s="57" t="s">
        <v>546</v>
      </c>
      <c r="CR4" s="57">
        <v>1</v>
      </c>
      <c r="CS4" s="57">
        <v>5.3299999237060547</v>
      </c>
      <c r="CT4" s="57" t="s">
        <v>551</v>
      </c>
      <c r="CU4" s="57">
        <v>1.279199981689453</v>
      </c>
      <c r="CV4" s="57">
        <v>1</v>
      </c>
      <c r="CW4" s="57">
        <v>2</v>
      </c>
      <c r="CX4" s="57" t="s">
        <v>551</v>
      </c>
      <c r="CY4" s="60">
        <v>0.48</v>
      </c>
      <c r="CZ4" s="57">
        <v>1</v>
      </c>
      <c r="DA4" s="57">
        <v>0</v>
      </c>
      <c r="DB4" s="57" t="s">
        <v>551</v>
      </c>
      <c r="DC4" s="60">
        <v>0</v>
      </c>
      <c r="DD4" s="57" t="s">
        <v>546</v>
      </c>
      <c r="DE4" s="57" t="s">
        <v>546</v>
      </c>
      <c r="DF4" s="57" t="s">
        <v>548</v>
      </c>
      <c r="DG4" s="57" t="s">
        <v>548</v>
      </c>
      <c r="DH4" s="57" t="s">
        <v>548</v>
      </c>
      <c r="DI4" s="57">
        <v>3</v>
      </c>
      <c r="DJ4" s="57">
        <v>5</v>
      </c>
      <c r="DK4" s="57" t="s">
        <v>1515</v>
      </c>
      <c r="DL4" s="57" t="s">
        <v>1516</v>
      </c>
      <c r="DM4" s="57">
        <v>-4.3646130561828613</v>
      </c>
      <c r="DN4" s="57">
        <v>35.480541229248047</v>
      </c>
      <c r="DO4" s="57">
        <v>1712.0999755859375</v>
      </c>
      <c r="DP4" s="57">
        <v>10</v>
      </c>
      <c r="DQ4" s="57">
        <v>1705231439</v>
      </c>
      <c r="DR4" s="57" t="s">
        <v>1517</v>
      </c>
      <c r="DS4" s="58">
        <v>42927.345300925925</v>
      </c>
      <c r="DT4" s="58">
        <v>42895.603125000001</v>
      </c>
      <c r="DU4" s="58">
        <v>42923.465231481481</v>
      </c>
      <c r="DV4" s="59">
        <v>42779</v>
      </c>
      <c r="DW4" s="57"/>
      <c r="DX4" s="57"/>
      <c r="DY4" s="57"/>
      <c r="DZ4" s="57"/>
      <c r="EA4" s="57"/>
      <c r="EB4" s="57"/>
      <c r="EC4" s="57">
        <f>IF(EQ4&lt;EP4,"FALSEE",1)</f>
        <v>1</v>
      </c>
      <c r="ED4" s="57"/>
      <c r="EE4" s="57" t="s">
        <v>2171</v>
      </c>
      <c r="EF4" s="57">
        <v>3.3183093070999998</v>
      </c>
      <c r="EG4" s="57" t="str">
        <f>IF(EF4&lt;0.5,"Depression",IF(EF4&lt;2,"Very gentle",IF(EF4&lt;5,"Gentle",IF(EF4&lt;9,"Moderate",IF(EF4&lt;15,"Strong",IF(EF4&lt;30,"Steep",IF(EF4&lt;1,"Very steep")))))))</f>
        <v>Gentle</v>
      </c>
      <c r="EH4" s="57" t="s">
        <v>2173</v>
      </c>
      <c r="EI4" s="57">
        <v>0.36257606744799997</v>
      </c>
      <c r="EJ4" s="60">
        <v>7.5032229423499999</v>
      </c>
      <c r="EK4" s="60"/>
      <c r="EL4" s="60"/>
      <c r="EM4" s="60"/>
      <c r="EN4" s="60"/>
      <c r="EO4" s="60"/>
      <c r="EP4" s="60"/>
      <c r="EQ4" s="60"/>
      <c r="ER4" s="43"/>
      <c r="ES4" s="64">
        <f>IF(CU4&gt;0.000001,CU4*352,0)</f>
        <v>450.27839355468745</v>
      </c>
      <c r="ET4" s="64">
        <f>IF(DC4&gt;0.0001,DC4*682,0)</f>
        <v>0</v>
      </c>
      <c r="EU4" s="64">
        <f>CY4*795</f>
        <v>381.59999999999997</v>
      </c>
      <c r="EV4" s="64">
        <f>ES4+ET4+EU4</f>
        <v>831.87839355468736</v>
      </c>
      <c r="EW4" s="64">
        <f>IF(AA4="YES",3.5*18.2,0)</f>
        <v>63.699999999999996</v>
      </c>
      <c r="EX4" s="64">
        <f>EV4-EW4</f>
        <v>768.17839355468732</v>
      </c>
    </row>
    <row r="5" spans="1:154" ht="15" x14ac:dyDescent="0.2">
      <c r="A5" s="57" t="s">
        <v>789</v>
      </c>
      <c r="B5" s="57">
        <v>48</v>
      </c>
      <c r="C5" s="57" t="s">
        <v>204</v>
      </c>
      <c r="D5" s="57" t="s">
        <v>204</v>
      </c>
      <c r="E5" s="57" t="str">
        <f>VLOOKUP(D5,Harvest_2017_Formulae!$C$2:$D$968,2,FALSE)</f>
        <v>MANDI</v>
      </c>
      <c r="F5" s="57" t="s">
        <v>1014</v>
      </c>
      <c r="G5" s="57">
        <v>1</v>
      </c>
      <c r="H5" s="61" t="str">
        <f>IF(G5&lt;0.05,"Homefield",IF(G5&lt;0.5,"Midfield","outfield"))</f>
        <v>outfield</v>
      </c>
      <c r="I5" s="57" t="s">
        <v>557</v>
      </c>
      <c r="J5" s="61" t="s">
        <v>2233</v>
      </c>
      <c r="K5" s="61" t="s">
        <v>2233</v>
      </c>
      <c r="L5" s="67">
        <v>0</v>
      </c>
      <c r="M5" s="57"/>
      <c r="N5" s="57"/>
      <c r="O5" s="57" t="s">
        <v>547</v>
      </c>
      <c r="P5" s="57"/>
      <c r="Q5" s="67">
        <v>0</v>
      </c>
      <c r="R5" s="57" t="s">
        <v>547</v>
      </c>
      <c r="S5" s="57"/>
      <c r="T5" s="57" t="s">
        <v>559</v>
      </c>
      <c r="U5" s="57" t="s">
        <v>560</v>
      </c>
      <c r="V5" s="57"/>
      <c r="W5" s="65" t="s">
        <v>635</v>
      </c>
      <c r="X5" s="57"/>
      <c r="Y5" s="57"/>
      <c r="Z5" s="57" t="s">
        <v>547</v>
      </c>
      <c r="AA5" s="61" t="s">
        <v>546</v>
      </c>
      <c r="AB5" s="57" t="s">
        <v>547</v>
      </c>
      <c r="AC5" s="67">
        <v>1</v>
      </c>
      <c r="AD5" s="57" t="s">
        <v>615</v>
      </c>
      <c r="AE5" s="57">
        <v>8</v>
      </c>
      <c r="AF5" s="57">
        <v>10000</v>
      </c>
      <c r="AG5" s="57" t="s">
        <v>547</v>
      </c>
      <c r="AH5" s="57" t="s">
        <v>548</v>
      </c>
      <c r="AI5" s="57" t="s">
        <v>546</v>
      </c>
      <c r="AJ5" s="57"/>
      <c r="AK5" s="67">
        <v>0</v>
      </c>
      <c r="AL5" s="57" t="s">
        <v>547</v>
      </c>
      <c r="AM5" s="57"/>
      <c r="AN5" s="57"/>
      <c r="AO5" s="57" t="s">
        <v>547</v>
      </c>
      <c r="AP5" s="57" t="s">
        <v>547</v>
      </c>
      <c r="AQ5" s="4">
        <f>Q5+AK5</f>
        <v>0</v>
      </c>
      <c r="AR5" s="4">
        <f>L5+AC5</f>
        <v>1</v>
      </c>
      <c r="AS5" t="str">
        <f>AQ5&amp;AR5</f>
        <v>01</v>
      </c>
      <c r="AT5" s="49">
        <f>AQ5-AR5</f>
        <v>-1</v>
      </c>
      <c r="AU5">
        <v>0</v>
      </c>
      <c r="AV5" s="57" t="s">
        <v>548</v>
      </c>
      <c r="AW5" s="57">
        <v>3</v>
      </c>
      <c r="AX5" s="57" t="s">
        <v>548</v>
      </c>
      <c r="AY5" s="57">
        <v>2</v>
      </c>
      <c r="AZ5" s="57">
        <v>3.5</v>
      </c>
      <c r="BA5" s="57" t="s">
        <v>546</v>
      </c>
      <c r="BB5" s="57" t="s">
        <v>547</v>
      </c>
      <c r="BC5" s="57"/>
      <c r="BD5" s="29">
        <f>AW5+AZ5</f>
        <v>6.5</v>
      </c>
      <c r="BE5" s="29">
        <f>BD5+BC5</f>
        <v>6.5</v>
      </c>
      <c r="BF5" s="57" t="s">
        <v>548</v>
      </c>
      <c r="BG5" s="57" t="s">
        <v>548</v>
      </c>
      <c r="BH5" s="57" t="s">
        <v>548</v>
      </c>
      <c r="BI5" s="57" t="s">
        <v>548</v>
      </c>
      <c r="BJ5" s="57" t="s">
        <v>546</v>
      </c>
      <c r="BK5" s="57" t="s">
        <v>548</v>
      </c>
      <c r="BL5" s="57">
        <v>16</v>
      </c>
      <c r="BM5" s="57" t="s">
        <v>580</v>
      </c>
      <c r="BN5" s="57">
        <v>5</v>
      </c>
      <c r="BO5" s="57" t="s">
        <v>580</v>
      </c>
      <c r="BP5" s="57">
        <v>20</v>
      </c>
      <c r="BQ5" s="57" t="s">
        <v>580</v>
      </c>
      <c r="BR5" s="57">
        <v>11</v>
      </c>
      <c r="BS5" s="57" t="s">
        <v>580</v>
      </c>
      <c r="BT5" s="57"/>
      <c r="BU5" s="57" t="s">
        <v>547</v>
      </c>
      <c r="BV5" s="57">
        <v>2</v>
      </c>
      <c r="BW5" s="29">
        <f>(BL5*1)+(BN5*0.1)+(BP5*0.01)+(BR5*0.1)+(BT5*0.3)+(BV5*0.4)</f>
        <v>18.600000000000001</v>
      </c>
      <c r="BX5" s="29" t="s">
        <v>2221</v>
      </c>
      <c r="BY5" s="57">
        <v>1</v>
      </c>
      <c r="BZ5" s="57">
        <v>3</v>
      </c>
      <c r="CA5" s="57">
        <v>5</v>
      </c>
      <c r="CB5" s="57">
        <v>9</v>
      </c>
      <c r="CC5" s="57">
        <v>0</v>
      </c>
      <c r="CD5" s="57">
        <v>1</v>
      </c>
      <c r="CE5" s="57">
        <v>1</v>
      </c>
      <c r="CF5" s="57"/>
      <c r="CG5" s="29">
        <f>(CC5*15)+(CD5*0.8)+(CE5*0.3)+((AW5+AZ5)*15)</f>
        <v>98.6</v>
      </c>
      <c r="CH5" s="29" t="s">
        <v>2221</v>
      </c>
      <c r="CI5" s="57">
        <f>(BL5*1)+(BN5*0.1)+(BP5*0.01)+(BR5*0.1)+(BT5*0.3)+(BV5*0.4)+(CC5*15)+(CD5*0.8)+(CE5*0.3)+((AW5+AZ5)*15)</f>
        <v>117.2</v>
      </c>
      <c r="CJ5" s="57" t="s">
        <v>548</v>
      </c>
      <c r="CK5" s="57" t="s">
        <v>1050</v>
      </c>
      <c r="CL5" s="57" t="s">
        <v>548</v>
      </c>
      <c r="CM5" s="57" t="s">
        <v>793</v>
      </c>
      <c r="CN5" s="57">
        <v>0.25</v>
      </c>
      <c r="CO5" s="57">
        <v>5.25</v>
      </c>
      <c r="CP5" s="57">
        <v>0</v>
      </c>
      <c r="CQ5" s="57" t="s">
        <v>548</v>
      </c>
      <c r="CR5" s="57">
        <v>1</v>
      </c>
      <c r="CS5" s="57">
        <v>5</v>
      </c>
      <c r="CT5" s="57" t="s">
        <v>551</v>
      </c>
      <c r="CU5" s="57">
        <v>1.2</v>
      </c>
      <c r="CV5" s="57"/>
      <c r="CW5" s="57">
        <v>999</v>
      </c>
      <c r="CX5" s="57" t="s">
        <v>551</v>
      </c>
      <c r="CY5" s="60"/>
      <c r="CZ5" s="57"/>
      <c r="DA5" s="57">
        <v>999</v>
      </c>
      <c r="DB5" s="57" t="s">
        <v>551</v>
      </c>
      <c r="DC5" s="60"/>
      <c r="DD5" s="57" t="s">
        <v>546</v>
      </c>
      <c r="DE5" s="57" t="s">
        <v>546</v>
      </c>
      <c r="DF5" s="57" t="s">
        <v>546</v>
      </c>
      <c r="DG5" s="57" t="s">
        <v>548</v>
      </c>
      <c r="DH5" s="57" t="s">
        <v>546</v>
      </c>
      <c r="DI5" s="57">
        <v>1</v>
      </c>
      <c r="DJ5" s="57">
        <v>3</v>
      </c>
      <c r="DK5" s="57" t="s">
        <v>1051</v>
      </c>
      <c r="DL5" s="57" t="s">
        <v>1052</v>
      </c>
      <c r="DM5" s="57">
        <v>-4.3407421112060547</v>
      </c>
      <c r="DN5" s="57">
        <v>35.420608520507812</v>
      </c>
      <c r="DO5" s="57">
        <v>1624.800048828125</v>
      </c>
      <c r="DP5" s="57">
        <v>5</v>
      </c>
      <c r="DQ5" s="57">
        <v>1705231439</v>
      </c>
      <c r="DR5" s="57" t="s">
        <v>1053</v>
      </c>
      <c r="DS5" s="58">
        <v>42923.381701388891</v>
      </c>
      <c r="DT5" s="58">
        <v>42907.618796296301</v>
      </c>
      <c r="DU5" s="58">
        <v>42923.379988425921</v>
      </c>
      <c r="DV5" s="59">
        <v>42758</v>
      </c>
      <c r="DW5" s="57"/>
      <c r="DX5" s="60">
        <v>3.6360000000000001</v>
      </c>
      <c r="DY5" s="60">
        <v>3.5686666666666671</v>
      </c>
      <c r="DZ5" s="60">
        <v>3.1148571428571432</v>
      </c>
      <c r="EA5" s="60">
        <v>2.1243148688046647</v>
      </c>
      <c r="EB5" s="57"/>
      <c r="EC5" s="57">
        <f>IF(EQ5&lt;EP5,"FALSEE",1)</f>
        <v>1</v>
      </c>
      <c r="ED5" s="57"/>
      <c r="EE5" s="57" t="s">
        <v>2171</v>
      </c>
      <c r="EF5" s="57">
        <v>2.8647022247299998</v>
      </c>
      <c r="EG5" s="57" t="str">
        <f>IF(EF5&lt;0.5,"Depression",IF(EF5&lt;2,"Very gentle",IF(EF5&lt;5,"Gentle",IF(EF5&lt;9,"Moderate",IF(EF5&lt;15,"Strong",IF(EF5&lt;30,"Steep",IF(EF5&lt;1,"Very steep")))))))</f>
        <v>Gentle</v>
      </c>
      <c r="EH5" s="57" t="s">
        <v>2173</v>
      </c>
      <c r="EI5" s="57">
        <v>-0.27191722393000001</v>
      </c>
      <c r="EJ5" s="60">
        <v>8.7366437912000006</v>
      </c>
      <c r="EK5" s="60">
        <f>VLOOKUP(D5,[1]SoilData!$G$15:$K$237,5,FALSE)</f>
        <v>343.83334765054559</v>
      </c>
      <c r="EL5" s="60">
        <f>VLOOKUP(D5,[1]SoilData!$G$245:$K$451,5,FALSE)</f>
        <v>346.22499157316912</v>
      </c>
      <c r="EM5" s="60">
        <f>VLOOKUP(D5,[1]SoilData!$G$15:$M$238,7,FALSE)</f>
        <v>1.37</v>
      </c>
      <c r="EN5" s="60">
        <f>VLOOKUP(D5,[1]SoilData!$G$245:$M$454,7,FALSE)</f>
        <v>1.7030000000000001</v>
      </c>
      <c r="EO5" s="60">
        <f>EM5-EN5</f>
        <v>-0.33299999999999996</v>
      </c>
      <c r="EP5" s="60">
        <f>AVERAGE(DZ5:EA5)</f>
        <v>2.6195860058309037</v>
      </c>
      <c r="EQ5" s="60">
        <f>AVERAGE(DX5:DY5)</f>
        <v>3.6023333333333336</v>
      </c>
      <c r="ER5" s="43">
        <f>EQ5-EP5</f>
        <v>0.98274732750242988</v>
      </c>
      <c r="ES5" s="64">
        <f>IF(CU5&gt;0.000001,CU5*352,0)</f>
        <v>422.4</v>
      </c>
      <c r="ET5" s="64">
        <f>IF(DC5&gt;0.0001,DC5*682,0)</f>
        <v>0</v>
      </c>
      <c r="EU5" s="64">
        <f>CY5*795</f>
        <v>0</v>
      </c>
      <c r="EV5" s="64">
        <f>ES5+ET5+EU5</f>
        <v>422.4</v>
      </c>
      <c r="EW5" s="64">
        <f>IF(AA5="YES",3.5*18.2,0)</f>
        <v>0</v>
      </c>
      <c r="EX5" s="64">
        <f>EV5-EW5</f>
        <v>422.4</v>
      </c>
    </row>
    <row r="6" spans="1:154" ht="15" x14ac:dyDescent="0.2">
      <c r="A6" s="57" t="s">
        <v>789</v>
      </c>
      <c r="B6" s="57">
        <v>35</v>
      </c>
      <c r="C6" s="57" t="s">
        <v>390</v>
      </c>
      <c r="D6" s="57" t="s">
        <v>390</v>
      </c>
      <c r="E6" s="57" t="str">
        <f>VLOOKUP(D6,Harvest_2017_Formulae!$C$2:$D$968,2,FALSE)</f>
        <v>Sangara</v>
      </c>
      <c r="F6" s="57" t="s">
        <v>1014</v>
      </c>
      <c r="G6" s="57">
        <v>0.20000000298023224</v>
      </c>
      <c r="H6" s="61" t="str">
        <f>IF(G6&lt;0.05,"Homefield",IF(G6&lt;0.5,"Midfield","outfield"))</f>
        <v>Midfield</v>
      </c>
      <c r="I6" s="57" t="s">
        <v>545</v>
      </c>
      <c r="J6" s="61" t="s">
        <v>545</v>
      </c>
      <c r="K6" s="61" t="s">
        <v>2234</v>
      </c>
      <c r="L6" s="67">
        <v>0</v>
      </c>
      <c r="M6" s="57"/>
      <c r="N6" s="57"/>
      <c r="O6" s="57" t="s">
        <v>547</v>
      </c>
      <c r="P6" s="57"/>
      <c r="Q6" s="67">
        <v>1</v>
      </c>
      <c r="R6" s="57" t="s">
        <v>791</v>
      </c>
      <c r="S6" s="57">
        <v>1</v>
      </c>
      <c r="T6" s="57">
        <v>0.60000002384185791</v>
      </c>
      <c r="U6" s="57" t="s">
        <v>560</v>
      </c>
      <c r="V6" s="57"/>
      <c r="W6" s="57" t="s">
        <v>561</v>
      </c>
      <c r="X6" s="57"/>
      <c r="Y6" s="57">
        <v>3000</v>
      </c>
      <c r="Z6" s="57" t="s">
        <v>547</v>
      </c>
      <c r="AA6" s="61" t="s">
        <v>548</v>
      </c>
      <c r="AB6" s="57" t="s">
        <v>568</v>
      </c>
      <c r="AC6" s="67">
        <v>1</v>
      </c>
      <c r="AD6" s="57" t="s">
        <v>615</v>
      </c>
      <c r="AE6" s="57">
        <v>1</v>
      </c>
      <c r="AF6" s="57">
        <v>7000</v>
      </c>
      <c r="AG6" s="57" t="s">
        <v>547</v>
      </c>
      <c r="AH6" s="57" t="s">
        <v>548</v>
      </c>
      <c r="AI6" s="57" t="s">
        <v>546</v>
      </c>
      <c r="AJ6" s="57"/>
      <c r="AK6" s="67">
        <v>0</v>
      </c>
      <c r="AL6" s="57" t="s">
        <v>547</v>
      </c>
      <c r="AM6" s="57"/>
      <c r="AN6" s="57"/>
      <c r="AO6" s="57" t="s">
        <v>547</v>
      </c>
      <c r="AP6" s="57" t="s">
        <v>547</v>
      </c>
      <c r="AQ6" s="4">
        <f>Q6+AK6</f>
        <v>1</v>
      </c>
      <c r="AR6" s="4">
        <f>L6+AC6</f>
        <v>1</v>
      </c>
      <c r="AS6" t="str">
        <f>AQ6&amp;AR6</f>
        <v>11</v>
      </c>
      <c r="AT6" s="49">
        <f>AQ6-AR6</f>
        <v>0</v>
      </c>
      <c r="AU6">
        <v>1</v>
      </c>
      <c r="AV6" s="57" t="s">
        <v>548</v>
      </c>
      <c r="AW6" s="57">
        <v>0.125</v>
      </c>
      <c r="AX6" s="57" t="s">
        <v>548</v>
      </c>
      <c r="AY6" s="57">
        <v>2</v>
      </c>
      <c r="AZ6" s="57">
        <v>4</v>
      </c>
      <c r="BA6" s="57" t="s">
        <v>548</v>
      </c>
      <c r="BB6" s="57" t="s">
        <v>1034</v>
      </c>
      <c r="BC6" s="57">
        <v>4.375</v>
      </c>
      <c r="BD6" s="29">
        <f>AW6+AZ6</f>
        <v>4.125</v>
      </c>
      <c r="BE6" s="29">
        <f>BD6+BC6</f>
        <v>8.5</v>
      </c>
      <c r="BF6" s="57" t="s">
        <v>548</v>
      </c>
      <c r="BG6" s="57" t="s">
        <v>548</v>
      </c>
      <c r="BH6" s="57" t="s">
        <v>548</v>
      </c>
      <c r="BI6" s="57" t="s">
        <v>546</v>
      </c>
      <c r="BJ6" s="57" t="s">
        <v>546</v>
      </c>
      <c r="BK6" s="57" t="s">
        <v>546</v>
      </c>
      <c r="BL6" s="57">
        <v>1</v>
      </c>
      <c r="BM6" s="57" t="s">
        <v>562</v>
      </c>
      <c r="BN6" s="57">
        <v>5</v>
      </c>
      <c r="BO6" s="57" t="s">
        <v>562</v>
      </c>
      <c r="BP6" s="57">
        <v>7</v>
      </c>
      <c r="BQ6" s="57" t="s">
        <v>580</v>
      </c>
      <c r="BR6" s="57"/>
      <c r="BS6" s="57" t="s">
        <v>547</v>
      </c>
      <c r="BT6" s="57"/>
      <c r="BU6" s="57" t="s">
        <v>547</v>
      </c>
      <c r="BV6" s="57"/>
      <c r="BW6" s="29">
        <f>(BL6*1)+(BN6*0.1)+(BP6*0.01)+(BR6*0.1)+(BT6*0.3)+(BV6*0.4)</f>
        <v>1.57</v>
      </c>
      <c r="BX6" s="29" t="s">
        <v>2219</v>
      </c>
      <c r="BY6" s="57">
        <v>1</v>
      </c>
      <c r="BZ6" s="57">
        <v>1</v>
      </c>
      <c r="CA6" s="57">
        <v>5</v>
      </c>
      <c r="CB6" s="57">
        <v>7</v>
      </c>
      <c r="CC6" s="57">
        <v>0</v>
      </c>
      <c r="CD6" s="57">
        <v>0</v>
      </c>
      <c r="CE6" s="57">
        <v>0</v>
      </c>
      <c r="CF6" s="57"/>
      <c r="CG6" s="29">
        <f>(CC6*15)+(CD6*0.8)+(CE6*0.3)+((AW6+AZ6)*15)</f>
        <v>61.875</v>
      </c>
      <c r="CH6" s="29" t="s">
        <v>2221</v>
      </c>
      <c r="CI6" s="57">
        <f>(BL6*1)+(BN6*0.1)+(BP6*0.01)+(BR6*0.1)+(BT6*0.3)+(BV6*0.4)+(CC6*15)+(CD6*0.8)+(CE6*0.3)+((AW6+AZ6)*15)</f>
        <v>63.445</v>
      </c>
      <c r="CJ6" s="57" t="s">
        <v>548</v>
      </c>
      <c r="CK6" s="57" t="s">
        <v>797</v>
      </c>
      <c r="CL6" s="57" t="s">
        <v>548</v>
      </c>
      <c r="CM6" s="57" t="s">
        <v>793</v>
      </c>
      <c r="CN6" s="57">
        <v>0.25</v>
      </c>
      <c r="CO6" s="57">
        <v>4</v>
      </c>
      <c r="CP6" s="57">
        <v>0</v>
      </c>
      <c r="CQ6" s="57" t="s">
        <v>548</v>
      </c>
      <c r="CR6" s="57">
        <v>1</v>
      </c>
      <c r="CS6" s="57">
        <v>8</v>
      </c>
      <c r="CT6" s="57" t="s">
        <v>551</v>
      </c>
      <c r="CU6" s="57">
        <v>1.92</v>
      </c>
      <c r="CV6" s="57">
        <v>1</v>
      </c>
      <c r="CW6" s="57">
        <v>2.7000000476837158</v>
      </c>
      <c r="CX6" s="57" t="s">
        <v>551</v>
      </c>
      <c r="CY6" s="60">
        <v>0.64800001144409181</v>
      </c>
      <c r="CZ6" s="57"/>
      <c r="DA6" s="57">
        <v>999</v>
      </c>
      <c r="DB6" s="57" t="s">
        <v>551</v>
      </c>
      <c r="DC6" s="60"/>
      <c r="DD6" s="57" t="s">
        <v>546</v>
      </c>
      <c r="DE6" s="57" t="s">
        <v>548</v>
      </c>
      <c r="DF6" s="57" t="s">
        <v>546</v>
      </c>
      <c r="DG6" s="57" t="s">
        <v>546</v>
      </c>
      <c r="DH6" s="57" t="s">
        <v>546</v>
      </c>
      <c r="DI6" s="57">
        <v>1</v>
      </c>
      <c r="DJ6" s="57">
        <v>4</v>
      </c>
      <c r="DK6" s="57" t="s">
        <v>1302</v>
      </c>
      <c r="DL6" s="57" t="s">
        <v>1303</v>
      </c>
      <c r="DM6" s="57">
        <v>-4.2942328453063965</v>
      </c>
      <c r="DN6" s="57">
        <v>35.636287689208984</v>
      </c>
      <c r="DO6" s="57">
        <v>1432.9000244140625</v>
      </c>
      <c r="DP6" s="57">
        <v>10</v>
      </c>
      <c r="DQ6" s="57">
        <v>1705231439</v>
      </c>
      <c r="DR6" s="57" t="s">
        <v>1304</v>
      </c>
      <c r="DS6" s="58">
        <v>42908.292638888888</v>
      </c>
      <c r="DT6" s="58">
        <v>42899.434155092589</v>
      </c>
      <c r="DU6" s="58">
        <v>42908.289259259254</v>
      </c>
      <c r="DV6" s="59">
        <v>42781</v>
      </c>
      <c r="DW6" s="57"/>
      <c r="DX6" s="60">
        <v>3.627642276422764</v>
      </c>
      <c r="DY6" s="60">
        <v>5.7897696476964775</v>
      </c>
      <c r="DZ6" s="60">
        <v>6.2288659793814425</v>
      </c>
      <c r="EA6" s="60">
        <v>5.4453608247422665</v>
      </c>
      <c r="EB6" s="57"/>
      <c r="EC6" s="57" t="str">
        <f>IF(EQ6&lt;EP6,"FALSEE",1)</f>
        <v>FALSEE</v>
      </c>
      <c r="ED6" s="57"/>
      <c r="EE6" s="57" t="s">
        <v>2175</v>
      </c>
      <c r="EF6" s="57">
        <v>3.42399120331</v>
      </c>
      <c r="EG6" s="57" t="str">
        <f>IF(EF6&lt;0.5,"Depression",IF(EF6&lt;2,"Very gentle",IF(EF6&lt;5,"Gentle",IF(EF6&lt;9,"Moderate",IF(EF6&lt;15,"Strong",IF(EF6&lt;30,"Steep",IF(EF6&lt;1,"Very steep")))))))</f>
        <v>Gentle</v>
      </c>
      <c r="EH6" s="57" t="s">
        <v>2176</v>
      </c>
      <c r="EI6" s="57">
        <v>-1.4502619504900001</v>
      </c>
      <c r="EJ6" s="60">
        <v>7.7100343704199998</v>
      </c>
      <c r="EK6" s="60">
        <f>VLOOKUP(D6,[1]SoilData!$G$15:$K$237,5,FALSE)</f>
        <v>213.65638483627274</v>
      </c>
      <c r="EL6" s="60">
        <f>VLOOKUP(D6,[1]SoilData!$G$245:$K$451,5,FALSE)</f>
        <v>350.73300757401023</v>
      </c>
      <c r="EM6" s="60">
        <f>VLOOKUP(D6,[1]SoilData!$G$15:$M$238,7,FALSE)</f>
        <v>1.1100000000000001</v>
      </c>
      <c r="EN6" s="60">
        <f>VLOOKUP(D6,[1]SoilData!$G$245:$M$454,7,FALSE)</f>
        <v>1.232</v>
      </c>
      <c r="EO6" s="60">
        <f>EM6-EN6</f>
        <v>-0.12199999999999989</v>
      </c>
      <c r="EP6" s="60">
        <f>AVERAGE(DZ6:EA6)</f>
        <v>5.8371134020618545</v>
      </c>
      <c r="EQ6" s="60">
        <f>AVERAGE(DX6:DY6)</f>
        <v>4.7087059620596206</v>
      </c>
      <c r="ER6" s="43">
        <f>EQ6-EP6</f>
        <v>-1.1284074400022339</v>
      </c>
      <c r="ES6" s="64">
        <f>IF(CU6&gt;0.000001,CU6*352,0)</f>
        <v>675.83999999999992</v>
      </c>
      <c r="ET6" s="64">
        <f>IF(DC6&gt;0.0001,DC6*682,0)</f>
        <v>0</v>
      </c>
      <c r="EU6" s="64">
        <f>CY6*795</f>
        <v>515.16000909805302</v>
      </c>
      <c r="EV6" s="64">
        <f>ES6+ET6+EU6</f>
        <v>1191.0000090980529</v>
      </c>
      <c r="EW6" s="64">
        <f>IF(AA6="YES",3.5*18.2,0)</f>
        <v>63.699999999999996</v>
      </c>
      <c r="EX6" s="64">
        <f>EV6-EW6</f>
        <v>1127.3000090980529</v>
      </c>
    </row>
    <row r="7" spans="1:154" ht="15" x14ac:dyDescent="0.2">
      <c r="A7" s="57" t="s">
        <v>556</v>
      </c>
      <c r="B7" s="57">
        <v>194</v>
      </c>
      <c r="C7" s="57" t="s">
        <v>847</v>
      </c>
      <c r="D7" s="57" t="s">
        <v>146</v>
      </c>
      <c r="E7" s="57" t="str">
        <f>VLOOKUP(D7,Harvest_2017_Formulae!$C$2:$D$968,2,FALSE)</f>
        <v>ENDANOGA</v>
      </c>
      <c r="F7" s="57" t="s">
        <v>843</v>
      </c>
      <c r="G7" s="57">
        <v>0.5</v>
      </c>
      <c r="H7" s="61" t="str">
        <f>IF(G7&lt;0.05,"Homefield",IF(G7&lt;0.5,"Midfield","outfield"))</f>
        <v>outfield</v>
      </c>
      <c r="I7" s="57" t="s">
        <v>557</v>
      </c>
      <c r="J7" s="61" t="s">
        <v>2233</v>
      </c>
      <c r="K7" s="61" t="s">
        <v>2233</v>
      </c>
      <c r="L7" s="67">
        <v>0</v>
      </c>
      <c r="M7" s="57"/>
      <c r="N7" s="57"/>
      <c r="O7" s="57" t="s">
        <v>547</v>
      </c>
      <c r="P7" s="57"/>
      <c r="Q7" s="67">
        <v>1</v>
      </c>
      <c r="R7" s="57" t="s">
        <v>558</v>
      </c>
      <c r="S7" s="57">
        <v>16</v>
      </c>
      <c r="T7" s="57" t="s">
        <v>559</v>
      </c>
      <c r="U7" s="57" t="s">
        <v>560</v>
      </c>
      <c r="V7" s="57"/>
      <c r="W7" s="57" t="s">
        <v>561</v>
      </c>
      <c r="X7" s="57"/>
      <c r="Y7" s="57"/>
      <c r="Z7" s="57" t="s">
        <v>848</v>
      </c>
      <c r="AA7" s="61" t="s">
        <v>548</v>
      </c>
      <c r="AB7" s="57" t="s">
        <v>568</v>
      </c>
      <c r="AC7" s="67">
        <v>1</v>
      </c>
      <c r="AD7" s="57" t="s">
        <v>615</v>
      </c>
      <c r="AE7" s="57">
        <v>2</v>
      </c>
      <c r="AF7" s="57" t="s">
        <v>547</v>
      </c>
      <c r="AG7" s="57" t="s">
        <v>849</v>
      </c>
      <c r="AH7" s="57" t="s">
        <v>546</v>
      </c>
      <c r="AI7" s="57" t="s">
        <v>546</v>
      </c>
      <c r="AJ7" s="57" t="s">
        <v>547</v>
      </c>
      <c r="AK7" s="67">
        <v>0</v>
      </c>
      <c r="AL7" s="57" t="s">
        <v>547</v>
      </c>
      <c r="AM7" s="57"/>
      <c r="AN7" s="57"/>
      <c r="AO7" s="57" t="s">
        <v>547</v>
      </c>
      <c r="AP7" s="57" t="s">
        <v>547</v>
      </c>
      <c r="AQ7" s="4">
        <f>Q7+AK7</f>
        <v>1</v>
      </c>
      <c r="AR7" s="4">
        <f>L7+AC7</f>
        <v>1</v>
      </c>
      <c r="AS7" t="str">
        <f>AQ7&amp;AR7</f>
        <v>11</v>
      </c>
      <c r="AT7" s="49">
        <f>AQ7-AR7</f>
        <v>0</v>
      </c>
      <c r="AU7">
        <v>1</v>
      </c>
      <c r="AV7" s="57" t="s">
        <v>548</v>
      </c>
      <c r="AW7" s="57">
        <v>0.25</v>
      </c>
      <c r="AX7" s="57" t="s">
        <v>548</v>
      </c>
      <c r="AY7" s="57">
        <v>1</v>
      </c>
      <c r="AZ7" s="57">
        <v>20</v>
      </c>
      <c r="BA7" s="57" t="s">
        <v>548</v>
      </c>
      <c r="BB7" s="57" t="s">
        <v>569</v>
      </c>
      <c r="BC7" s="57">
        <v>5</v>
      </c>
      <c r="BD7" s="29">
        <f>AW7+AZ7</f>
        <v>20.25</v>
      </c>
      <c r="BE7" s="29">
        <f>BD7+BC7</f>
        <v>25.25</v>
      </c>
      <c r="BF7" s="57" t="s">
        <v>548</v>
      </c>
      <c r="BG7" s="57" t="s">
        <v>546</v>
      </c>
      <c r="BH7" s="57" t="s">
        <v>548</v>
      </c>
      <c r="BI7" s="57" t="s">
        <v>546</v>
      </c>
      <c r="BJ7" s="57" t="s">
        <v>546</v>
      </c>
      <c r="BK7" s="57" t="s">
        <v>546</v>
      </c>
      <c r="BL7" s="57">
        <v>2</v>
      </c>
      <c r="BM7" s="57" t="s">
        <v>549</v>
      </c>
      <c r="BN7" s="57"/>
      <c r="BO7" s="57" t="s">
        <v>547</v>
      </c>
      <c r="BP7" s="57">
        <v>25</v>
      </c>
      <c r="BQ7" s="57" t="s">
        <v>549</v>
      </c>
      <c r="BR7" s="57"/>
      <c r="BS7" s="57" t="s">
        <v>547</v>
      </c>
      <c r="BT7" s="57"/>
      <c r="BU7" s="57" t="s">
        <v>547</v>
      </c>
      <c r="BV7" s="57"/>
      <c r="BW7" s="29">
        <f>(BL7*1)+(BN7*0.1)+(BP7*0.01)+(BR7*0.1)+(BT7*0.3)+(BV7*0.4)</f>
        <v>2.25</v>
      </c>
      <c r="BX7" s="29" t="s">
        <v>2219</v>
      </c>
      <c r="BY7" s="57">
        <v>3</v>
      </c>
      <c r="BZ7" s="57">
        <v>1</v>
      </c>
      <c r="CA7" s="57">
        <v>3</v>
      </c>
      <c r="CB7" s="57">
        <v>7</v>
      </c>
      <c r="CC7" s="57">
        <v>0</v>
      </c>
      <c r="CD7" s="57">
        <v>0</v>
      </c>
      <c r="CE7" s="57">
        <v>0</v>
      </c>
      <c r="CF7" s="57" t="s">
        <v>547</v>
      </c>
      <c r="CG7" s="29">
        <f>(CC7*15)+(CD7*0.8)+(CE7*0.3)+((AW7+AZ7)*15)</f>
        <v>303.75</v>
      </c>
      <c r="CH7" s="29" t="s">
        <v>2221</v>
      </c>
      <c r="CI7" s="57">
        <f>(BL7*1)+(BN7*0.1)+(BP7*0.01)+(BR7*0.1)+(BT7*0.3)+(BV7*0.4)+(CC7*15)+(CD7*0.8)+(CE7*0.3)+((AW7+AZ7)*15)</f>
        <v>306</v>
      </c>
      <c r="CJ7" s="57" t="s">
        <v>546</v>
      </c>
      <c r="CK7" s="57" t="s">
        <v>547</v>
      </c>
      <c r="CL7" s="57" t="s">
        <v>546</v>
      </c>
      <c r="CM7" s="57" t="s">
        <v>547</v>
      </c>
      <c r="CN7" s="57">
        <v>0.25</v>
      </c>
      <c r="CO7" s="57">
        <v>0</v>
      </c>
      <c r="CP7" s="57"/>
      <c r="CQ7" s="57" t="s">
        <v>546</v>
      </c>
      <c r="CR7" s="57">
        <v>3.125E-2</v>
      </c>
      <c r="CS7" s="57">
        <v>5</v>
      </c>
      <c r="CT7" s="57" t="s">
        <v>552</v>
      </c>
      <c r="CU7" s="57">
        <v>6.4127999999999989</v>
      </c>
      <c r="CV7" s="57"/>
      <c r="CW7" s="57">
        <v>999</v>
      </c>
      <c r="CX7" s="57" t="s">
        <v>552</v>
      </c>
      <c r="CY7" s="60"/>
      <c r="CZ7" s="57">
        <v>999</v>
      </c>
      <c r="DA7" s="57">
        <v>999</v>
      </c>
      <c r="DB7" s="57" t="s">
        <v>552</v>
      </c>
      <c r="DC7" s="60"/>
      <c r="DD7" s="57" t="s">
        <v>546</v>
      </c>
      <c r="DE7" s="57" t="s">
        <v>546</v>
      </c>
      <c r="DF7" s="57" t="s">
        <v>546</v>
      </c>
      <c r="DG7" s="57" t="s">
        <v>546</v>
      </c>
      <c r="DH7" s="57" t="s">
        <v>546</v>
      </c>
      <c r="DI7" s="57">
        <v>0</v>
      </c>
      <c r="DJ7" s="57">
        <v>4</v>
      </c>
      <c r="DK7" s="57" t="s">
        <v>850</v>
      </c>
      <c r="DL7" s="57" t="s">
        <v>851</v>
      </c>
      <c r="DM7" s="57">
        <v>-4.2835335731506348</v>
      </c>
      <c r="DN7" s="57">
        <v>35.856357574462891</v>
      </c>
      <c r="DO7" s="57">
        <v>1295.300048828125</v>
      </c>
      <c r="DP7" s="57">
        <v>5</v>
      </c>
      <c r="DQ7" s="57">
        <v>1706031849</v>
      </c>
      <c r="DR7" s="57" t="s">
        <v>852</v>
      </c>
      <c r="DS7" s="58">
        <v>42940.360115740739</v>
      </c>
      <c r="DT7" s="58">
        <v>42924.663101851853</v>
      </c>
      <c r="DU7" s="58">
        <v>42924.679918981477</v>
      </c>
      <c r="DV7" s="59">
        <v>42786</v>
      </c>
      <c r="DW7" s="57"/>
      <c r="DX7" s="60">
        <v>5.3434733893557427</v>
      </c>
      <c r="DY7" s="60">
        <v>5.1733893557422981</v>
      </c>
      <c r="DZ7" s="60">
        <v>4.9301851851851861</v>
      </c>
      <c r="EA7" s="60">
        <v>4.9521296296296304</v>
      </c>
      <c r="EB7" s="57"/>
      <c r="EC7" s="57">
        <f>IF(EQ7&lt;EP7,"FALSEE",1)</f>
        <v>1</v>
      </c>
      <c r="ED7" s="57"/>
      <c r="EE7" s="57" t="s">
        <v>2171</v>
      </c>
      <c r="EF7" s="57">
        <v>1.72651553154</v>
      </c>
      <c r="EG7" s="57" t="str">
        <f>IF(EF7&lt;0.5,"Depression",IF(EF7&lt;2,"Very gentle",IF(EF7&lt;5,"Gentle",IF(EF7&lt;9,"Moderate",IF(EF7&lt;15,"Strong",IF(EF7&lt;30,"Steep",IF(EF7&lt;1,"Very steep")))))))</f>
        <v>Very gentle</v>
      </c>
      <c r="EH7" s="57" t="s">
        <v>2173</v>
      </c>
      <c r="EI7" s="57">
        <v>8.4776775111099995E-6</v>
      </c>
      <c r="EJ7" s="60">
        <v>10.6290960312</v>
      </c>
      <c r="EK7" s="60">
        <f>VLOOKUP(D7,[1]SoilData!$G$15:$K$237,5,FALSE)</f>
        <v>433.96489105138988</v>
      </c>
      <c r="EL7" s="60"/>
      <c r="EM7" s="60">
        <f>VLOOKUP(D7,[1]SoilData!$G$15:$M$238,7,FALSE)</f>
        <v>1.472</v>
      </c>
      <c r="EN7" s="60"/>
      <c r="EO7" s="60"/>
      <c r="EP7" s="60">
        <f>AVERAGE(DZ7:EA7)</f>
        <v>4.9411574074074078</v>
      </c>
      <c r="EQ7" s="60">
        <f>AVERAGE(DX7:DY7)</f>
        <v>5.2584313725490208</v>
      </c>
      <c r="ER7" s="43">
        <f>EQ7-EP7</f>
        <v>0.31727396514161299</v>
      </c>
      <c r="ES7" s="64">
        <f>IF(CU7&gt;0.000001,CU7*352,0)</f>
        <v>2257.3055999999997</v>
      </c>
      <c r="ET7" s="64">
        <f>IF(DC7&gt;0.0001,DC7*682,0)</f>
        <v>0</v>
      </c>
      <c r="EU7" s="64">
        <f>CY7*795</f>
        <v>0</v>
      </c>
      <c r="EV7" s="64">
        <f>ES7+ET7+EU7</f>
        <v>2257.3055999999997</v>
      </c>
      <c r="EW7" s="64">
        <f>IF(AA7="YES",3.5*18.2,0)</f>
        <v>63.699999999999996</v>
      </c>
      <c r="EX7" s="64">
        <f>EV7-EW7</f>
        <v>2193.6055999999999</v>
      </c>
    </row>
    <row r="8" spans="1:154" ht="15" x14ac:dyDescent="0.2">
      <c r="A8" s="57" t="s">
        <v>556</v>
      </c>
      <c r="B8" s="57">
        <v>192</v>
      </c>
      <c r="C8" s="57" t="s">
        <v>352</v>
      </c>
      <c r="D8" s="57" t="s">
        <v>352</v>
      </c>
      <c r="E8" s="57" t="str">
        <f>VLOOKUP(D8,Harvest_2017_Formulae!$C$2:$D$968,2,FALSE)</f>
        <v>ENDANOGA</v>
      </c>
      <c r="F8" s="57" t="s">
        <v>843</v>
      </c>
      <c r="G8" s="57">
        <v>0.5</v>
      </c>
      <c r="H8" s="61" t="str">
        <f>IF(G8&lt;0.05,"Homefield",IF(G8&lt;0.5,"Midfield","outfield"))</f>
        <v>outfield</v>
      </c>
      <c r="I8" s="57" t="s">
        <v>557</v>
      </c>
      <c r="J8" s="61" t="s">
        <v>2233</v>
      </c>
      <c r="K8" s="61" t="s">
        <v>2233</v>
      </c>
      <c r="L8" s="67">
        <v>0</v>
      </c>
      <c r="M8" s="57"/>
      <c r="N8" s="57"/>
      <c r="O8" s="57" t="s">
        <v>547</v>
      </c>
      <c r="P8" s="57"/>
      <c r="Q8" s="67">
        <v>1</v>
      </c>
      <c r="R8" s="57" t="s">
        <v>558</v>
      </c>
      <c r="S8" s="57">
        <v>4</v>
      </c>
      <c r="T8" s="57" t="s">
        <v>559</v>
      </c>
      <c r="U8" s="57" t="s">
        <v>560</v>
      </c>
      <c r="V8" s="57"/>
      <c r="W8" s="57" t="s">
        <v>561</v>
      </c>
      <c r="X8" s="57"/>
      <c r="Y8" s="57">
        <v>6000</v>
      </c>
      <c r="Z8" s="57" t="s">
        <v>547</v>
      </c>
      <c r="AA8" s="61" t="s">
        <v>548</v>
      </c>
      <c r="AB8" s="57" t="s">
        <v>568</v>
      </c>
      <c r="AC8" s="67">
        <v>1</v>
      </c>
      <c r="AD8" s="57" t="s">
        <v>615</v>
      </c>
      <c r="AE8" s="57">
        <v>1</v>
      </c>
      <c r="AF8" s="57" t="s">
        <v>547</v>
      </c>
      <c r="AG8" s="57" t="s">
        <v>567</v>
      </c>
      <c r="AH8" s="57" t="s">
        <v>548</v>
      </c>
      <c r="AI8" s="57" t="s">
        <v>546</v>
      </c>
      <c r="AJ8" s="57" t="s">
        <v>547</v>
      </c>
      <c r="AK8" s="67">
        <v>0</v>
      </c>
      <c r="AL8" s="57" t="s">
        <v>547</v>
      </c>
      <c r="AM8" s="57"/>
      <c r="AN8" s="57"/>
      <c r="AO8" s="57" t="s">
        <v>547</v>
      </c>
      <c r="AP8" s="57" t="s">
        <v>547</v>
      </c>
      <c r="AQ8" s="4">
        <f>Q8+AK8</f>
        <v>1</v>
      </c>
      <c r="AR8" s="4">
        <f>L8+AC8</f>
        <v>1</v>
      </c>
      <c r="AS8" t="str">
        <f>AQ8&amp;AR8</f>
        <v>11</v>
      </c>
      <c r="AT8" s="49">
        <f>AQ8-AR8</f>
        <v>0</v>
      </c>
      <c r="AU8">
        <v>1</v>
      </c>
      <c r="AV8" s="57" t="s">
        <v>548</v>
      </c>
      <c r="AW8" s="57">
        <v>0.25</v>
      </c>
      <c r="AX8" s="57" t="s">
        <v>548</v>
      </c>
      <c r="AY8" s="57">
        <v>1</v>
      </c>
      <c r="AZ8" s="57">
        <v>6</v>
      </c>
      <c r="BA8" s="57" t="s">
        <v>546</v>
      </c>
      <c r="BB8" s="57" t="s">
        <v>547</v>
      </c>
      <c r="BC8" s="57"/>
      <c r="BD8" s="29">
        <f>AW8+AZ8</f>
        <v>6.25</v>
      </c>
      <c r="BE8" s="29">
        <f>BD8+BC8</f>
        <v>6.25</v>
      </c>
      <c r="BF8" s="57" t="s">
        <v>548</v>
      </c>
      <c r="BG8" s="57" t="s">
        <v>546</v>
      </c>
      <c r="BH8" s="57" t="s">
        <v>548</v>
      </c>
      <c r="BI8" s="57" t="s">
        <v>546</v>
      </c>
      <c r="BJ8" s="57" t="s">
        <v>546</v>
      </c>
      <c r="BK8" s="57" t="s">
        <v>546</v>
      </c>
      <c r="BL8" s="57">
        <v>5</v>
      </c>
      <c r="BM8" s="57" t="s">
        <v>549</v>
      </c>
      <c r="BN8" s="57"/>
      <c r="BO8" s="57" t="s">
        <v>547</v>
      </c>
      <c r="BP8" s="57">
        <v>2</v>
      </c>
      <c r="BQ8" s="57" t="s">
        <v>549</v>
      </c>
      <c r="BR8" s="57"/>
      <c r="BS8" s="57" t="s">
        <v>547</v>
      </c>
      <c r="BT8" s="57"/>
      <c r="BU8" s="57" t="s">
        <v>547</v>
      </c>
      <c r="BV8" s="57"/>
      <c r="BW8" s="29">
        <f>(BL8*1)+(BN8*0.1)+(BP8*0.01)+(BR8*0.1)+(BT8*0.3)+(BV8*0.4)</f>
        <v>5.0199999999999996</v>
      </c>
      <c r="BX8" s="29" t="s">
        <v>2219</v>
      </c>
      <c r="BY8" s="57">
        <v>1</v>
      </c>
      <c r="BZ8" s="57">
        <v>1</v>
      </c>
      <c r="CA8" s="57">
        <v>4</v>
      </c>
      <c r="CB8" s="57">
        <v>6</v>
      </c>
      <c r="CC8" s="57">
        <v>0</v>
      </c>
      <c r="CD8" s="57">
        <v>0</v>
      </c>
      <c r="CE8" s="57">
        <v>0</v>
      </c>
      <c r="CF8" s="57" t="s">
        <v>547</v>
      </c>
      <c r="CG8" s="29">
        <f>(CC8*15)+(CD8*0.8)+(CE8*0.3)+((AW8+AZ8)*15)</f>
        <v>93.75</v>
      </c>
      <c r="CH8" s="29" t="s">
        <v>2221</v>
      </c>
      <c r="CI8" s="57">
        <f>(BL8*1)+(BN8*0.1)+(BP8*0.01)+(BR8*0.1)+(BT8*0.3)+(BV8*0.4)+(CC8*15)+(CD8*0.8)+(CE8*0.3)+((AW8+AZ8)*15)</f>
        <v>98.77</v>
      </c>
      <c r="CJ8" s="57" t="s">
        <v>546</v>
      </c>
      <c r="CK8" s="57" t="s">
        <v>547</v>
      </c>
      <c r="CL8" s="57" t="s">
        <v>548</v>
      </c>
      <c r="CM8" s="57" t="s">
        <v>550</v>
      </c>
      <c r="CN8" s="57">
        <v>0.25</v>
      </c>
      <c r="CO8" s="57"/>
      <c r="CP8" s="57">
        <v>0.75</v>
      </c>
      <c r="CQ8" s="57" t="s">
        <v>548</v>
      </c>
      <c r="CR8" s="57">
        <v>1</v>
      </c>
      <c r="CS8" s="57">
        <v>8</v>
      </c>
      <c r="CT8" s="57" t="s">
        <v>551</v>
      </c>
      <c r="CU8" s="57">
        <v>1.92</v>
      </c>
      <c r="CV8" s="57"/>
      <c r="CW8" s="57">
        <v>999</v>
      </c>
      <c r="CX8" s="57" t="s">
        <v>551</v>
      </c>
      <c r="CY8" s="60"/>
      <c r="CZ8" s="57">
        <v>1</v>
      </c>
      <c r="DA8" s="57">
        <v>2</v>
      </c>
      <c r="DB8" s="57" t="s">
        <v>551</v>
      </c>
      <c r="DC8" s="60">
        <v>0.48</v>
      </c>
      <c r="DD8" s="57" t="s">
        <v>546</v>
      </c>
      <c r="DE8" s="57" t="s">
        <v>548</v>
      </c>
      <c r="DF8" s="57" t="s">
        <v>546</v>
      </c>
      <c r="DG8" s="57" t="s">
        <v>546</v>
      </c>
      <c r="DH8" s="57" t="s">
        <v>546</v>
      </c>
      <c r="DI8" s="57">
        <v>1</v>
      </c>
      <c r="DJ8" s="57">
        <v>2</v>
      </c>
      <c r="DK8" s="57" t="s">
        <v>917</v>
      </c>
      <c r="DL8" s="57" t="s">
        <v>918</v>
      </c>
      <c r="DM8" s="57">
        <v>-4.2807283401489258</v>
      </c>
      <c r="DN8" s="57">
        <v>35.866661071777344</v>
      </c>
      <c r="DO8" s="57">
        <v>1283.0999755859375</v>
      </c>
      <c r="DP8" s="57">
        <v>5</v>
      </c>
      <c r="DQ8" s="57">
        <v>1706031849</v>
      </c>
      <c r="DR8" s="57" t="s">
        <v>919</v>
      </c>
      <c r="DS8" s="58">
        <v>42940.360092592593</v>
      </c>
      <c r="DT8" s="58">
        <v>42924.606574074074</v>
      </c>
      <c r="DU8" s="58">
        <v>42924.614155092597</v>
      </c>
      <c r="DV8" s="59">
        <v>42790</v>
      </c>
      <c r="DW8" s="57"/>
      <c r="DX8" s="60">
        <v>2.2995169082125604</v>
      </c>
      <c r="DY8" s="60">
        <v>3.761352657004831</v>
      </c>
      <c r="DZ8" s="60">
        <v>2.541052631578947</v>
      </c>
      <c r="EA8" s="60">
        <v>2.5576608187134502</v>
      </c>
      <c r="EB8" s="57"/>
      <c r="EC8" s="57">
        <f>IF(EQ8&lt;EP8,"FALSEE",1)</f>
        <v>1</v>
      </c>
      <c r="ED8" s="57"/>
      <c r="EE8" s="57" t="s">
        <v>2171</v>
      </c>
      <c r="EF8" s="57">
        <v>1.2451889514900001</v>
      </c>
      <c r="EG8" s="57" t="str">
        <f>IF(EF8&lt;0.5,"Depression",IF(EF8&lt;2,"Very gentle",IF(EF8&lt;5,"Gentle",IF(EF8&lt;9,"Moderate",IF(EF8&lt;15,"Strong",IF(EF8&lt;30,"Steep",IF(EF8&lt;1,"Very steep")))))))</f>
        <v>Very gentle</v>
      </c>
      <c r="EH8" s="57" t="s">
        <v>2172</v>
      </c>
      <c r="EI8" s="57">
        <v>-0.725126743317</v>
      </c>
      <c r="EJ8" s="60">
        <v>12.6087989807</v>
      </c>
      <c r="EK8" s="60">
        <f>VLOOKUP(D8,[1]SoilData!$G$15:$K$237,5,FALSE)</f>
        <v>41.198754806502066</v>
      </c>
      <c r="EL8" s="60">
        <f>VLOOKUP(D8,[1]SoilData!$G$245:$K$451,5,FALSE)</f>
        <v>1172.4894044438436</v>
      </c>
      <c r="EM8" s="60">
        <f>VLOOKUP(D8,[1]SoilData!$G$15:$M$238,7,FALSE)</f>
        <v>0.70099999999999996</v>
      </c>
      <c r="EN8" s="60">
        <f>VLOOKUP(D8,[1]SoilData!$G$245:$M$454,7,FALSE)</f>
        <v>1.585</v>
      </c>
      <c r="EO8" s="60">
        <f>EM8-EN8</f>
        <v>-0.88400000000000001</v>
      </c>
      <c r="EP8" s="60">
        <f>AVERAGE(DZ8:EA8)</f>
        <v>2.5493567251461986</v>
      </c>
      <c r="EQ8" s="60">
        <f>AVERAGE(DX8:DY8)</f>
        <v>3.0304347826086957</v>
      </c>
      <c r="ER8" s="43">
        <f>EQ8-EP8</f>
        <v>0.4810780574624971</v>
      </c>
      <c r="ES8" s="64">
        <f>IF(CU8&gt;0.000001,CU8*352,0)</f>
        <v>675.83999999999992</v>
      </c>
      <c r="ET8" s="64">
        <f>IF(DC8&gt;0.0001,DC8*682,0)</f>
        <v>327.36</v>
      </c>
      <c r="EU8" s="64">
        <f>CY8*795</f>
        <v>0</v>
      </c>
      <c r="EV8" s="64">
        <f>ES8+ET8+EU8</f>
        <v>1003.1999999999999</v>
      </c>
      <c r="EW8" s="64">
        <f>IF(AA8="YES",3.5*18.2,0)</f>
        <v>63.699999999999996</v>
      </c>
      <c r="EX8" s="64">
        <f>EV8-EW8</f>
        <v>939.49999999999989</v>
      </c>
    </row>
    <row r="9" spans="1:154" ht="15" x14ac:dyDescent="0.2">
      <c r="A9" s="57" t="s">
        <v>789</v>
      </c>
      <c r="B9" s="57">
        <v>44</v>
      </c>
      <c r="C9" s="57" t="s">
        <v>1288</v>
      </c>
      <c r="D9" s="57" t="s">
        <v>269</v>
      </c>
      <c r="E9" s="57" t="str">
        <f>VLOOKUP(D9,Harvest_2017_Formulae!$C$2:$D$968,2,FALSE)</f>
        <v>Sangara</v>
      </c>
      <c r="F9" s="57" t="s">
        <v>1014</v>
      </c>
      <c r="G9" s="57">
        <v>0</v>
      </c>
      <c r="H9" s="61" t="str">
        <f>IF(G9&lt;0.05,"Homefield",IF(G9&lt;0.5,"Midfield","outfield"))</f>
        <v>Homefield</v>
      </c>
      <c r="I9" s="57" t="s">
        <v>557</v>
      </c>
      <c r="J9" s="61" t="s">
        <v>2234</v>
      </c>
      <c r="K9" s="61" t="s">
        <v>2234</v>
      </c>
      <c r="L9" s="67">
        <v>0</v>
      </c>
      <c r="M9" s="57"/>
      <c r="N9" s="57"/>
      <c r="O9" s="57" t="s">
        <v>547</v>
      </c>
      <c r="P9" s="57"/>
      <c r="Q9" s="67">
        <v>1</v>
      </c>
      <c r="R9" s="57" t="s">
        <v>615</v>
      </c>
      <c r="S9" s="57">
        <v>9</v>
      </c>
      <c r="T9" s="57">
        <v>0.80000001192092896</v>
      </c>
      <c r="U9" s="57" t="s">
        <v>560</v>
      </c>
      <c r="V9" s="57"/>
      <c r="W9" s="57" t="s">
        <v>635</v>
      </c>
      <c r="X9" s="57"/>
      <c r="Y9" s="57">
        <v>8000</v>
      </c>
      <c r="Z9" s="57" t="s">
        <v>547</v>
      </c>
      <c r="AA9" s="61" t="s">
        <v>548</v>
      </c>
      <c r="AB9" s="57" t="s">
        <v>568</v>
      </c>
      <c r="AC9" s="67">
        <v>1</v>
      </c>
      <c r="AD9" s="57" t="s">
        <v>615</v>
      </c>
      <c r="AE9" s="57">
        <v>6</v>
      </c>
      <c r="AF9" s="57" t="s">
        <v>547</v>
      </c>
      <c r="AG9" s="57" t="s">
        <v>831</v>
      </c>
      <c r="AH9" s="57" t="s">
        <v>548</v>
      </c>
      <c r="AI9" s="57" t="s">
        <v>546</v>
      </c>
      <c r="AJ9" s="57"/>
      <c r="AK9" s="67">
        <v>0</v>
      </c>
      <c r="AL9" s="57" t="s">
        <v>547</v>
      </c>
      <c r="AM9" s="57"/>
      <c r="AN9" s="57"/>
      <c r="AO9" s="57" t="s">
        <v>547</v>
      </c>
      <c r="AP9" s="57" t="s">
        <v>547</v>
      </c>
      <c r="AQ9" s="4">
        <f>Q9+AK9</f>
        <v>1</v>
      </c>
      <c r="AR9" s="4">
        <f>L9+AC9</f>
        <v>1</v>
      </c>
      <c r="AS9" t="str">
        <f>AQ9&amp;AR9</f>
        <v>11</v>
      </c>
      <c r="AT9" s="49">
        <f>AQ9-AR9</f>
        <v>0</v>
      </c>
      <c r="AU9">
        <v>1</v>
      </c>
      <c r="AV9" s="57" t="s">
        <v>548</v>
      </c>
      <c r="AW9" s="57">
        <v>6.25</v>
      </c>
      <c r="AX9" s="57" t="s">
        <v>546</v>
      </c>
      <c r="AY9" s="57"/>
      <c r="AZ9" s="57"/>
      <c r="BA9" s="57" t="s">
        <v>546</v>
      </c>
      <c r="BB9" s="57" t="s">
        <v>547</v>
      </c>
      <c r="BC9" s="57"/>
      <c r="BD9" s="29">
        <f>AW9+AZ9</f>
        <v>6.25</v>
      </c>
      <c r="BE9" s="29">
        <f>BD9+BC9</f>
        <v>6.25</v>
      </c>
      <c r="BF9" s="57" t="s">
        <v>548</v>
      </c>
      <c r="BG9" s="57" t="s">
        <v>548</v>
      </c>
      <c r="BH9" s="57" t="s">
        <v>548</v>
      </c>
      <c r="BI9" s="57" t="s">
        <v>548</v>
      </c>
      <c r="BJ9" s="57" t="s">
        <v>546</v>
      </c>
      <c r="BK9" s="57" t="s">
        <v>546</v>
      </c>
      <c r="BL9" s="57">
        <v>15</v>
      </c>
      <c r="BM9" s="57" t="s">
        <v>580</v>
      </c>
      <c r="BN9" s="57">
        <v>10</v>
      </c>
      <c r="BO9" s="57" t="s">
        <v>580</v>
      </c>
      <c r="BP9" s="57">
        <v>8</v>
      </c>
      <c r="BQ9" s="57" t="s">
        <v>580</v>
      </c>
      <c r="BR9" s="57">
        <v>3</v>
      </c>
      <c r="BS9" s="57" t="s">
        <v>580</v>
      </c>
      <c r="BT9" s="57"/>
      <c r="BU9" s="57" t="s">
        <v>547</v>
      </c>
      <c r="BV9" s="57"/>
      <c r="BW9" s="29">
        <f>(BL9*1)+(BN9*0.1)+(BP9*0.01)+(BR9*0.1)+(BT9*0.3)+(BV9*0.4)</f>
        <v>16.38</v>
      </c>
      <c r="BX9" s="29" t="s">
        <v>2221</v>
      </c>
      <c r="BY9" s="57">
        <v>7</v>
      </c>
      <c r="BZ9" s="57">
        <v>1</v>
      </c>
      <c r="CA9" s="57">
        <v>4</v>
      </c>
      <c r="CB9" s="57">
        <v>12</v>
      </c>
      <c r="CC9" s="57">
        <v>0</v>
      </c>
      <c r="CD9" s="57">
        <v>0</v>
      </c>
      <c r="CE9" s="57">
        <v>1</v>
      </c>
      <c r="CF9" s="57"/>
      <c r="CG9" s="29">
        <f>(CC9*15)+(CD9*0.8)+(CE9*0.3)+((AW9+AZ9)*15)</f>
        <v>94.05</v>
      </c>
      <c r="CH9" s="29" t="s">
        <v>2221</v>
      </c>
      <c r="CI9" s="57">
        <f>(BL9*1)+(BN9*0.1)+(BP9*0.01)+(BR9*0.1)+(BT9*0.3)+(BV9*0.4)+(CC9*15)+(CD9*0.8)+(CE9*0.3)+((AW9+AZ9)*15)</f>
        <v>110.43</v>
      </c>
      <c r="CJ9" s="57" t="s">
        <v>548</v>
      </c>
      <c r="CK9" s="57" t="s">
        <v>797</v>
      </c>
      <c r="CL9" s="57" t="s">
        <v>546</v>
      </c>
      <c r="CM9" s="57" t="s">
        <v>547</v>
      </c>
      <c r="CN9" s="57">
        <v>0.25</v>
      </c>
      <c r="CO9" s="57">
        <v>5.75</v>
      </c>
      <c r="CP9" s="57">
        <v>0</v>
      </c>
      <c r="CQ9" s="57" t="s">
        <v>548</v>
      </c>
      <c r="CR9" s="57">
        <v>1</v>
      </c>
      <c r="CS9" s="57">
        <v>10</v>
      </c>
      <c r="CT9" s="57" t="s">
        <v>551</v>
      </c>
      <c r="CU9" s="57">
        <v>2.4</v>
      </c>
      <c r="CV9" s="57">
        <v>1</v>
      </c>
      <c r="CW9" s="57">
        <v>2</v>
      </c>
      <c r="CX9" s="57" t="s">
        <v>551</v>
      </c>
      <c r="CY9" s="60">
        <v>0.48</v>
      </c>
      <c r="CZ9" s="57">
        <v>1</v>
      </c>
      <c r="DA9" s="57">
        <v>2</v>
      </c>
      <c r="DB9" s="57" t="s">
        <v>551</v>
      </c>
      <c r="DC9" s="60">
        <v>0.48</v>
      </c>
      <c r="DD9" s="57" t="s">
        <v>546</v>
      </c>
      <c r="DE9" s="57" t="s">
        <v>548</v>
      </c>
      <c r="DF9" s="57" t="s">
        <v>546</v>
      </c>
      <c r="DG9" s="57" t="s">
        <v>548</v>
      </c>
      <c r="DH9" s="57" t="s">
        <v>546</v>
      </c>
      <c r="DI9" s="57">
        <v>2</v>
      </c>
      <c r="DJ9" s="57">
        <v>4</v>
      </c>
      <c r="DK9" s="57" t="s">
        <v>1289</v>
      </c>
      <c r="DL9" s="57" t="s">
        <v>1290</v>
      </c>
      <c r="DM9" s="57">
        <v>-4.2797799110412598</v>
      </c>
      <c r="DN9" s="57">
        <v>35.636280059814453</v>
      </c>
      <c r="DO9" s="57">
        <v>1398.800048828125</v>
      </c>
      <c r="DP9" s="57">
        <v>15</v>
      </c>
      <c r="DQ9" s="57">
        <v>1705231439</v>
      </c>
      <c r="DR9" s="57" t="s">
        <v>1291</v>
      </c>
      <c r="DS9" s="58">
        <v>42908.292685185181</v>
      </c>
      <c r="DT9" s="58">
        <v>42900.407719907409</v>
      </c>
      <c r="DU9" s="58">
        <v>42908.290219907409</v>
      </c>
      <c r="DV9" s="59">
        <v>42745</v>
      </c>
      <c r="DW9" s="57"/>
      <c r="DX9" s="60">
        <v>5.3059349593495941</v>
      </c>
      <c r="DY9" s="60">
        <v>5.1386991869918708</v>
      </c>
      <c r="DZ9" s="60">
        <v>2.7438596491228071</v>
      </c>
      <c r="EA9" s="60">
        <v>1.312280701754386</v>
      </c>
      <c r="EB9" s="57"/>
      <c r="EC9" s="57">
        <f>IF(EQ9&lt;EP9,"FALSEE",1)</f>
        <v>1</v>
      </c>
      <c r="ED9" s="57"/>
      <c r="EE9" s="57" t="s">
        <v>2179</v>
      </c>
      <c r="EF9" s="57">
        <v>2.8563883304600002</v>
      </c>
      <c r="EG9" s="57" t="str">
        <f>IF(EF9&lt;0.5,"Depression",IF(EF9&lt;2,"Very gentle",IF(EF9&lt;5,"Gentle",IF(EF9&lt;9,"Moderate",IF(EF9&lt;15,"Strong",IF(EF9&lt;30,"Steep",IF(EF9&lt;1,"Very steep")))))))</f>
        <v>Gentle</v>
      </c>
      <c r="EH9" s="57" t="s">
        <v>2172</v>
      </c>
      <c r="EI9" s="57">
        <v>-0.99705243110700004</v>
      </c>
      <c r="EJ9" s="60">
        <v>9.1790475845300001</v>
      </c>
      <c r="EK9" s="60">
        <f>VLOOKUP(D9,[1]SoilData!$G$15:$K$237,5,FALSE)</f>
        <v>373.24433925571651</v>
      </c>
      <c r="EL9" s="60">
        <f>VLOOKUP(D9,[1]SoilData!$G$245:$K$451,5,FALSE)</f>
        <v>189.4163663733074</v>
      </c>
      <c r="EM9" s="60">
        <f>VLOOKUP(D9,[1]SoilData!$G$15:$M$238,7,FALSE)</f>
        <v>1.111</v>
      </c>
      <c r="EN9" s="60">
        <f>VLOOKUP(D9,[1]SoilData!$G$245:$M$454,7,FALSE)</f>
        <v>0.95799999999999996</v>
      </c>
      <c r="EO9" s="60">
        <f>EM9-EN9</f>
        <v>0.15300000000000002</v>
      </c>
      <c r="EP9" s="60">
        <f>AVERAGE(DZ9:EA9)</f>
        <v>2.0280701754385966</v>
      </c>
      <c r="EQ9" s="60">
        <f>AVERAGE(DX9:DY9)</f>
        <v>5.222317073170732</v>
      </c>
      <c r="ER9" s="43">
        <f>EQ9-EP9</f>
        <v>3.1942468977321354</v>
      </c>
      <c r="ES9" s="64">
        <f>IF(CU9&gt;0.000001,CU9*352,0)</f>
        <v>844.8</v>
      </c>
      <c r="ET9" s="64">
        <f>IF(DC9&gt;0.0001,DC9*682,0)</f>
        <v>327.36</v>
      </c>
      <c r="EU9" s="64">
        <f>CY9*795</f>
        <v>381.59999999999997</v>
      </c>
      <c r="EV9" s="64">
        <f>ES9+ET9+EU9</f>
        <v>1553.7599999999998</v>
      </c>
      <c r="EW9" s="64">
        <f>IF(AA9="YES",3.5*18.2,0)</f>
        <v>63.699999999999996</v>
      </c>
      <c r="EX9" s="64">
        <f>EV9-EW9</f>
        <v>1490.0599999999997</v>
      </c>
    </row>
    <row r="10" spans="1:154" ht="15" x14ac:dyDescent="0.2">
      <c r="A10" s="57" t="s">
        <v>841</v>
      </c>
      <c r="B10" s="57">
        <v>250</v>
      </c>
      <c r="C10" s="57" t="s">
        <v>865</v>
      </c>
      <c r="D10" s="57" t="s">
        <v>149</v>
      </c>
      <c r="E10" s="57" t="str">
        <f>VLOOKUP(D10,Harvest_2017_Formulae!$C$2:$D$968,2,FALSE)</f>
        <v>ENDANOGA</v>
      </c>
      <c r="F10" s="57" t="s">
        <v>843</v>
      </c>
      <c r="G10" s="57">
        <v>0</v>
      </c>
      <c r="H10" s="61" t="str">
        <f>IF(G10&lt;0.05,"Homefield",IF(G10&lt;0.5,"Midfield","outfield"))</f>
        <v>Homefield</v>
      </c>
      <c r="I10" s="57" t="s">
        <v>557</v>
      </c>
      <c r="J10" s="61" t="s">
        <v>2233</v>
      </c>
      <c r="K10" s="61" t="s">
        <v>2233</v>
      </c>
      <c r="L10" s="67">
        <v>0</v>
      </c>
      <c r="M10" s="57"/>
      <c r="N10" s="57"/>
      <c r="O10" s="57" t="s">
        <v>547</v>
      </c>
      <c r="P10" s="57"/>
      <c r="Q10" s="67">
        <v>1</v>
      </c>
      <c r="R10" s="57" t="s">
        <v>866</v>
      </c>
      <c r="S10" s="57">
        <v>5</v>
      </c>
      <c r="T10" s="57">
        <v>2</v>
      </c>
      <c r="U10" s="57" t="s">
        <v>560</v>
      </c>
      <c r="V10" s="57"/>
      <c r="W10" s="57" t="s">
        <v>635</v>
      </c>
      <c r="X10" s="57"/>
      <c r="Y10" s="57">
        <v>5000</v>
      </c>
      <c r="Z10" s="57" t="s">
        <v>547</v>
      </c>
      <c r="AA10" s="61" t="s">
        <v>548</v>
      </c>
      <c r="AB10" s="57" t="s">
        <v>860</v>
      </c>
      <c r="AC10" s="67">
        <v>1</v>
      </c>
      <c r="AD10" s="57" t="s">
        <v>866</v>
      </c>
      <c r="AE10" s="57">
        <v>9</v>
      </c>
      <c r="AF10" s="57" t="s">
        <v>547</v>
      </c>
      <c r="AG10" s="57" t="s">
        <v>825</v>
      </c>
      <c r="AH10" s="57" t="s">
        <v>548</v>
      </c>
      <c r="AI10" s="57" t="s">
        <v>546</v>
      </c>
      <c r="AJ10" s="57" t="s">
        <v>547</v>
      </c>
      <c r="AK10" s="67">
        <v>0</v>
      </c>
      <c r="AL10" s="57" t="s">
        <v>547</v>
      </c>
      <c r="AM10" s="57"/>
      <c r="AN10" s="57"/>
      <c r="AO10" s="57" t="s">
        <v>547</v>
      </c>
      <c r="AP10" s="57" t="s">
        <v>547</v>
      </c>
      <c r="AQ10" s="4">
        <f>Q10+AK10</f>
        <v>1</v>
      </c>
      <c r="AR10" s="4">
        <f>L10+AC10</f>
        <v>1</v>
      </c>
      <c r="AS10" t="str">
        <f>AQ10&amp;AR10</f>
        <v>11</v>
      </c>
      <c r="AT10" s="49">
        <f>AQ10-AR10</f>
        <v>0</v>
      </c>
      <c r="AU10">
        <v>1</v>
      </c>
      <c r="AV10" s="57" t="s">
        <v>548</v>
      </c>
      <c r="AW10" s="57">
        <v>1</v>
      </c>
      <c r="AX10" s="57" t="s">
        <v>548</v>
      </c>
      <c r="AY10" s="57">
        <v>3</v>
      </c>
      <c r="AZ10" s="57">
        <v>23</v>
      </c>
      <c r="BA10" s="57" t="s">
        <v>548</v>
      </c>
      <c r="BB10" s="57" t="s">
        <v>569</v>
      </c>
      <c r="BC10" s="57">
        <v>22</v>
      </c>
      <c r="BD10" s="29">
        <f>AW10+AZ10</f>
        <v>24</v>
      </c>
      <c r="BE10" s="29">
        <f>BD10+BC10</f>
        <v>46</v>
      </c>
      <c r="BF10" s="57" t="s">
        <v>548</v>
      </c>
      <c r="BG10" s="57" t="s">
        <v>548</v>
      </c>
      <c r="BH10" s="57" t="s">
        <v>548</v>
      </c>
      <c r="BI10" s="57" t="s">
        <v>546</v>
      </c>
      <c r="BJ10" s="57" t="s">
        <v>546</v>
      </c>
      <c r="BK10" s="57" t="s">
        <v>546</v>
      </c>
      <c r="BL10" s="57">
        <v>18</v>
      </c>
      <c r="BM10" s="57" t="s">
        <v>580</v>
      </c>
      <c r="BN10" s="57">
        <v>20</v>
      </c>
      <c r="BO10" s="57" t="s">
        <v>580</v>
      </c>
      <c r="BP10" s="57">
        <v>20</v>
      </c>
      <c r="BQ10" s="57" t="s">
        <v>562</v>
      </c>
      <c r="BR10" s="57"/>
      <c r="BS10" s="57" t="s">
        <v>547</v>
      </c>
      <c r="BT10" s="57"/>
      <c r="BU10" s="57" t="s">
        <v>547</v>
      </c>
      <c r="BV10" s="57"/>
      <c r="BW10" s="29">
        <f>(BL10*1)+(BN10*0.1)+(BP10*0.01)+(BR10*0.1)+(BT10*0.3)+(BV10*0.4)</f>
        <v>20.2</v>
      </c>
      <c r="BX10" s="29" t="s">
        <v>2221</v>
      </c>
      <c r="BY10" s="57">
        <v>7</v>
      </c>
      <c r="BZ10" s="57">
        <v>5</v>
      </c>
      <c r="CA10" s="57">
        <v>2</v>
      </c>
      <c r="CB10" s="57">
        <v>14</v>
      </c>
      <c r="CC10" s="57">
        <v>0</v>
      </c>
      <c r="CD10" s="57">
        <v>1</v>
      </c>
      <c r="CE10" s="57">
        <v>2</v>
      </c>
      <c r="CF10" s="57" t="s">
        <v>547</v>
      </c>
      <c r="CG10" s="29">
        <f>(CC10*15)+(CD10*0.8)+(CE10*0.3)+((AW10+AZ10)*15)</f>
        <v>361.4</v>
      </c>
      <c r="CH10" s="29" t="s">
        <v>2221</v>
      </c>
      <c r="CI10" s="57">
        <f>(BL10*1)+(BN10*0.1)+(BP10*0.01)+(BR10*0.1)+(BT10*0.3)+(BV10*0.4)+(CC10*15)+(CD10*0.8)+(CE10*0.3)+((AW10+AZ10)*15)</f>
        <v>381.6</v>
      </c>
      <c r="CJ10" s="57" t="s">
        <v>548</v>
      </c>
      <c r="CK10" s="57" t="s">
        <v>563</v>
      </c>
      <c r="CL10" s="57" t="s">
        <v>548</v>
      </c>
      <c r="CM10" s="57" t="s">
        <v>550</v>
      </c>
      <c r="CN10" s="57">
        <v>1.25</v>
      </c>
      <c r="CO10" s="57">
        <v>3</v>
      </c>
      <c r="CP10" s="57">
        <v>42</v>
      </c>
      <c r="CQ10" s="57" t="s">
        <v>548</v>
      </c>
      <c r="CR10" s="57">
        <v>18</v>
      </c>
      <c r="CS10" s="57">
        <v>163</v>
      </c>
      <c r="CT10" s="57" t="s">
        <v>551</v>
      </c>
      <c r="CU10" s="57">
        <v>2.1733333333333333</v>
      </c>
      <c r="CV10" s="57">
        <v>2</v>
      </c>
      <c r="CW10" s="57">
        <v>1</v>
      </c>
      <c r="CX10" s="57" t="s">
        <v>551</v>
      </c>
      <c r="CY10" s="60">
        <v>0.12</v>
      </c>
      <c r="CZ10" s="57">
        <v>18</v>
      </c>
      <c r="DA10" s="57">
        <v>62</v>
      </c>
      <c r="DB10" s="57" t="s">
        <v>551</v>
      </c>
      <c r="DC10" s="60">
        <v>0.82666666666666666</v>
      </c>
      <c r="DD10" s="57" t="s">
        <v>548</v>
      </c>
      <c r="DE10" s="57" t="s">
        <v>548</v>
      </c>
      <c r="DF10" s="57" t="s">
        <v>548</v>
      </c>
      <c r="DG10" s="57" t="s">
        <v>548</v>
      </c>
      <c r="DH10" s="57" t="s">
        <v>548</v>
      </c>
      <c r="DI10" s="57">
        <v>5</v>
      </c>
      <c r="DJ10" s="57">
        <v>4</v>
      </c>
      <c r="DK10" s="57" t="s">
        <v>867</v>
      </c>
      <c r="DL10" s="57" t="s">
        <v>868</v>
      </c>
      <c r="DM10" s="57">
        <v>-4.2733011245727539</v>
      </c>
      <c r="DN10" s="57">
        <v>35.857265472412109</v>
      </c>
      <c r="DO10" s="57">
        <v>1324</v>
      </c>
      <c r="DP10" s="57">
        <v>5</v>
      </c>
      <c r="DQ10" s="57">
        <v>1706031849</v>
      </c>
      <c r="DR10" s="57" t="s">
        <v>869</v>
      </c>
      <c r="DS10" s="58">
        <v>42978.591365740736</v>
      </c>
      <c r="DT10" s="58">
        <v>42895.675671296296</v>
      </c>
      <c r="DU10" s="58">
        <v>42978.589768518519</v>
      </c>
      <c r="DV10" s="59">
        <v>42788</v>
      </c>
      <c r="DW10" s="57"/>
      <c r="DX10" s="60">
        <v>7.2268326417704021</v>
      </c>
      <c r="DY10" s="60">
        <v>5.4835177501152614</v>
      </c>
      <c r="DZ10" s="60">
        <v>5.0080682342093139</v>
      </c>
      <c r="EA10" s="60">
        <v>4.2156523743660683</v>
      </c>
      <c r="EB10" s="57"/>
      <c r="EC10" s="57">
        <f>IF(EQ10&lt;EP10,"FALSEE",1)</f>
        <v>1</v>
      </c>
      <c r="ED10" s="57"/>
      <c r="EE10" s="57" t="s">
        <v>2171</v>
      </c>
      <c r="EF10" s="57">
        <v>1.69868314266</v>
      </c>
      <c r="EG10" s="57" t="str">
        <f>IF(EF10&lt;0.5,"Depression",IF(EF10&lt;2,"Very gentle",IF(EF10&lt;5,"Gentle",IF(EF10&lt;9,"Moderate",IF(EF10&lt;15,"Strong",IF(EF10&lt;30,"Steep",IF(EF10&lt;1,"Very steep")))))))</f>
        <v>Very gentle</v>
      </c>
      <c r="EH10" s="57" t="s">
        <v>2173</v>
      </c>
      <c r="EI10" s="57">
        <v>0.45321798324599999</v>
      </c>
      <c r="EJ10" s="60">
        <v>11.231022834799999</v>
      </c>
      <c r="EK10" s="60">
        <f>VLOOKUP(D10,[1]SoilData!$G$15:$K$237,5,FALSE)</f>
        <v>212.51342587661244</v>
      </c>
      <c r="EL10" s="60">
        <f>VLOOKUP(D10,[1]SoilData!$G$245:$K$451,5,FALSE)</f>
        <v>27.706765414020868</v>
      </c>
      <c r="EM10" s="60">
        <f>VLOOKUP(D10,[1]SoilData!$G$15:$M$238,7,FALSE)</f>
        <v>0.86199999999999999</v>
      </c>
      <c r="EN10" s="60">
        <f>VLOOKUP(D10,[1]SoilData!$G$245:$M$454,7,FALSE)</f>
        <v>0.78100000000000003</v>
      </c>
      <c r="EO10" s="60">
        <f>EM10-EN10</f>
        <v>8.0999999999999961E-2</v>
      </c>
      <c r="EP10" s="60">
        <f>AVERAGE(DZ10:EA10)</f>
        <v>4.6118603042876911</v>
      </c>
      <c r="EQ10" s="60">
        <f>AVERAGE(DX10:DY10)</f>
        <v>6.3551751959428318</v>
      </c>
      <c r="ER10" s="43">
        <f>EQ10-EP10</f>
        <v>1.7433148916551406</v>
      </c>
      <c r="ES10" s="64">
        <f>IF(CU10&gt;0.000001,CU10*352,0)</f>
        <v>765.01333333333332</v>
      </c>
      <c r="ET10" s="64">
        <f>IF(DC10&gt;0.0001,DC10*682,0)</f>
        <v>563.78666666666663</v>
      </c>
      <c r="EU10" s="64">
        <f>CY10*795</f>
        <v>95.399999999999991</v>
      </c>
      <c r="EV10" s="64">
        <f>ES10+ET10+EU10</f>
        <v>1424.2</v>
      </c>
      <c r="EW10" s="64">
        <f>IF(AA10="YES",3.5*18.2,0)</f>
        <v>63.699999999999996</v>
      </c>
      <c r="EX10" s="64">
        <f>EV10-EW10</f>
        <v>1360.5</v>
      </c>
    </row>
    <row r="11" spans="1:154" ht="15" x14ac:dyDescent="0.2">
      <c r="A11" s="29" t="s">
        <v>556</v>
      </c>
      <c r="B11" s="29">
        <v>155</v>
      </c>
      <c r="C11" s="29" t="s">
        <v>179</v>
      </c>
      <c r="D11" s="29" t="s">
        <v>179</v>
      </c>
      <c r="E11" s="29" t="str">
        <f>VLOOKUP(D11,Harvest_2017_Formulae!$C$2:$D$968,2,FALSE)</f>
        <v>HALLU</v>
      </c>
      <c r="F11" s="29" t="s">
        <v>938</v>
      </c>
      <c r="G11" s="29">
        <v>2</v>
      </c>
      <c r="H11" s="61" t="str">
        <f>IF(G11&lt;0.05,"Homefield",IF(G11&lt;0.5,"Midfield","outfield"))</f>
        <v>outfield</v>
      </c>
      <c r="I11" s="29" t="s">
        <v>557</v>
      </c>
      <c r="J11" s="61" t="s">
        <v>2234</v>
      </c>
      <c r="K11" s="61" t="s">
        <v>2234</v>
      </c>
      <c r="L11" s="67">
        <v>1</v>
      </c>
      <c r="M11" s="29">
        <v>15</v>
      </c>
      <c r="O11" s="29" t="s">
        <v>971</v>
      </c>
      <c r="P11" s="29" t="s">
        <v>559</v>
      </c>
      <c r="Q11" s="67">
        <v>1</v>
      </c>
      <c r="R11" s="29" t="s">
        <v>558</v>
      </c>
      <c r="S11" s="29">
        <v>5</v>
      </c>
      <c r="T11" s="29" t="s">
        <v>559</v>
      </c>
      <c r="U11" s="29" t="s">
        <v>560</v>
      </c>
      <c r="W11" s="29" t="s">
        <v>561</v>
      </c>
      <c r="Z11" s="29" t="s">
        <v>567</v>
      </c>
      <c r="AA11" s="61" t="s">
        <v>546</v>
      </c>
      <c r="AB11" s="29" t="s">
        <v>547</v>
      </c>
      <c r="AC11" s="67">
        <v>0</v>
      </c>
      <c r="AD11" s="29" t="s">
        <v>547</v>
      </c>
      <c r="AF11" s="29" t="s">
        <v>547</v>
      </c>
      <c r="AG11" s="29" t="s">
        <v>547</v>
      </c>
      <c r="AH11" s="29" t="s">
        <v>546</v>
      </c>
      <c r="AI11" s="29" t="s">
        <v>546</v>
      </c>
      <c r="AJ11" s="29" t="s">
        <v>547</v>
      </c>
      <c r="AK11" s="67">
        <v>0</v>
      </c>
      <c r="AL11" s="29" t="s">
        <v>547</v>
      </c>
      <c r="AO11" s="29" t="s">
        <v>547</v>
      </c>
      <c r="AP11" s="29" t="s">
        <v>547</v>
      </c>
      <c r="AQ11" s="4">
        <f>Q11+AK11</f>
        <v>1</v>
      </c>
      <c r="AR11" s="4">
        <f>L11+AC11</f>
        <v>1</v>
      </c>
      <c r="AS11" t="str">
        <f>AQ11&amp;AR11</f>
        <v>11</v>
      </c>
      <c r="AT11" s="49">
        <f>AQ11-AR11</f>
        <v>0</v>
      </c>
      <c r="AU11">
        <v>1</v>
      </c>
      <c r="AV11" s="29" t="s">
        <v>548</v>
      </c>
      <c r="AW11" s="29">
        <v>0.25</v>
      </c>
      <c r="AX11" s="29" t="s">
        <v>548</v>
      </c>
      <c r="AY11" s="29">
        <v>1</v>
      </c>
      <c r="AZ11" s="29">
        <v>3</v>
      </c>
      <c r="BA11" s="29" t="s">
        <v>548</v>
      </c>
      <c r="BB11" s="29" t="s">
        <v>569</v>
      </c>
      <c r="BC11" s="29">
        <v>1</v>
      </c>
      <c r="BD11" s="29">
        <f>AW11+AZ11</f>
        <v>3.25</v>
      </c>
      <c r="BE11" s="29">
        <f>BD11+BC11</f>
        <v>4.25</v>
      </c>
      <c r="BF11" s="29" t="s">
        <v>548</v>
      </c>
      <c r="BG11" s="29" t="s">
        <v>546</v>
      </c>
      <c r="BH11" s="29" t="s">
        <v>546</v>
      </c>
      <c r="BI11" s="29" t="s">
        <v>546</v>
      </c>
      <c r="BJ11" s="29" t="s">
        <v>546</v>
      </c>
      <c r="BK11" s="29" t="s">
        <v>546</v>
      </c>
      <c r="BL11" s="29">
        <v>3</v>
      </c>
      <c r="BM11" s="29" t="s">
        <v>580</v>
      </c>
      <c r="BO11" s="29" t="s">
        <v>547</v>
      </c>
      <c r="BQ11" s="29" t="s">
        <v>547</v>
      </c>
      <c r="BS11" s="29" t="s">
        <v>547</v>
      </c>
      <c r="BU11" s="29" t="s">
        <v>547</v>
      </c>
      <c r="BW11" s="29">
        <f>(BL11*1)+(BN11*0.1)+(BP11*0.01)+(BR11*0.1)+(BT11*0.3)+(BV11*0.4)</f>
        <v>3</v>
      </c>
      <c r="BX11" s="29" t="s">
        <v>2219</v>
      </c>
      <c r="BY11" s="29">
        <v>2</v>
      </c>
      <c r="BZ11" s="29">
        <v>1</v>
      </c>
      <c r="CA11" s="29">
        <v>4</v>
      </c>
      <c r="CB11" s="29">
        <v>7</v>
      </c>
      <c r="CC11" s="29">
        <v>0</v>
      </c>
      <c r="CD11" s="29">
        <v>0</v>
      </c>
      <c r="CE11" s="29">
        <v>0</v>
      </c>
      <c r="CF11" s="29" t="s">
        <v>547</v>
      </c>
      <c r="CG11" s="29">
        <f>(CC11*15)+(CD11*0.8)+(CE11*0.3)+((AW11+AZ11)*15)</f>
        <v>48.75</v>
      </c>
      <c r="CH11" s="29" t="s">
        <v>2220</v>
      </c>
      <c r="CI11" s="29">
        <f>(BL11*1)+(BN11*0.1)+(BP11*0.01)+(BR11*0.1)+(BT11*0.3)+(BV11*0.4)+(CC11*15)+(CD11*0.8)+(CE11*0.3)+((AW11+AZ11)*15)</f>
        <v>51.75</v>
      </c>
      <c r="CJ11" s="29" t="s">
        <v>546</v>
      </c>
      <c r="CK11" s="29" t="s">
        <v>547</v>
      </c>
      <c r="CL11" s="29" t="s">
        <v>548</v>
      </c>
      <c r="CM11" s="29" t="s">
        <v>550</v>
      </c>
      <c r="CN11" s="29">
        <v>0.25</v>
      </c>
      <c r="CO11" s="29">
        <v>2.75</v>
      </c>
      <c r="CQ11" s="29" t="s">
        <v>548</v>
      </c>
      <c r="CR11" s="29">
        <v>3</v>
      </c>
      <c r="CS11" s="29">
        <v>28</v>
      </c>
      <c r="CT11" s="29" t="s">
        <v>551</v>
      </c>
      <c r="CU11" s="30">
        <v>2.2400000000000002</v>
      </c>
      <c r="CW11" s="29">
        <v>999</v>
      </c>
      <c r="CX11" s="29" t="s">
        <v>551</v>
      </c>
      <c r="CY11" s="62"/>
      <c r="CZ11" s="29">
        <v>3</v>
      </c>
      <c r="DA11" s="29">
        <v>6</v>
      </c>
      <c r="DB11" s="29" t="s">
        <v>551</v>
      </c>
      <c r="DC11" s="62">
        <v>0.48</v>
      </c>
      <c r="DD11" s="29" t="s">
        <v>546</v>
      </c>
      <c r="DE11" s="29" t="s">
        <v>546</v>
      </c>
      <c r="DF11" s="29" t="s">
        <v>546</v>
      </c>
      <c r="DG11" s="29" t="s">
        <v>546</v>
      </c>
      <c r="DH11" s="29" t="s">
        <v>546</v>
      </c>
      <c r="DI11" s="29">
        <v>0</v>
      </c>
      <c r="DJ11" s="29">
        <v>3</v>
      </c>
      <c r="DK11" s="29" t="s">
        <v>972</v>
      </c>
      <c r="DL11" s="29" t="s">
        <v>973</v>
      </c>
      <c r="DM11" s="29">
        <v>-4.266695499420166</v>
      </c>
      <c r="DN11" s="29">
        <v>35.880573272705078</v>
      </c>
      <c r="DO11" s="29">
        <v>1252.199951171875</v>
      </c>
      <c r="DP11" s="29">
        <v>5</v>
      </c>
      <c r="DQ11" s="29">
        <v>1706031849</v>
      </c>
      <c r="DR11" s="29" t="s">
        <v>974</v>
      </c>
      <c r="DS11" s="31">
        <v>42921.432337962964</v>
      </c>
      <c r="DT11" s="31">
        <v>42913.467245370368</v>
      </c>
      <c r="DU11" s="31">
        <v>42913.479548611111</v>
      </c>
      <c r="DV11" s="32">
        <v>42776</v>
      </c>
      <c r="DX11" s="44">
        <v>4.9187613843351556</v>
      </c>
      <c r="DY11" s="44">
        <v>5.0910746812386156</v>
      </c>
      <c r="DZ11" s="44">
        <v>1.828125</v>
      </c>
      <c r="EA11" s="44">
        <v>1.640625</v>
      </c>
      <c r="EC11" s="29">
        <f>IF(EQ11&lt;EP11,"FALSEE",1)</f>
        <v>1</v>
      </c>
      <c r="EE11" s="29" t="s">
        <v>2171</v>
      </c>
      <c r="EF11" s="29">
        <v>1.0361100435299999</v>
      </c>
      <c r="EG11" s="29" t="str">
        <f>IF(EF11&lt;0.5,"Depression",IF(EF11&lt;2,"Very gentle",IF(EF11&lt;5,"Gentle",IF(EF11&lt;9,"Moderate",IF(EF11&lt;15,"Strong",IF(EF11&lt;30,"Steep",IF(EF11&lt;1,"Very steep")))))))</f>
        <v>Very gentle</v>
      </c>
      <c r="EH11" s="29" t="s">
        <v>2173</v>
      </c>
      <c r="EI11" s="29">
        <v>8.4776775111099995E-6</v>
      </c>
      <c r="EJ11" s="43">
        <v>10.2860393524</v>
      </c>
      <c r="EK11" s="43">
        <f>VLOOKUP(D11,[1]SoilData!$G$15:$K$237,5,FALSE)</f>
        <v>160.95575771923316</v>
      </c>
      <c r="EL11" s="43">
        <f>VLOOKUP(D11,[1]SoilData!$G$245:$K$451,5,FALSE)</f>
        <v>215.29434204741466</v>
      </c>
      <c r="EM11" s="43">
        <f>VLOOKUP(D11,[1]SoilData!$G$15:$M$238,7,FALSE)</f>
        <v>1.4670000000000001</v>
      </c>
      <c r="EN11" s="43">
        <f>VLOOKUP(D11,[1]SoilData!$G$245:$M$454,7,FALSE)</f>
        <v>1.0049999999999999</v>
      </c>
      <c r="EO11" s="60">
        <f>EM11-EN11</f>
        <v>0.46200000000000019</v>
      </c>
      <c r="EP11" s="44">
        <f>AVERAGE(DZ11:EA11)</f>
        <v>1.734375</v>
      </c>
      <c r="EQ11" s="44">
        <f>AVERAGE(DX11:DY11)</f>
        <v>5.0049180327868861</v>
      </c>
      <c r="ER11" s="43">
        <f>EQ11-EP11</f>
        <v>3.2705430327868861</v>
      </c>
      <c r="ES11" s="64">
        <f>IF(CU11&gt;0.000001,CU11*352,0)</f>
        <v>788.48</v>
      </c>
      <c r="ET11" s="64">
        <f>IF(DC11&gt;0.0001,DC11*682,0)</f>
        <v>327.36</v>
      </c>
      <c r="EU11" s="64">
        <f>CY11*795</f>
        <v>0</v>
      </c>
      <c r="EV11" s="64">
        <f>ES11+ET11+EU11</f>
        <v>1115.8400000000001</v>
      </c>
      <c r="EW11" s="64">
        <f>IF(AA11="YES",3.5*18.2,0)</f>
        <v>0</v>
      </c>
      <c r="EX11" s="64">
        <f>EV11-EW11</f>
        <v>1115.8400000000001</v>
      </c>
    </row>
    <row r="12" spans="1:154" ht="15" x14ac:dyDescent="0.2">
      <c r="A12" s="29" t="s">
        <v>789</v>
      </c>
      <c r="B12" s="29">
        <v>29</v>
      </c>
      <c r="C12" s="29" t="s">
        <v>1269</v>
      </c>
      <c r="D12" s="29" t="s">
        <v>264</v>
      </c>
      <c r="E12" s="29" t="str">
        <f>VLOOKUP(D12,Harvest_2017_Formulae!$C$2:$D$968,2,FALSE)</f>
        <v>Sangara</v>
      </c>
      <c r="F12" s="29" t="s">
        <v>1014</v>
      </c>
      <c r="G12" s="29">
        <v>0.20000000298023224</v>
      </c>
      <c r="H12" s="61" t="str">
        <f>IF(G12&lt;0.05,"Homefield",IF(G12&lt;0.5,"Midfield","outfield"))</f>
        <v>Midfield</v>
      </c>
      <c r="I12" s="29" t="s">
        <v>557</v>
      </c>
      <c r="J12" s="61" t="s">
        <v>2234</v>
      </c>
      <c r="K12" s="61" t="s">
        <v>2234</v>
      </c>
      <c r="L12" s="67">
        <v>1</v>
      </c>
      <c r="M12" s="29">
        <v>2</v>
      </c>
      <c r="O12" s="29" t="s">
        <v>1270</v>
      </c>
      <c r="P12" s="29">
        <v>0.30000001192092896</v>
      </c>
      <c r="Q12" s="67">
        <v>1</v>
      </c>
      <c r="R12" s="29" t="s">
        <v>791</v>
      </c>
      <c r="S12" s="29">
        <v>6</v>
      </c>
      <c r="T12" s="29">
        <v>0.20000000298023224</v>
      </c>
      <c r="U12" s="29" t="s">
        <v>560</v>
      </c>
      <c r="W12" s="29" t="s">
        <v>561</v>
      </c>
      <c r="Z12" s="29" t="s">
        <v>831</v>
      </c>
      <c r="AA12" s="61" t="s">
        <v>548</v>
      </c>
      <c r="AB12" s="29" t="s">
        <v>568</v>
      </c>
      <c r="AC12" s="67">
        <v>0</v>
      </c>
      <c r="AD12" s="29" t="s">
        <v>547</v>
      </c>
      <c r="AF12" s="29" t="s">
        <v>547</v>
      </c>
      <c r="AG12" s="29" t="s">
        <v>547</v>
      </c>
      <c r="AH12" s="29" t="s">
        <v>548</v>
      </c>
      <c r="AI12" s="29" t="s">
        <v>546</v>
      </c>
      <c r="AK12" s="67">
        <v>0</v>
      </c>
      <c r="AL12" s="29" t="s">
        <v>547</v>
      </c>
      <c r="AO12" s="29" t="s">
        <v>547</v>
      </c>
      <c r="AP12" s="29" t="s">
        <v>547</v>
      </c>
      <c r="AQ12" s="4">
        <f>Q12+AK12</f>
        <v>1</v>
      </c>
      <c r="AR12" s="4">
        <f>L12+AC12</f>
        <v>1</v>
      </c>
      <c r="AS12" t="str">
        <f>AQ12&amp;AR12</f>
        <v>11</v>
      </c>
      <c r="AT12" s="49">
        <f>AQ12-AR12</f>
        <v>0</v>
      </c>
      <c r="AU12">
        <v>1</v>
      </c>
      <c r="AV12" s="29" t="s">
        <v>548</v>
      </c>
      <c r="AW12" s="29">
        <v>3.5</v>
      </c>
      <c r="AX12" s="29" t="s">
        <v>548</v>
      </c>
      <c r="AY12" s="29">
        <v>3</v>
      </c>
      <c r="AZ12" s="29">
        <v>30</v>
      </c>
      <c r="BA12" s="29" t="s">
        <v>546</v>
      </c>
      <c r="BB12" s="29" t="s">
        <v>547</v>
      </c>
      <c r="BD12" s="29">
        <f>AW12+AZ12</f>
        <v>33.5</v>
      </c>
      <c r="BE12" s="29">
        <f>BD12+BC12</f>
        <v>33.5</v>
      </c>
      <c r="BF12" s="29" t="s">
        <v>548</v>
      </c>
      <c r="BG12" s="29" t="s">
        <v>548</v>
      </c>
      <c r="BH12" s="29" t="s">
        <v>548</v>
      </c>
      <c r="BI12" s="29" t="s">
        <v>548</v>
      </c>
      <c r="BJ12" s="29" t="s">
        <v>546</v>
      </c>
      <c r="BK12" s="29" t="s">
        <v>546</v>
      </c>
      <c r="BL12" s="29">
        <v>15</v>
      </c>
      <c r="BM12" s="29" t="s">
        <v>549</v>
      </c>
      <c r="BN12" s="29">
        <v>23</v>
      </c>
      <c r="BO12" s="29" t="s">
        <v>580</v>
      </c>
      <c r="BP12" s="29">
        <v>16</v>
      </c>
      <c r="BQ12" s="29" t="s">
        <v>580</v>
      </c>
      <c r="BR12" s="29">
        <v>4</v>
      </c>
      <c r="BS12" s="29" t="s">
        <v>580</v>
      </c>
      <c r="BU12" s="29" t="s">
        <v>547</v>
      </c>
      <c r="BW12" s="29">
        <f>(BL12*1)+(BN12*0.1)+(BP12*0.01)+(BR12*0.1)+(BT12*0.3)+(BV12*0.4)</f>
        <v>17.86</v>
      </c>
      <c r="BX12" s="29" t="s">
        <v>2221</v>
      </c>
      <c r="BY12" s="29">
        <v>5</v>
      </c>
      <c r="BZ12" s="29">
        <v>3</v>
      </c>
      <c r="CA12" s="29">
        <v>1</v>
      </c>
      <c r="CB12" s="29">
        <v>9</v>
      </c>
      <c r="CC12" s="29">
        <v>0</v>
      </c>
      <c r="CD12" s="29">
        <v>1</v>
      </c>
      <c r="CE12" s="29">
        <v>2</v>
      </c>
      <c r="CG12" s="29">
        <f>(CC12*15)+(CD12*0.8)+(CE12*0.3)+((AW12+AZ12)*15)</f>
        <v>503.9</v>
      </c>
      <c r="CH12" s="29" t="s">
        <v>2221</v>
      </c>
      <c r="CI12" s="29">
        <f>(BL12*1)+(BN12*0.1)+(BP12*0.01)+(BR12*0.1)+(BT12*0.3)+(BV12*0.4)+(CC12*15)+(CD12*0.8)+(CE12*0.3)+((AW12+AZ12)*15)</f>
        <v>521.76</v>
      </c>
      <c r="CJ12" s="29" t="s">
        <v>548</v>
      </c>
      <c r="CK12" s="29" t="s">
        <v>797</v>
      </c>
      <c r="CL12" s="29" t="s">
        <v>548</v>
      </c>
      <c r="CM12" s="29" t="s">
        <v>793</v>
      </c>
      <c r="CN12" s="29">
        <v>0.75</v>
      </c>
      <c r="CO12" s="29">
        <v>32.25</v>
      </c>
      <c r="CP12" s="29">
        <v>0</v>
      </c>
      <c r="CQ12" s="29" t="s">
        <v>546</v>
      </c>
      <c r="CR12" s="29">
        <v>1</v>
      </c>
      <c r="CS12" s="29">
        <v>8</v>
      </c>
      <c r="CT12" s="29" t="s">
        <v>551</v>
      </c>
      <c r="CU12" s="30">
        <v>1.92</v>
      </c>
      <c r="CW12" s="29">
        <v>999</v>
      </c>
      <c r="CX12" s="29" t="s">
        <v>551</v>
      </c>
      <c r="CY12" s="62"/>
      <c r="DA12" s="29">
        <v>999</v>
      </c>
      <c r="DB12" s="29" t="s">
        <v>551</v>
      </c>
      <c r="DC12" s="62"/>
      <c r="DD12" s="29" t="s">
        <v>546</v>
      </c>
      <c r="DE12" s="29" t="s">
        <v>548</v>
      </c>
      <c r="DF12" s="29" t="s">
        <v>546</v>
      </c>
      <c r="DG12" s="29" t="s">
        <v>546</v>
      </c>
      <c r="DH12" s="29" t="s">
        <v>546</v>
      </c>
      <c r="DI12" s="29">
        <v>1</v>
      </c>
      <c r="DJ12" s="29">
        <v>4</v>
      </c>
      <c r="DK12" s="29" t="s">
        <v>1271</v>
      </c>
      <c r="DL12" s="29" t="s">
        <v>1272</v>
      </c>
      <c r="DM12" s="29">
        <v>-4.2877449989318848</v>
      </c>
      <c r="DN12" s="29">
        <v>35.635135650634766</v>
      </c>
      <c r="DO12" s="29">
        <v>1411.800048828125</v>
      </c>
      <c r="DP12" s="29">
        <v>15</v>
      </c>
      <c r="DQ12" s="29">
        <v>1705231439</v>
      </c>
      <c r="DR12" s="29" t="s">
        <v>1273</v>
      </c>
      <c r="DS12" s="31">
        <v>42908.292581018519</v>
      </c>
      <c r="DT12" s="31">
        <v>42898.467569444445</v>
      </c>
      <c r="DU12" s="31">
        <v>42908.288182870368</v>
      </c>
      <c r="DV12" s="32">
        <v>42752</v>
      </c>
      <c r="DX12" s="44">
        <v>7.7096938775510209</v>
      </c>
      <c r="DY12" s="44">
        <v>7.4191836734693899</v>
      </c>
      <c r="DZ12" s="44">
        <v>5.9511111111111124</v>
      </c>
      <c r="EA12" s="44">
        <v>3.7112698412698415</v>
      </c>
      <c r="EC12" s="29">
        <f>IF(EQ12&lt;EP12,"FALSEE",1)</f>
        <v>1</v>
      </c>
      <c r="EE12" s="29" t="s">
        <v>2171</v>
      </c>
      <c r="EF12" s="29">
        <v>2.3029155731199999</v>
      </c>
      <c r="EG12" s="29" t="str">
        <f>IF(EF12&lt;0.5,"Depression",IF(EF12&lt;2,"Very gentle",IF(EF12&lt;5,"Gentle",IF(EF12&lt;9,"Moderate",IF(EF12&lt;15,"Strong",IF(EF12&lt;30,"Steep",IF(EF12&lt;1,"Very steep")))))))</f>
        <v>Gentle</v>
      </c>
      <c r="EH12" s="29" t="s">
        <v>2173</v>
      </c>
      <c r="EI12" s="29">
        <v>-0.362559139729</v>
      </c>
      <c r="EJ12" s="43">
        <v>12.200060844399999</v>
      </c>
      <c r="EK12" s="43">
        <f>VLOOKUP(D12,[1]SoilData!$G$15:$K$237,5,FALSE)</f>
        <v>246.67458230236457</v>
      </c>
      <c r="EL12" s="43"/>
      <c r="EM12" s="43">
        <f>VLOOKUP(D12,[1]SoilData!$G$15:$M$238,7,FALSE)</f>
        <v>1.321</v>
      </c>
      <c r="EN12" s="43"/>
      <c r="EO12" s="60"/>
      <c r="EP12" s="44">
        <f>AVERAGE(DZ12:EA12)</f>
        <v>4.8311904761904767</v>
      </c>
      <c r="EQ12" s="44">
        <f>AVERAGE(DX12:DY12)</f>
        <v>7.5644387755102054</v>
      </c>
      <c r="ER12" s="43">
        <f>EQ12-EP12</f>
        <v>2.7332482993197287</v>
      </c>
      <c r="ES12" s="64">
        <f>IF(CU12&gt;0.000001,CU12*352,0)</f>
        <v>675.83999999999992</v>
      </c>
      <c r="ET12" s="64">
        <f>IF(DC12&gt;0.0001,DC12*682,0)</f>
        <v>0</v>
      </c>
      <c r="EU12" s="64">
        <f>CY12*795</f>
        <v>0</v>
      </c>
      <c r="EV12" s="64">
        <f>ES12+ET12+EU12</f>
        <v>675.83999999999992</v>
      </c>
      <c r="EW12" s="64">
        <f>IF(AA12="YES",3.5*18.2,0)</f>
        <v>63.699999999999996</v>
      </c>
      <c r="EX12" s="64">
        <f>EV12-EW12</f>
        <v>612.13999999999987</v>
      </c>
    </row>
    <row r="13" spans="1:154" ht="15" x14ac:dyDescent="0.2">
      <c r="A13" s="29" t="s">
        <v>789</v>
      </c>
      <c r="B13" s="29">
        <v>37</v>
      </c>
      <c r="C13" s="29" t="s">
        <v>1502</v>
      </c>
      <c r="D13" s="29" t="s">
        <v>1502</v>
      </c>
      <c r="E13" s="29" t="e">
        <f>VLOOKUP(D13,Harvest_2017_Formulae!$C$2:$D$968,2,FALSE)</f>
        <v>#N/A</v>
      </c>
      <c r="F13" s="29" t="s">
        <v>1014</v>
      </c>
      <c r="G13" s="29">
        <v>0</v>
      </c>
      <c r="H13" s="61" t="str">
        <f>IF(G13&lt;0.05,"Homefield",IF(G13&lt;0.5,"Midfield","outfield"))</f>
        <v>Homefield</v>
      </c>
      <c r="I13" s="29" t="s">
        <v>557</v>
      </c>
      <c r="J13" s="61" t="s">
        <v>2233</v>
      </c>
      <c r="K13" s="61" t="s">
        <v>2233</v>
      </c>
      <c r="L13" s="67">
        <v>1</v>
      </c>
      <c r="M13" s="29">
        <v>0.5</v>
      </c>
      <c r="O13" s="29" t="s">
        <v>567</v>
      </c>
      <c r="P13" s="29">
        <v>0.69999998807907104</v>
      </c>
      <c r="Q13" s="67">
        <v>1</v>
      </c>
      <c r="R13" s="29" t="s">
        <v>791</v>
      </c>
      <c r="S13" s="29">
        <v>1</v>
      </c>
      <c r="T13" s="29">
        <v>0.20000000298023224</v>
      </c>
      <c r="U13" s="29" t="s">
        <v>560</v>
      </c>
      <c r="W13" s="29" t="s">
        <v>635</v>
      </c>
      <c r="Z13" s="29" t="s">
        <v>567</v>
      </c>
      <c r="AA13" s="61" t="s">
        <v>548</v>
      </c>
      <c r="AB13" s="29" t="s">
        <v>568</v>
      </c>
      <c r="AC13" s="67">
        <v>0</v>
      </c>
      <c r="AD13" s="29" t="s">
        <v>547</v>
      </c>
      <c r="AF13" s="29" t="s">
        <v>547</v>
      </c>
      <c r="AG13" s="29" t="s">
        <v>547</v>
      </c>
      <c r="AH13" s="29" t="s">
        <v>548</v>
      </c>
      <c r="AI13" s="29" t="s">
        <v>546</v>
      </c>
      <c r="AK13" s="67">
        <v>0</v>
      </c>
      <c r="AL13" s="29" t="s">
        <v>547</v>
      </c>
      <c r="AO13" s="29" t="s">
        <v>547</v>
      </c>
      <c r="AP13" s="29" t="s">
        <v>547</v>
      </c>
      <c r="AQ13" s="4">
        <f>Q13+AK13</f>
        <v>1</v>
      </c>
      <c r="AR13" s="4">
        <f>L13+AC13</f>
        <v>1</v>
      </c>
      <c r="AS13" t="str">
        <f>AQ13&amp;AR13</f>
        <v>11</v>
      </c>
      <c r="AT13" s="49">
        <f>AQ13-AR13</f>
        <v>0</v>
      </c>
      <c r="AU13">
        <v>1</v>
      </c>
      <c r="AV13" s="29" t="s">
        <v>548</v>
      </c>
      <c r="AW13" s="29">
        <v>2</v>
      </c>
      <c r="AX13" s="29" t="s">
        <v>548</v>
      </c>
      <c r="AY13" s="29">
        <v>2</v>
      </c>
      <c r="AZ13" s="29">
        <v>7.5</v>
      </c>
      <c r="BA13" s="29" t="s">
        <v>546</v>
      </c>
      <c r="BB13" s="29" t="s">
        <v>547</v>
      </c>
      <c r="BD13" s="29">
        <f>AW13+AZ13</f>
        <v>9.5</v>
      </c>
      <c r="BE13" s="29">
        <f>BD13+BC13</f>
        <v>9.5</v>
      </c>
      <c r="BF13" s="29" t="s">
        <v>548</v>
      </c>
      <c r="BG13" s="29" t="s">
        <v>548</v>
      </c>
      <c r="BH13" s="29" t="s">
        <v>548</v>
      </c>
      <c r="BI13" s="29" t="s">
        <v>546</v>
      </c>
      <c r="BJ13" s="29" t="s">
        <v>548</v>
      </c>
      <c r="BK13" s="29" t="s">
        <v>546</v>
      </c>
      <c r="BL13" s="29">
        <v>22</v>
      </c>
      <c r="BM13" s="29" t="s">
        <v>549</v>
      </c>
      <c r="BN13" s="29">
        <v>3</v>
      </c>
      <c r="BO13" s="29" t="s">
        <v>580</v>
      </c>
      <c r="BP13" s="29">
        <v>6</v>
      </c>
      <c r="BQ13" s="29" t="s">
        <v>580</v>
      </c>
      <c r="BS13" s="29" t="s">
        <v>547</v>
      </c>
      <c r="BT13" s="29">
        <v>11</v>
      </c>
      <c r="BU13" s="29" t="s">
        <v>562</v>
      </c>
      <c r="BW13" s="29">
        <f>(BL13*1)+(BN13*0.1)+(BP13*0.01)+(BR13*0.1)+(BT13*0.3)+(BV13*0.4)</f>
        <v>25.66</v>
      </c>
      <c r="BX13" s="29" t="s">
        <v>2221</v>
      </c>
      <c r="BY13" s="29">
        <v>3</v>
      </c>
      <c r="BZ13" s="29">
        <v>1</v>
      </c>
      <c r="CA13" s="29">
        <v>2</v>
      </c>
      <c r="CB13" s="29">
        <v>6</v>
      </c>
      <c r="CC13" s="29">
        <v>0</v>
      </c>
      <c r="CD13" s="29">
        <v>0</v>
      </c>
      <c r="CE13" s="29">
        <v>3</v>
      </c>
      <c r="CG13" s="29">
        <f>(CC13*15)+(CD13*0.8)+(CE13*0.3)+((AW13+AZ13)*15)</f>
        <v>143.4</v>
      </c>
      <c r="CH13" s="29" t="s">
        <v>2221</v>
      </c>
      <c r="CI13" s="29">
        <f>(BL13*1)+(BN13*0.1)+(BP13*0.01)+(BR13*0.1)+(BT13*0.3)+(BV13*0.4)+(CC13*15)+(CD13*0.8)+(CE13*0.3)+((AW13+AZ13)*15)</f>
        <v>169.06</v>
      </c>
      <c r="CJ13" s="29" t="s">
        <v>548</v>
      </c>
      <c r="CK13" s="29" t="s">
        <v>1503</v>
      </c>
      <c r="CL13" s="29" t="s">
        <v>548</v>
      </c>
      <c r="CM13" s="29" t="s">
        <v>793</v>
      </c>
      <c r="CN13" s="29">
        <v>1.25</v>
      </c>
      <c r="CO13" s="29">
        <v>6</v>
      </c>
      <c r="CP13" s="29">
        <v>0</v>
      </c>
      <c r="CQ13" s="29" t="s">
        <v>546</v>
      </c>
      <c r="CR13" s="29">
        <v>1</v>
      </c>
      <c r="CS13" s="29">
        <v>12</v>
      </c>
      <c r="CT13" s="29" t="s">
        <v>551</v>
      </c>
      <c r="CU13" s="30">
        <v>2.8800000000000003</v>
      </c>
      <c r="CV13" s="29">
        <v>1</v>
      </c>
      <c r="CW13" s="29">
        <v>3</v>
      </c>
      <c r="CX13" s="29" t="s">
        <v>551</v>
      </c>
      <c r="CY13" s="62">
        <v>0.72</v>
      </c>
      <c r="CZ13" s="29">
        <v>1</v>
      </c>
      <c r="DA13" s="29">
        <v>8</v>
      </c>
      <c r="DB13" s="29" t="s">
        <v>551</v>
      </c>
      <c r="DC13" s="62">
        <v>1.92</v>
      </c>
      <c r="DD13" s="29" t="s">
        <v>548</v>
      </c>
      <c r="DE13" s="29" t="s">
        <v>546</v>
      </c>
      <c r="DF13" s="29" t="s">
        <v>548</v>
      </c>
      <c r="DG13" s="29" t="s">
        <v>546</v>
      </c>
      <c r="DH13" s="29" t="s">
        <v>548</v>
      </c>
      <c r="DI13" s="29">
        <v>3</v>
      </c>
      <c r="DJ13" s="29">
        <v>5</v>
      </c>
      <c r="DK13" s="29" t="s">
        <v>1504</v>
      </c>
      <c r="DL13" s="29" t="s">
        <v>1505</v>
      </c>
      <c r="DM13" s="29">
        <v>-4.3000764846801758</v>
      </c>
      <c r="DN13" s="29">
        <v>35.629844665527344</v>
      </c>
      <c r="DO13" s="29">
        <v>1417.699951171875</v>
      </c>
      <c r="DP13" s="29">
        <v>15</v>
      </c>
      <c r="DQ13" s="29">
        <v>1705231439</v>
      </c>
      <c r="DR13" s="29" t="s">
        <v>1506</v>
      </c>
      <c r="DS13" s="31">
        <v>42908.292650462958</v>
      </c>
      <c r="DT13" s="31">
        <v>42899.460740740746</v>
      </c>
      <c r="DU13" s="31">
        <v>42908.289375</v>
      </c>
      <c r="DV13" s="32">
        <v>42807</v>
      </c>
      <c r="EC13" s="29">
        <f>IF(EQ13&lt;EP13,"FALSEE",1)</f>
        <v>1</v>
      </c>
      <c r="EE13" s="29" t="s">
        <v>2179</v>
      </c>
      <c r="EF13" s="29">
        <v>4.0973973274200004</v>
      </c>
      <c r="EG13" s="29" t="str">
        <f>IF(EF13&lt;0.5,"Depression",IF(EF13&lt;2,"Very gentle",IF(EF13&lt;5,"Gentle",IF(EF13&lt;9,"Moderate",IF(EF13&lt;15,"Strong",IF(EF13&lt;30,"Steep",IF(EF13&lt;1,"Very steep")))))))</f>
        <v>Gentle</v>
      </c>
      <c r="EH13" s="29" t="s">
        <v>2172</v>
      </c>
      <c r="EI13" s="29">
        <v>-0.90641051530799999</v>
      </c>
      <c r="EJ13" s="43">
        <v>9.8035144805899996</v>
      </c>
      <c r="EK13" s="43"/>
      <c r="EL13" s="43"/>
      <c r="EM13" s="43"/>
      <c r="EN13" s="43"/>
      <c r="EO13" s="60"/>
      <c r="EP13" s="43"/>
      <c r="EQ13" s="43"/>
      <c r="ER13" s="43"/>
      <c r="ES13" s="64">
        <f>IF(CU13&gt;0.000001,CU13*352,0)</f>
        <v>1013.7600000000001</v>
      </c>
      <c r="ET13" s="64">
        <f>IF(DC13&gt;0.0001,DC13*682,0)</f>
        <v>1309.44</v>
      </c>
      <c r="EU13" s="64">
        <f>CY13*795</f>
        <v>572.4</v>
      </c>
      <c r="EV13" s="64">
        <f>ES13+ET13+EU13</f>
        <v>2895.6000000000004</v>
      </c>
      <c r="EW13" s="64">
        <f>IF(AA13="YES",3.5*18.2,0)</f>
        <v>63.699999999999996</v>
      </c>
      <c r="EX13" s="64">
        <f>EV13-EW13</f>
        <v>2831.9000000000005</v>
      </c>
    </row>
    <row r="14" spans="1:154" ht="15" x14ac:dyDescent="0.2">
      <c r="A14" s="57" t="s">
        <v>556</v>
      </c>
      <c r="B14" s="57">
        <v>138</v>
      </c>
      <c r="C14" s="57" t="s">
        <v>320</v>
      </c>
      <c r="D14" s="57" t="s">
        <v>320</v>
      </c>
      <c r="E14" s="57" t="str">
        <f>VLOOKUP(D14,Harvest_2017_Formulae!$C$2:$D$968,2,FALSE)</f>
        <v>AYAMANGO</v>
      </c>
      <c r="F14" s="57" t="s">
        <v>196</v>
      </c>
      <c r="G14" s="57">
        <v>0</v>
      </c>
      <c r="H14" s="61" t="str">
        <f>IF(G14&lt;0.05,"Homefield",IF(G14&lt;0.5,"Midfield","outfield"))</f>
        <v>Homefield</v>
      </c>
      <c r="I14" s="57" t="s">
        <v>557</v>
      </c>
      <c r="J14" s="61" t="s">
        <v>2233</v>
      </c>
      <c r="K14" s="61" t="s">
        <v>2233</v>
      </c>
      <c r="L14" s="67">
        <v>0</v>
      </c>
      <c r="M14" s="57"/>
      <c r="N14" s="57"/>
      <c r="O14" s="57" t="s">
        <v>547</v>
      </c>
      <c r="P14" s="57"/>
      <c r="Q14" s="67">
        <v>0</v>
      </c>
      <c r="R14" s="57" t="s">
        <v>547</v>
      </c>
      <c r="S14" s="57"/>
      <c r="T14" s="57"/>
      <c r="U14" s="57" t="s">
        <v>547</v>
      </c>
      <c r="V14" s="57"/>
      <c r="W14" s="57" t="s">
        <v>547</v>
      </c>
      <c r="X14" s="57"/>
      <c r="Y14" s="57"/>
      <c r="Z14" s="57" t="s">
        <v>547</v>
      </c>
      <c r="AA14" s="61" t="s">
        <v>548</v>
      </c>
      <c r="AB14" s="57" t="s">
        <v>614</v>
      </c>
      <c r="AC14" s="67">
        <v>1</v>
      </c>
      <c r="AD14" s="57" t="s">
        <v>615</v>
      </c>
      <c r="AE14" s="57">
        <v>4</v>
      </c>
      <c r="AF14" s="57" t="s">
        <v>547</v>
      </c>
      <c r="AG14" s="57" t="s">
        <v>616</v>
      </c>
      <c r="AH14" s="57" t="s">
        <v>546</v>
      </c>
      <c r="AI14" s="57" t="s">
        <v>546</v>
      </c>
      <c r="AJ14" s="57" t="s">
        <v>547</v>
      </c>
      <c r="AK14" s="67">
        <v>1</v>
      </c>
      <c r="AL14" s="57">
        <v>4</v>
      </c>
      <c r="AM14" s="57">
        <v>1</v>
      </c>
      <c r="AN14" s="57">
        <v>5</v>
      </c>
      <c r="AO14" s="57" t="s">
        <v>547</v>
      </c>
      <c r="AP14" s="57" t="s">
        <v>567</v>
      </c>
      <c r="AQ14" s="4">
        <f>Q14+AK14</f>
        <v>1</v>
      </c>
      <c r="AR14" s="4">
        <f>L14+AC14</f>
        <v>1</v>
      </c>
      <c r="AS14" t="str">
        <f>AQ14&amp;AR14</f>
        <v>11</v>
      </c>
      <c r="AT14" s="49">
        <f>AQ14-AR14</f>
        <v>0</v>
      </c>
      <c r="AU14">
        <v>1</v>
      </c>
      <c r="AV14" s="57" t="s">
        <v>548</v>
      </c>
      <c r="AW14" s="57">
        <v>2</v>
      </c>
      <c r="AX14" s="57" t="s">
        <v>548</v>
      </c>
      <c r="AY14" s="57">
        <v>2</v>
      </c>
      <c r="AZ14" s="57">
        <v>3</v>
      </c>
      <c r="BA14" s="57" t="s">
        <v>548</v>
      </c>
      <c r="BB14" s="57" t="s">
        <v>569</v>
      </c>
      <c r="BC14" s="57">
        <v>1</v>
      </c>
      <c r="BD14" s="29">
        <f>AW14+AZ14</f>
        <v>5</v>
      </c>
      <c r="BE14" s="29">
        <f>BD14+BC14</f>
        <v>6</v>
      </c>
      <c r="BF14" s="57" t="s">
        <v>548</v>
      </c>
      <c r="BG14" s="57" t="s">
        <v>548</v>
      </c>
      <c r="BH14" s="57" t="s">
        <v>548</v>
      </c>
      <c r="BI14" s="57" t="s">
        <v>548</v>
      </c>
      <c r="BJ14" s="57" t="s">
        <v>546</v>
      </c>
      <c r="BK14" s="57" t="s">
        <v>546</v>
      </c>
      <c r="BL14" s="57">
        <v>6</v>
      </c>
      <c r="BM14" s="57" t="s">
        <v>549</v>
      </c>
      <c r="BN14" s="57">
        <v>3</v>
      </c>
      <c r="BO14" s="57" t="s">
        <v>549</v>
      </c>
      <c r="BP14" s="57">
        <v>3</v>
      </c>
      <c r="BQ14" s="57" t="s">
        <v>549</v>
      </c>
      <c r="BR14" s="57">
        <v>3</v>
      </c>
      <c r="BS14" s="57" t="s">
        <v>549</v>
      </c>
      <c r="BT14" s="57"/>
      <c r="BU14" s="57" t="s">
        <v>547</v>
      </c>
      <c r="BV14" s="57"/>
      <c r="BW14" s="29">
        <f>(BL14*1)+(BN14*0.1)+(BP14*0.01)+(BR14*0.1)+(BT14*0.3)+(BV14*0.4)</f>
        <v>6.63</v>
      </c>
      <c r="BX14" s="29" t="s">
        <v>2220</v>
      </c>
      <c r="BY14" s="57">
        <v>4</v>
      </c>
      <c r="BZ14" s="57">
        <v>1</v>
      </c>
      <c r="CA14" s="57">
        <v>4</v>
      </c>
      <c r="CB14" s="57">
        <v>9</v>
      </c>
      <c r="CC14" s="57">
        <v>0</v>
      </c>
      <c r="CD14" s="57">
        <v>0</v>
      </c>
      <c r="CE14" s="57">
        <v>1</v>
      </c>
      <c r="CF14" s="57" t="s">
        <v>547</v>
      </c>
      <c r="CG14" s="29">
        <f>(CC14*15)+(CD14*0.8)+(CE14*0.3)+((AW14+AZ14)*15)</f>
        <v>75.3</v>
      </c>
      <c r="CH14" s="29" t="s">
        <v>2221</v>
      </c>
      <c r="CI14" s="57">
        <f>(BL14*1)+(BN14*0.1)+(BP14*0.01)+(BR14*0.1)+(BT14*0.3)+(BV14*0.4)+(CC14*15)+(CD14*0.8)+(CE14*0.3)+((AW14+AZ14)*15)</f>
        <v>81.93</v>
      </c>
      <c r="CJ14" s="57" t="s">
        <v>546</v>
      </c>
      <c r="CK14" s="57" t="s">
        <v>547</v>
      </c>
      <c r="CL14" s="57" t="s">
        <v>548</v>
      </c>
      <c r="CM14" s="57" t="s">
        <v>617</v>
      </c>
      <c r="CN14" s="57">
        <v>0.25</v>
      </c>
      <c r="CO14" s="57">
        <v>1.25</v>
      </c>
      <c r="CP14" s="57"/>
      <c r="CQ14" s="57" t="s">
        <v>548</v>
      </c>
      <c r="CR14" s="57">
        <v>2</v>
      </c>
      <c r="CS14" s="57">
        <v>20</v>
      </c>
      <c r="CT14" s="57" t="s">
        <v>551</v>
      </c>
      <c r="CU14" s="57">
        <v>2.4</v>
      </c>
      <c r="CV14" s="57"/>
      <c r="CW14" s="57">
        <v>999</v>
      </c>
      <c r="CX14" s="57" t="s">
        <v>551</v>
      </c>
      <c r="CY14" s="60"/>
      <c r="CZ14" s="57">
        <v>2</v>
      </c>
      <c r="DA14" s="57">
        <v>3</v>
      </c>
      <c r="DB14" s="57" t="s">
        <v>551</v>
      </c>
      <c r="DC14" s="60">
        <v>0.36</v>
      </c>
      <c r="DD14" s="57" t="s">
        <v>546</v>
      </c>
      <c r="DE14" s="57" t="s">
        <v>546</v>
      </c>
      <c r="DF14" s="57" t="s">
        <v>548</v>
      </c>
      <c r="DG14" s="57" t="s">
        <v>546</v>
      </c>
      <c r="DH14" s="57" t="s">
        <v>546</v>
      </c>
      <c r="DI14" s="57">
        <v>1</v>
      </c>
      <c r="DJ14" s="57">
        <v>4</v>
      </c>
      <c r="DK14" s="57" t="s">
        <v>618</v>
      </c>
      <c r="DL14" s="57" t="s">
        <v>619</v>
      </c>
      <c r="DM14" s="57">
        <v>-4.2297592163085938</v>
      </c>
      <c r="DN14" s="57">
        <v>35.877033233642578</v>
      </c>
      <c r="DO14" s="57">
        <v>1274.0999755859375</v>
      </c>
      <c r="DP14" s="57">
        <v>5</v>
      </c>
      <c r="DQ14" s="57">
        <v>1706031849</v>
      </c>
      <c r="DR14" s="57" t="s">
        <v>620</v>
      </c>
      <c r="DS14" s="58">
        <v>42908.460509259261</v>
      </c>
      <c r="DT14" s="58">
        <v>42907.464409722219</v>
      </c>
      <c r="DU14" s="58">
        <v>42908.459756944445</v>
      </c>
      <c r="DV14" s="59">
        <v>42768</v>
      </c>
      <c r="DW14" s="57"/>
      <c r="DX14" s="60">
        <v>5.5541520467836261</v>
      </c>
      <c r="DY14" s="60">
        <v>5.4690058479532153</v>
      </c>
      <c r="DZ14" s="60">
        <v>7.5812882447665064</v>
      </c>
      <c r="EA14" s="60">
        <v>9.5405797101449288</v>
      </c>
      <c r="EB14" s="57"/>
      <c r="EC14" s="57" t="str">
        <f>IF(EQ14&lt;EP14,"FALSEE",1)</f>
        <v>FALSEE</v>
      </c>
      <c r="ED14" s="57"/>
      <c r="EE14" s="57" t="s">
        <v>2171</v>
      </c>
      <c r="EF14" s="57">
        <v>2.5200860500300002</v>
      </c>
      <c r="EG14" s="57" t="str">
        <f>IF(EF14&lt;0.5,"Depression",IF(EF14&lt;2,"Very gentle",IF(EF14&lt;5,"Gentle",IF(EF14&lt;9,"Moderate",IF(EF14&lt;15,"Strong",IF(EF14&lt;30,"Steep",IF(EF14&lt;1,"Very steep")))))))</f>
        <v>Gentle</v>
      </c>
      <c r="EH14" s="57" t="s">
        <v>2173</v>
      </c>
      <c r="EI14" s="57">
        <v>8.4776775111099995E-6</v>
      </c>
      <c r="EJ14" s="60">
        <v>9.1653385162400003</v>
      </c>
      <c r="EK14" s="60">
        <f>VLOOKUP(D14,[1]SoilData!$G$15:$K$237,5,FALSE)</f>
        <v>444.83467367713882</v>
      </c>
      <c r="EL14" s="60">
        <f>VLOOKUP(D14,[1]SoilData!$G$245:$K$451,5,FALSE)</f>
        <v>295.37516257308982</v>
      </c>
      <c r="EM14" s="60">
        <f>VLOOKUP(D14,[1]SoilData!$G$15:$M$238,7,FALSE)</f>
        <v>1.7689999999999999</v>
      </c>
      <c r="EN14" s="60">
        <f>VLOOKUP(D14,[1]SoilData!$G$245:$M$454,7,FALSE)</f>
        <v>1.345</v>
      </c>
      <c r="EO14" s="60">
        <f>EM14-EN14</f>
        <v>0.42399999999999993</v>
      </c>
      <c r="EP14" s="60">
        <f>AVERAGE(DZ14:EA14)</f>
        <v>8.5609339774557185</v>
      </c>
      <c r="EQ14" s="60">
        <f>AVERAGE(DX14:DY14)</f>
        <v>5.5115789473684202</v>
      </c>
      <c r="ER14" s="43">
        <f>EQ14-EP14</f>
        <v>-3.0493550300872982</v>
      </c>
      <c r="ES14" s="64">
        <f>IF(CU14&gt;0.000001,CU14*352,0)</f>
        <v>844.8</v>
      </c>
      <c r="ET14" s="64">
        <f>IF(DC14&gt;0.0001,DC14*682,0)</f>
        <v>245.51999999999998</v>
      </c>
      <c r="EU14" s="64">
        <f>CY14*795</f>
        <v>0</v>
      </c>
      <c r="EV14" s="64">
        <f>ES14+ET14+EU14</f>
        <v>1090.32</v>
      </c>
      <c r="EW14" s="64">
        <f>IF(AA14="YES",3.5*18.2,0)</f>
        <v>63.699999999999996</v>
      </c>
      <c r="EX14" s="64">
        <f>EV14-EW14</f>
        <v>1026.6199999999999</v>
      </c>
    </row>
    <row r="15" spans="1:154" ht="15" x14ac:dyDescent="0.2">
      <c r="A15" s="29" t="s">
        <v>544</v>
      </c>
      <c r="B15" s="29">
        <v>94</v>
      </c>
      <c r="C15" s="29" t="s">
        <v>1096</v>
      </c>
      <c r="D15" s="29" t="s">
        <v>215</v>
      </c>
      <c r="E15" s="29" t="str">
        <f>VLOOKUP(D15,Harvest_2017_Formulae!$C$2:$D$968,2,FALSE)</f>
        <v>ORNGADIDA</v>
      </c>
      <c r="F15" s="29" t="s">
        <v>777</v>
      </c>
      <c r="G15" s="29">
        <v>0</v>
      </c>
      <c r="H15" s="61" t="str">
        <f>IF(G15&lt;0.05,"Homefield",IF(G15&lt;0.5,"Midfield","outfield"))</f>
        <v>Homefield</v>
      </c>
      <c r="I15" s="29" t="s">
        <v>557</v>
      </c>
      <c r="J15" s="61" t="s">
        <v>2233</v>
      </c>
      <c r="K15" s="61" t="s">
        <v>2233</v>
      </c>
      <c r="L15" s="67">
        <v>1</v>
      </c>
      <c r="M15" s="29">
        <v>1</v>
      </c>
      <c r="O15" s="29" t="s">
        <v>567</v>
      </c>
      <c r="P15" s="29">
        <v>0.10000000149011612</v>
      </c>
      <c r="Q15" s="67">
        <v>0</v>
      </c>
      <c r="R15" s="29" t="s">
        <v>547</v>
      </c>
      <c r="T15" s="29" t="s">
        <v>559</v>
      </c>
      <c r="U15" s="29" t="s">
        <v>560</v>
      </c>
      <c r="W15" s="29" t="s">
        <v>635</v>
      </c>
      <c r="Z15" s="29" t="s">
        <v>547</v>
      </c>
      <c r="AA15" s="61" t="s">
        <v>546</v>
      </c>
      <c r="AB15" s="29" t="s">
        <v>547</v>
      </c>
      <c r="AC15" s="67">
        <v>0</v>
      </c>
      <c r="AD15" s="29" t="s">
        <v>547</v>
      </c>
      <c r="AF15" s="29" t="s">
        <v>547</v>
      </c>
      <c r="AG15" s="29" t="s">
        <v>547</v>
      </c>
      <c r="AH15" s="29" t="s">
        <v>546</v>
      </c>
      <c r="AI15" s="29" t="s">
        <v>546</v>
      </c>
      <c r="AK15" s="67">
        <v>0</v>
      </c>
      <c r="AL15" s="29" t="s">
        <v>547</v>
      </c>
      <c r="AO15" s="29" t="s">
        <v>547</v>
      </c>
      <c r="AP15" s="29" t="s">
        <v>547</v>
      </c>
      <c r="AQ15" s="4">
        <f>Q15+AK15</f>
        <v>0</v>
      </c>
      <c r="AR15" s="4">
        <f>L15+AC15</f>
        <v>1</v>
      </c>
      <c r="AS15" t="str">
        <f>AQ15&amp;AR15</f>
        <v>01</v>
      </c>
      <c r="AT15" s="49">
        <f>AQ15-AR15</f>
        <v>-1</v>
      </c>
      <c r="AU15">
        <v>0</v>
      </c>
      <c r="AV15" s="29" t="s">
        <v>548</v>
      </c>
      <c r="AW15" s="29">
        <v>0.34999999403953552</v>
      </c>
      <c r="AX15" s="29" t="s">
        <v>546</v>
      </c>
      <c r="BA15" s="29" t="s">
        <v>548</v>
      </c>
      <c r="BB15" s="29" t="s">
        <v>569</v>
      </c>
      <c r="BC15" s="29">
        <v>1</v>
      </c>
      <c r="BD15" s="29">
        <f>AW15+AZ15</f>
        <v>0.34999999403953552</v>
      </c>
      <c r="BE15" s="29">
        <f>BD15+BC15</f>
        <v>1.3499999940395355</v>
      </c>
      <c r="BF15" s="29" t="s">
        <v>546</v>
      </c>
      <c r="BG15" s="29" t="s">
        <v>546</v>
      </c>
      <c r="BH15" s="29" t="s">
        <v>546</v>
      </c>
      <c r="BI15" s="29" t="s">
        <v>546</v>
      </c>
      <c r="BJ15" s="29" t="s">
        <v>546</v>
      </c>
      <c r="BK15" s="29" t="s">
        <v>546</v>
      </c>
      <c r="BM15" s="29" t="s">
        <v>547</v>
      </c>
      <c r="BO15" s="29" t="s">
        <v>547</v>
      </c>
      <c r="BQ15" s="29" t="s">
        <v>547</v>
      </c>
      <c r="BS15" s="29" t="s">
        <v>547</v>
      </c>
      <c r="BU15" s="29" t="s">
        <v>547</v>
      </c>
      <c r="BW15" s="29">
        <f>(BL15*1)+(BN15*0.1)+(BP15*0.01)+(BR15*0.1)+(BT15*0.3)+(BV15*0.4)</f>
        <v>0</v>
      </c>
      <c r="BX15" s="29" t="s">
        <v>2223</v>
      </c>
      <c r="BY15" s="29">
        <v>1</v>
      </c>
      <c r="BZ15" s="29">
        <v>1</v>
      </c>
      <c r="CA15" s="29">
        <v>1</v>
      </c>
      <c r="CB15" s="29">
        <v>3</v>
      </c>
      <c r="CC15" s="29">
        <v>0</v>
      </c>
      <c r="CD15" s="29">
        <v>0</v>
      </c>
      <c r="CE15" s="29">
        <v>0</v>
      </c>
      <c r="CG15" s="29">
        <f>(CC15*15)+(CD15*0.8)+(CE15*0.3)+((AW15+AZ15)*15)</f>
        <v>5.2499999105930328</v>
      </c>
      <c r="CH15" s="29" t="s">
        <v>2219</v>
      </c>
      <c r="CI15" s="29">
        <f>(BL15*1)+(BN15*0.1)+(BP15*0.01)+(BR15*0.1)+(BT15*0.3)+(BV15*0.4)+(CC15*15)+(CD15*0.8)+(CE15*0.3)+((AW15+AZ15)*15)</f>
        <v>5.2499999105930328</v>
      </c>
      <c r="CJ15" s="29" t="s">
        <v>546</v>
      </c>
      <c r="CK15" s="29" t="s">
        <v>547</v>
      </c>
      <c r="CL15" s="29" t="s">
        <v>546</v>
      </c>
      <c r="CM15" s="29" t="s">
        <v>547</v>
      </c>
      <c r="CN15" s="29">
        <v>0.20000000298023224</v>
      </c>
      <c r="CP15" s="29">
        <v>1</v>
      </c>
      <c r="CQ15" s="29" t="s">
        <v>546</v>
      </c>
      <c r="CR15" s="29">
        <v>1</v>
      </c>
      <c r="CS15" s="29">
        <v>0.75</v>
      </c>
      <c r="CT15" s="29" t="s">
        <v>551</v>
      </c>
      <c r="CU15" s="30">
        <v>0.18000000000000002</v>
      </c>
      <c r="CW15" s="29">
        <v>999</v>
      </c>
      <c r="CX15" s="29" t="s">
        <v>551</v>
      </c>
      <c r="CY15" s="62"/>
      <c r="CZ15" s="29">
        <v>1</v>
      </c>
      <c r="DA15" s="29">
        <v>5.000000074505806E-2</v>
      </c>
      <c r="DB15" s="29" t="s">
        <v>551</v>
      </c>
      <c r="DC15" s="62">
        <v>1.2000000178813934E-2</v>
      </c>
      <c r="DD15" s="29" t="s">
        <v>546</v>
      </c>
      <c r="DE15" s="29" t="s">
        <v>546</v>
      </c>
      <c r="DF15" s="29" t="s">
        <v>546</v>
      </c>
      <c r="DG15" s="29" t="s">
        <v>546</v>
      </c>
      <c r="DH15" s="29" t="s">
        <v>546</v>
      </c>
      <c r="DI15" s="29">
        <v>0</v>
      </c>
      <c r="DJ15" s="29">
        <v>3</v>
      </c>
      <c r="DK15" s="29" t="s">
        <v>1097</v>
      </c>
      <c r="DL15" s="29" t="s">
        <v>1098</v>
      </c>
      <c r="DM15" s="29">
        <v>-4.306312084197998</v>
      </c>
      <c r="DN15" s="29">
        <v>35.864559173583984</v>
      </c>
      <c r="DO15" s="29">
        <v>1244.800048828125</v>
      </c>
      <c r="DP15" s="29">
        <v>5</v>
      </c>
      <c r="DQ15" s="29">
        <v>1705231439</v>
      </c>
      <c r="DR15" s="29" t="s">
        <v>1099</v>
      </c>
      <c r="DS15" s="31">
        <v>42927.346979166672</v>
      </c>
      <c r="DT15" s="31">
        <v>42888.651319444441</v>
      </c>
      <c r="DU15" s="31">
        <v>42927.346863425926</v>
      </c>
      <c r="DV15" s="32">
        <v>42771</v>
      </c>
      <c r="DX15" s="44">
        <v>3.6067538126361653</v>
      </c>
      <c r="DY15" s="44">
        <v>3.464161220043573</v>
      </c>
      <c r="DZ15" s="44">
        <v>0.92849462365591406</v>
      </c>
      <c r="EA15" s="44">
        <v>0.84408602150537637</v>
      </c>
      <c r="EC15" s="29">
        <f>IF(EQ15&lt;EP15,"FALSEE",1)</f>
        <v>1</v>
      </c>
      <c r="EE15" s="29" t="s">
        <v>2171</v>
      </c>
      <c r="EF15" s="29">
        <v>1.4196667671200001</v>
      </c>
      <c r="EG15" s="29" t="str">
        <f>IF(EF15&lt;0.5,"Depression",IF(EF15&lt;2,"Very gentle",IF(EF15&lt;5,"Gentle",IF(EF15&lt;9,"Moderate",IF(EF15&lt;15,"Strong",IF(EF15&lt;30,"Steep",IF(EF15&lt;1,"Very steep")))))))</f>
        <v>Very gentle</v>
      </c>
      <c r="EH15" s="29" t="s">
        <v>2173</v>
      </c>
      <c r="EI15" s="29">
        <v>-0.27191722393000001</v>
      </c>
      <c r="EJ15" s="43">
        <v>10.268507957500001</v>
      </c>
      <c r="EK15" s="43">
        <f>VLOOKUP(D15,[1]SoilData!$G$15:$K$237,5,FALSE)</f>
        <v>300.32915318476392</v>
      </c>
      <c r="EL15" s="43"/>
      <c r="EM15" s="43">
        <f>VLOOKUP(D15,[1]SoilData!$G$15:$M$238,7,FALSE)</f>
        <v>1.3720000000000001</v>
      </c>
      <c r="EN15" s="43"/>
      <c r="EO15" s="60"/>
      <c r="EP15" s="44">
        <f>AVERAGE(DZ15:EA15)</f>
        <v>0.88629032258064522</v>
      </c>
      <c r="EQ15" s="44">
        <f>AVERAGE(DX15:DY15)</f>
        <v>3.5354575163398692</v>
      </c>
      <c r="ER15" s="43">
        <f>EQ15-EP15</f>
        <v>2.649167193759224</v>
      </c>
      <c r="ES15" s="64">
        <f>IF(CU15&gt;0.000001,CU15*352,0)</f>
        <v>63.360000000000007</v>
      </c>
      <c r="ET15" s="64">
        <f>IF(DC15&gt;0.0001,DC15*682,0)</f>
        <v>8.1840001219511027</v>
      </c>
      <c r="EU15" s="64">
        <f>CY15*795</f>
        <v>0</v>
      </c>
      <c r="EV15" s="64">
        <f>ES15+ET15+EU15</f>
        <v>71.544000121951115</v>
      </c>
      <c r="EW15" s="64">
        <f>IF(AA15="YES",3.5*18.2,0)</f>
        <v>0</v>
      </c>
      <c r="EX15" s="64">
        <f>EV15-EW15</f>
        <v>71.544000121951115</v>
      </c>
    </row>
    <row r="16" spans="1:154" ht="15" x14ac:dyDescent="0.2">
      <c r="A16" s="29" t="s">
        <v>556</v>
      </c>
      <c r="B16" s="29">
        <v>161</v>
      </c>
      <c r="C16" s="29" t="s">
        <v>114</v>
      </c>
      <c r="D16" s="29" t="s">
        <v>114</v>
      </c>
      <c r="E16" s="29" t="str">
        <f>VLOOKUP(D16,Harvest_2017_Formulae!$C$2:$D$968,2,FALSE)</f>
        <v>DURU</v>
      </c>
      <c r="F16" s="29" t="s">
        <v>645</v>
      </c>
      <c r="G16" s="29">
        <v>0.5</v>
      </c>
      <c r="H16" s="61" t="str">
        <f>IF(G16&lt;0.05,"Homefield",IF(G16&lt;0.5,"Midfield","outfield"))</f>
        <v>outfield</v>
      </c>
      <c r="I16" s="29" t="s">
        <v>557</v>
      </c>
      <c r="J16" s="61" t="s">
        <v>2233</v>
      </c>
      <c r="K16" s="61" t="s">
        <v>2233</v>
      </c>
      <c r="L16" s="67">
        <v>1</v>
      </c>
      <c r="M16" s="29">
        <v>2</v>
      </c>
      <c r="N16" s="29">
        <v>10000</v>
      </c>
      <c r="O16" s="29" t="s">
        <v>547</v>
      </c>
      <c r="P16" s="29" t="s">
        <v>559</v>
      </c>
      <c r="Q16" s="67">
        <v>0</v>
      </c>
      <c r="R16" s="29" t="s">
        <v>547</v>
      </c>
      <c r="U16" s="29" t="s">
        <v>547</v>
      </c>
      <c r="W16" s="29" t="s">
        <v>547</v>
      </c>
      <c r="Z16" s="29" t="s">
        <v>547</v>
      </c>
      <c r="AA16" s="61" t="s">
        <v>546</v>
      </c>
      <c r="AB16" s="29" t="s">
        <v>547</v>
      </c>
      <c r="AC16" s="67">
        <v>0</v>
      </c>
      <c r="AD16" s="29" t="s">
        <v>547</v>
      </c>
      <c r="AF16" s="29" t="s">
        <v>547</v>
      </c>
      <c r="AG16" s="29" t="s">
        <v>547</v>
      </c>
      <c r="AH16" s="29" t="s">
        <v>546</v>
      </c>
      <c r="AI16" s="29" t="s">
        <v>546</v>
      </c>
      <c r="AJ16" s="29" t="s">
        <v>547</v>
      </c>
      <c r="AK16" s="67">
        <v>0</v>
      </c>
      <c r="AL16" s="29" t="s">
        <v>547</v>
      </c>
      <c r="AO16" s="29" t="s">
        <v>547</v>
      </c>
      <c r="AP16" s="29" t="s">
        <v>547</v>
      </c>
      <c r="AQ16" s="4">
        <f>Q16+AK16</f>
        <v>0</v>
      </c>
      <c r="AR16" s="4">
        <f>L16+AC16</f>
        <v>1</v>
      </c>
      <c r="AS16" t="str">
        <f>AQ16&amp;AR16</f>
        <v>01</v>
      </c>
      <c r="AT16" s="49">
        <f>AQ16-AR16</f>
        <v>-1</v>
      </c>
      <c r="AU16">
        <v>0</v>
      </c>
      <c r="AV16" s="29" t="s">
        <v>548</v>
      </c>
      <c r="AW16" s="29">
        <v>0.125</v>
      </c>
      <c r="AX16" s="29" t="s">
        <v>548</v>
      </c>
      <c r="AY16" s="29">
        <v>1</v>
      </c>
      <c r="AZ16" s="29">
        <v>0.5</v>
      </c>
      <c r="BA16" s="29" t="s">
        <v>546</v>
      </c>
      <c r="BB16" s="29" t="s">
        <v>547</v>
      </c>
      <c r="BD16" s="29">
        <f>AW16+AZ16</f>
        <v>0.625</v>
      </c>
      <c r="BE16" s="29">
        <f>BD16+BC16</f>
        <v>0.625</v>
      </c>
      <c r="BF16" s="29" t="s">
        <v>546</v>
      </c>
      <c r="BG16" s="29" t="s">
        <v>546</v>
      </c>
      <c r="BH16" s="29" t="s">
        <v>546</v>
      </c>
      <c r="BI16" s="29" t="s">
        <v>546</v>
      </c>
      <c r="BJ16" s="29" t="s">
        <v>546</v>
      </c>
      <c r="BK16" s="29" t="s">
        <v>546</v>
      </c>
      <c r="BM16" s="29" t="s">
        <v>547</v>
      </c>
      <c r="BO16" s="29" t="s">
        <v>547</v>
      </c>
      <c r="BQ16" s="29" t="s">
        <v>547</v>
      </c>
      <c r="BS16" s="29" t="s">
        <v>547</v>
      </c>
      <c r="BU16" s="29" t="s">
        <v>547</v>
      </c>
      <c r="BW16" s="29">
        <f>(BL16*1)+(BN16*0.1)+(BP16*0.01)+(BR16*0.1)+(BT16*0.3)+(BV16*0.4)</f>
        <v>0</v>
      </c>
      <c r="BX16" s="29" t="s">
        <v>2223</v>
      </c>
      <c r="BY16" s="29">
        <v>1</v>
      </c>
      <c r="BZ16" s="29">
        <v>1</v>
      </c>
      <c r="CA16" s="29">
        <v>2</v>
      </c>
      <c r="CB16" s="29">
        <v>4</v>
      </c>
      <c r="CC16" s="29">
        <v>0</v>
      </c>
      <c r="CD16" s="29">
        <v>0</v>
      </c>
      <c r="CE16" s="29">
        <v>0</v>
      </c>
      <c r="CF16" s="29" t="s">
        <v>547</v>
      </c>
      <c r="CG16" s="29">
        <f>(CC16*15)+(CD16*0.8)+(CE16*0.3)+((AW16+AZ16)*15)</f>
        <v>9.375</v>
      </c>
      <c r="CH16" s="29" t="s">
        <v>2219</v>
      </c>
      <c r="CI16" s="29">
        <f>(BL16*1)+(BN16*0.1)+(BP16*0.01)+(BR16*0.1)+(BT16*0.3)+(BV16*0.4)+(CC16*15)+(CD16*0.8)+(CE16*0.3)+((AW16+AZ16)*15)</f>
        <v>9.375</v>
      </c>
      <c r="CJ16" s="29" t="s">
        <v>546</v>
      </c>
      <c r="CK16" s="29" t="s">
        <v>547</v>
      </c>
      <c r="CL16" s="29" t="s">
        <v>546</v>
      </c>
      <c r="CM16" s="29" t="s">
        <v>547</v>
      </c>
      <c r="CN16" s="29">
        <v>0.25</v>
      </c>
      <c r="CO16" s="29">
        <v>0.25</v>
      </c>
      <c r="CQ16" s="29" t="s">
        <v>548</v>
      </c>
      <c r="CR16" s="29">
        <v>0.5</v>
      </c>
      <c r="CS16" s="29">
        <v>2</v>
      </c>
      <c r="CT16" s="29" t="s">
        <v>551</v>
      </c>
      <c r="CU16" s="30">
        <v>0.96</v>
      </c>
      <c r="CW16" s="29">
        <v>999</v>
      </c>
      <c r="CX16" s="29" t="s">
        <v>551</v>
      </c>
      <c r="CY16" s="62"/>
      <c r="CZ16" s="29">
        <v>0.5</v>
      </c>
      <c r="DA16" s="29">
        <v>2</v>
      </c>
      <c r="DB16" s="29" t="s">
        <v>552</v>
      </c>
      <c r="DC16" s="62">
        <v>0.16031999999999999</v>
      </c>
      <c r="DD16" s="29" t="s">
        <v>546</v>
      </c>
      <c r="DE16" s="29" t="s">
        <v>546</v>
      </c>
      <c r="DF16" s="29" t="s">
        <v>546</v>
      </c>
      <c r="DG16" s="29" t="s">
        <v>546</v>
      </c>
      <c r="DH16" s="29" t="s">
        <v>546</v>
      </c>
      <c r="DI16" s="29">
        <v>0</v>
      </c>
      <c r="DJ16" s="29">
        <v>2</v>
      </c>
      <c r="DK16" s="29" t="s">
        <v>722</v>
      </c>
      <c r="DL16" s="29" t="s">
        <v>723</v>
      </c>
      <c r="DM16" s="29">
        <v>-4.3182868957519531</v>
      </c>
      <c r="DN16" s="29">
        <v>35.600315093994141</v>
      </c>
      <c r="DO16" s="29">
        <v>1546.699951171875</v>
      </c>
      <c r="DP16" s="29">
        <v>5</v>
      </c>
      <c r="DQ16" s="29">
        <v>1706031849</v>
      </c>
      <c r="DR16" s="29" t="s">
        <v>724</v>
      </c>
      <c r="DS16" s="31">
        <v>42921.432476851856</v>
      </c>
      <c r="DT16" s="31">
        <v>42919.443379629629</v>
      </c>
      <c r="DU16" s="31">
        <v>42919.595081018517</v>
      </c>
      <c r="DV16" s="32">
        <v>42739</v>
      </c>
      <c r="DX16" s="44">
        <v>5.9472000000000005</v>
      </c>
      <c r="DY16" s="44">
        <v>5.3424000000000005</v>
      </c>
      <c r="DZ16" s="44">
        <v>3.7387270765911542</v>
      </c>
      <c r="EA16" s="44">
        <v>2.648543689320388</v>
      </c>
      <c r="EC16" s="29">
        <f>IF(EQ16&lt;EP16,"FALSEE",1)</f>
        <v>1</v>
      </c>
      <c r="EE16" s="29" t="s">
        <v>2179</v>
      </c>
      <c r="EF16" s="29">
        <v>3.8651583194699999</v>
      </c>
      <c r="EG16" s="29" t="str">
        <f>IF(EF16&lt;0.5,"Depression",IF(EF16&lt;2,"Very gentle",IF(EF16&lt;5,"Gentle",IF(EF16&lt;9,"Moderate",IF(EF16&lt;15,"Strong",IF(EF16&lt;30,"Steep",IF(EF16&lt;1,"Very steep")))))))</f>
        <v>Gentle</v>
      </c>
      <c r="EH16" s="29" t="s">
        <v>2173</v>
      </c>
      <c r="EI16" s="29">
        <v>-9.0633422136300004E-2</v>
      </c>
      <c r="EJ16" s="43">
        <v>9.7114906311000002</v>
      </c>
      <c r="EK16" s="43">
        <f>VLOOKUP(D16,[1]SoilData!$G$15:$K$237,5,FALSE)</f>
        <v>116.37025262944309</v>
      </c>
      <c r="EL16" s="43">
        <f>VLOOKUP(D16,[1]SoilData!$G$245:$K$451,5,FALSE)</f>
        <v>19.753685968909835</v>
      </c>
      <c r="EM16" s="43">
        <f>VLOOKUP(D16,[1]SoilData!$G$15:$M$238,7,FALSE)</f>
        <v>0.627</v>
      </c>
      <c r="EN16" s="43">
        <f>VLOOKUP(D16,[1]SoilData!$G$245:$M$454,7,FALSE)</f>
        <v>0.436</v>
      </c>
      <c r="EO16" s="60">
        <f>EM16-EN16</f>
        <v>0.191</v>
      </c>
      <c r="EP16" s="44">
        <f>AVERAGE(DZ16:EA16)</f>
        <v>3.1936353829557711</v>
      </c>
      <c r="EQ16" s="44">
        <f>AVERAGE(DX16:DY16)</f>
        <v>5.6448</v>
      </c>
      <c r="ER16" s="43">
        <f>EQ16-EP16</f>
        <v>2.4511646170442289</v>
      </c>
      <c r="ES16" s="64">
        <f>IF(CU16&gt;0.000001,CU16*352,0)</f>
        <v>337.91999999999996</v>
      </c>
      <c r="ET16" s="64">
        <f>IF(DC16&gt;0.0001,DC16*682,0)</f>
        <v>109.33824</v>
      </c>
      <c r="EU16" s="64">
        <f>CY16*795</f>
        <v>0</v>
      </c>
      <c r="EV16" s="64">
        <f>ES16+ET16+EU16</f>
        <v>447.25823999999994</v>
      </c>
      <c r="EW16" s="64">
        <f>IF(AA16="YES",3.5*18.2,0)</f>
        <v>0</v>
      </c>
      <c r="EX16" s="64">
        <f>EV16-EW16</f>
        <v>447.25823999999994</v>
      </c>
    </row>
    <row r="17" spans="1:154" ht="15" x14ac:dyDescent="0.2">
      <c r="A17" s="29" t="s">
        <v>556</v>
      </c>
      <c r="B17" s="29">
        <v>85</v>
      </c>
      <c r="C17" s="29" t="s">
        <v>1448</v>
      </c>
      <c r="D17" s="29" t="s">
        <v>1448</v>
      </c>
      <c r="E17" s="29" t="e">
        <f>VLOOKUP(D17,Harvest_2017_Formulae!$C$2:$D$968,2,FALSE)</f>
        <v>#N/A</v>
      </c>
      <c r="F17" s="29" t="s">
        <v>777</v>
      </c>
      <c r="G17" s="29">
        <v>0</v>
      </c>
      <c r="H17" s="61" t="str">
        <f>IF(G17&lt;0.05,"Homefield",IF(G17&lt;0.5,"Midfield","outfield"))</f>
        <v>Homefield</v>
      </c>
      <c r="I17" s="29" t="s">
        <v>1449</v>
      </c>
      <c r="J17" s="61" t="s">
        <v>2233</v>
      </c>
      <c r="K17" s="61" t="s">
        <v>2233</v>
      </c>
      <c r="L17" s="67">
        <v>1</v>
      </c>
      <c r="M17" s="29">
        <v>1</v>
      </c>
      <c r="O17" s="29" t="s">
        <v>567</v>
      </c>
      <c r="P17" s="29">
        <v>0</v>
      </c>
      <c r="Q17" s="67">
        <v>0</v>
      </c>
      <c r="R17" s="29" t="s">
        <v>547</v>
      </c>
      <c r="T17" s="29" t="s">
        <v>559</v>
      </c>
      <c r="U17" s="29" t="s">
        <v>859</v>
      </c>
      <c r="V17" s="29">
        <v>999</v>
      </c>
      <c r="W17" s="29" t="s">
        <v>819</v>
      </c>
      <c r="X17" s="29">
        <v>999</v>
      </c>
      <c r="Z17" s="29" t="s">
        <v>547</v>
      </c>
      <c r="AA17" s="61" t="s">
        <v>546</v>
      </c>
      <c r="AB17" s="29" t="s">
        <v>547</v>
      </c>
      <c r="AC17" s="67">
        <v>0</v>
      </c>
      <c r="AD17" s="29" t="s">
        <v>547</v>
      </c>
      <c r="AF17" s="29" t="s">
        <v>547</v>
      </c>
      <c r="AG17" s="29" t="s">
        <v>547</v>
      </c>
      <c r="AH17" s="29" t="s">
        <v>546</v>
      </c>
      <c r="AI17" s="29" t="s">
        <v>546</v>
      </c>
      <c r="AK17" s="67">
        <v>0</v>
      </c>
      <c r="AL17" s="29" t="s">
        <v>547</v>
      </c>
      <c r="AO17" s="29" t="s">
        <v>547</v>
      </c>
      <c r="AP17" s="29" t="s">
        <v>547</v>
      </c>
      <c r="AQ17" s="4">
        <f>Q17+AK17</f>
        <v>0</v>
      </c>
      <c r="AR17" s="4">
        <f>L17+AC17</f>
        <v>1</v>
      </c>
      <c r="AS17" t="str">
        <f>AQ17&amp;AR17</f>
        <v>01</v>
      </c>
      <c r="AT17" s="49">
        <f>AQ17-AR17</f>
        <v>-1</v>
      </c>
      <c r="AU17">
        <v>0</v>
      </c>
      <c r="AV17" s="29" t="s">
        <v>548</v>
      </c>
      <c r="AW17" s="29">
        <v>0.75</v>
      </c>
      <c r="AX17" s="29" t="s">
        <v>546</v>
      </c>
      <c r="BA17" s="29" t="s">
        <v>546</v>
      </c>
      <c r="BB17" s="29" t="s">
        <v>547</v>
      </c>
      <c r="BD17" s="29">
        <f>AW17+AZ17</f>
        <v>0.75</v>
      </c>
      <c r="BE17" s="29">
        <f>BD17+BC17</f>
        <v>0.75</v>
      </c>
      <c r="BF17" s="29" t="s">
        <v>546</v>
      </c>
      <c r="BG17" s="29" t="s">
        <v>546</v>
      </c>
      <c r="BH17" s="29" t="s">
        <v>546</v>
      </c>
      <c r="BI17" s="29" t="s">
        <v>546</v>
      </c>
      <c r="BJ17" s="29" t="s">
        <v>546</v>
      </c>
      <c r="BK17" s="29" t="s">
        <v>546</v>
      </c>
      <c r="BM17" s="29" t="s">
        <v>547</v>
      </c>
      <c r="BO17" s="29" t="s">
        <v>547</v>
      </c>
      <c r="BQ17" s="29" t="s">
        <v>547</v>
      </c>
      <c r="BS17" s="29" t="s">
        <v>547</v>
      </c>
      <c r="BU17" s="29" t="s">
        <v>547</v>
      </c>
      <c r="BW17" s="29">
        <f>(BL17*1)+(BN17*0.1)+(BP17*0.01)+(BR17*0.1)+(BT17*0.3)+(BV17*0.4)</f>
        <v>0</v>
      </c>
      <c r="BX17" s="29" t="s">
        <v>2223</v>
      </c>
      <c r="BY17" s="29">
        <v>1</v>
      </c>
      <c r="BZ17" s="29">
        <v>1</v>
      </c>
      <c r="CA17" s="29">
        <v>5</v>
      </c>
      <c r="CB17" s="29">
        <v>7</v>
      </c>
      <c r="CC17" s="29">
        <v>0</v>
      </c>
      <c r="CD17" s="29">
        <v>0</v>
      </c>
      <c r="CE17" s="29">
        <v>0</v>
      </c>
      <c r="CG17" s="29">
        <f>(CC17*15)+(CD17*0.8)+(CE17*0.3)+((AW17+AZ17)*15)</f>
        <v>11.25</v>
      </c>
      <c r="CH17" s="29" t="s">
        <v>2219</v>
      </c>
      <c r="CI17" s="29">
        <f>(BL17*1)+(BN17*0.1)+(BP17*0.01)+(BR17*0.1)+(BT17*0.3)+(BV17*0.4)+(CC17*15)+(CD17*0.8)+(CE17*0.3)+((AW17+AZ17)*15)</f>
        <v>11.25</v>
      </c>
      <c r="CJ17" s="29" t="s">
        <v>548</v>
      </c>
      <c r="CK17" s="29" t="s">
        <v>1450</v>
      </c>
      <c r="CL17" s="29" t="s">
        <v>546</v>
      </c>
      <c r="CM17" s="29" t="s">
        <v>547</v>
      </c>
      <c r="CN17" s="29">
        <v>0.25</v>
      </c>
      <c r="CP17" s="29">
        <v>0.5</v>
      </c>
      <c r="CQ17" s="29" t="s">
        <v>548</v>
      </c>
      <c r="CR17" s="29">
        <v>1</v>
      </c>
      <c r="CS17" s="29">
        <v>0.10000000149011612</v>
      </c>
      <c r="CT17" s="29" t="s">
        <v>551</v>
      </c>
      <c r="CU17" s="30">
        <v>2.4000000357627869E-2</v>
      </c>
      <c r="CW17" s="29">
        <v>999</v>
      </c>
      <c r="CX17" s="29" t="s">
        <v>551</v>
      </c>
      <c r="CY17" s="62"/>
      <c r="DA17" s="29">
        <v>999</v>
      </c>
      <c r="DB17" s="29" t="s">
        <v>551</v>
      </c>
      <c r="DC17" s="62"/>
      <c r="DD17" s="29" t="s">
        <v>546</v>
      </c>
      <c r="DE17" s="29" t="s">
        <v>546</v>
      </c>
      <c r="DF17" s="29" t="s">
        <v>546</v>
      </c>
      <c r="DG17" s="29" t="s">
        <v>546</v>
      </c>
      <c r="DH17" s="29" t="s">
        <v>546</v>
      </c>
      <c r="DI17" s="29">
        <v>0</v>
      </c>
      <c r="DJ17" s="29">
        <v>2</v>
      </c>
      <c r="DK17" s="29" t="s">
        <v>1451</v>
      </c>
      <c r="DL17" s="29" t="s">
        <v>1452</v>
      </c>
      <c r="DM17" s="29">
        <v>-4.3088545799255371</v>
      </c>
      <c r="DN17" s="29">
        <v>35.864463806152344</v>
      </c>
      <c r="DO17" s="29">
        <v>1242.199951171875</v>
      </c>
      <c r="DP17" s="29">
        <v>5</v>
      </c>
      <c r="DQ17" s="29">
        <v>1705231439</v>
      </c>
      <c r="DR17" s="29" t="s">
        <v>1453</v>
      </c>
      <c r="DS17" s="31">
        <v>42927.345243055555</v>
      </c>
      <c r="DT17" s="31">
        <v>42888.62327546296</v>
      </c>
      <c r="DU17" s="31">
        <v>42927.344687500001</v>
      </c>
      <c r="DV17" s="32">
        <v>42792</v>
      </c>
      <c r="EC17" s="29">
        <f>IF(EQ17&lt;EP17,"FALSEE",1)</f>
        <v>1</v>
      </c>
      <c r="EE17" s="29" t="s">
        <v>2171</v>
      </c>
      <c r="EF17" s="29">
        <v>0.43690150976199998</v>
      </c>
      <c r="EG17" s="29" t="str">
        <f>IF(EF17&lt;0.5,"Depression",IF(EF17&lt;2,"Very gentle",IF(EF17&lt;5,"Gentle",IF(EF17&lt;9,"Moderate",IF(EF17&lt;15,"Strong",IF(EF17&lt;30,"Steep",IF(EF17&lt;1,"Very steep")))))))</f>
        <v>Depression</v>
      </c>
      <c r="EH17" s="29" t="s">
        <v>2173</v>
      </c>
      <c r="EI17" s="29">
        <v>0.45321798324599999</v>
      </c>
      <c r="EJ17" s="43">
        <v>9.0019025802599995</v>
      </c>
      <c r="EK17" s="43"/>
      <c r="EL17" s="43"/>
      <c r="EM17" s="43"/>
      <c r="EN17" s="43"/>
      <c r="EO17" s="60"/>
      <c r="EP17" s="43"/>
      <c r="EQ17" s="43"/>
      <c r="ER17" s="43"/>
      <c r="ES17" s="64">
        <f>IF(CU17&gt;0.000001,CU17*352,0)</f>
        <v>8.4480001258850095</v>
      </c>
      <c r="ET17" s="64">
        <f>IF(DC17&gt;0.0001,DC17*682,0)</f>
        <v>0</v>
      </c>
      <c r="EU17" s="64">
        <f>CY17*795</f>
        <v>0</v>
      </c>
      <c r="EV17" s="64">
        <f>ES17+ET17+EU17</f>
        <v>8.4480001258850095</v>
      </c>
      <c r="EW17" s="64">
        <f>IF(AA17="YES",3.5*18.2,0)</f>
        <v>0</v>
      </c>
      <c r="EX17" s="64">
        <f>EV17-EW17</f>
        <v>8.4480001258850095</v>
      </c>
    </row>
    <row r="18" spans="1:154" ht="15" x14ac:dyDescent="0.2">
      <c r="A18" s="29" t="s">
        <v>556</v>
      </c>
      <c r="B18" s="29">
        <v>14</v>
      </c>
      <c r="C18" s="29" t="s">
        <v>934</v>
      </c>
      <c r="D18" s="29" t="s">
        <v>354</v>
      </c>
      <c r="E18" s="29" t="str">
        <f>VLOOKUP(D18,Harvest_2017_Formulae!$C$2:$D$968,2,FALSE)</f>
        <v>ENDANOGA</v>
      </c>
      <c r="F18" s="29" t="s">
        <v>843</v>
      </c>
      <c r="G18" s="29">
        <v>1.5</v>
      </c>
      <c r="H18" s="61" t="str">
        <f>IF(G18&lt;0.05,"Homefield",IF(G18&lt;0.5,"Midfield","outfield"))</f>
        <v>outfield</v>
      </c>
      <c r="I18" s="29" t="s">
        <v>557</v>
      </c>
      <c r="J18" s="61" t="s">
        <v>2234</v>
      </c>
      <c r="K18" s="61" t="s">
        <v>2234</v>
      </c>
      <c r="L18" s="67">
        <v>1</v>
      </c>
      <c r="M18" s="29">
        <v>6</v>
      </c>
      <c r="O18" s="29" t="s">
        <v>567</v>
      </c>
      <c r="P18" s="29">
        <v>0</v>
      </c>
      <c r="Q18" s="67">
        <v>0</v>
      </c>
      <c r="R18" s="29" t="s">
        <v>547</v>
      </c>
      <c r="T18" s="29" t="s">
        <v>559</v>
      </c>
      <c r="U18" s="29" t="s">
        <v>560</v>
      </c>
      <c r="W18" s="29" t="s">
        <v>819</v>
      </c>
      <c r="X18" s="29">
        <v>999</v>
      </c>
      <c r="Z18" s="29" t="s">
        <v>547</v>
      </c>
      <c r="AA18" s="61" t="s">
        <v>546</v>
      </c>
      <c r="AB18" s="29" t="s">
        <v>547</v>
      </c>
      <c r="AC18" s="67">
        <v>0</v>
      </c>
      <c r="AD18" s="29" t="s">
        <v>547</v>
      </c>
      <c r="AF18" s="29" t="s">
        <v>547</v>
      </c>
      <c r="AG18" s="29" t="s">
        <v>547</v>
      </c>
      <c r="AH18" s="29" t="s">
        <v>546</v>
      </c>
      <c r="AI18" s="29" t="s">
        <v>546</v>
      </c>
      <c r="AJ18" s="29" t="s">
        <v>547</v>
      </c>
      <c r="AK18" s="67">
        <v>0</v>
      </c>
      <c r="AL18" s="29" t="s">
        <v>547</v>
      </c>
      <c r="AO18" s="29" t="s">
        <v>547</v>
      </c>
      <c r="AP18" s="29" t="s">
        <v>547</v>
      </c>
      <c r="AQ18" s="4">
        <f>Q18+AK18</f>
        <v>0</v>
      </c>
      <c r="AR18" s="4">
        <f>L18+AC18</f>
        <v>1</v>
      </c>
      <c r="AS18" t="str">
        <f>AQ18&amp;AR18</f>
        <v>01</v>
      </c>
      <c r="AT18" s="49">
        <f>AQ18-AR18</f>
        <v>-1</v>
      </c>
      <c r="AU18">
        <v>0</v>
      </c>
      <c r="AV18" s="29" t="s">
        <v>546</v>
      </c>
      <c r="AX18" s="29" t="s">
        <v>548</v>
      </c>
      <c r="AY18" s="29">
        <v>1</v>
      </c>
      <c r="AZ18" s="29">
        <v>1</v>
      </c>
      <c r="BA18" s="29" t="s">
        <v>548</v>
      </c>
      <c r="BB18" s="29" t="s">
        <v>584</v>
      </c>
      <c r="BC18" s="29">
        <v>1.25</v>
      </c>
      <c r="BD18" s="29">
        <f>AW18+AZ18</f>
        <v>1</v>
      </c>
      <c r="BE18" s="29">
        <f>BD18+BC18</f>
        <v>2.25</v>
      </c>
      <c r="BF18" s="29" t="s">
        <v>546</v>
      </c>
      <c r="BG18" s="29" t="s">
        <v>546</v>
      </c>
      <c r="BH18" s="29" t="s">
        <v>546</v>
      </c>
      <c r="BI18" s="29" t="s">
        <v>546</v>
      </c>
      <c r="BJ18" s="29" t="s">
        <v>546</v>
      </c>
      <c r="BK18" s="29" t="s">
        <v>546</v>
      </c>
      <c r="BM18" s="29" t="s">
        <v>547</v>
      </c>
      <c r="BO18" s="29" t="s">
        <v>547</v>
      </c>
      <c r="BQ18" s="29" t="s">
        <v>547</v>
      </c>
      <c r="BS18" s="29" t="s">
        <v>547</v>
      </c>
      <c r="BU18" s="29" t="s">
        <v>547</v>
      </c>
      <c r="BW18" s="29">
        <f>(BL18*1)+(BN18*0.1)+(BP18*0.01)+(BR18*0.1)+(BT18*0.3)+(BV18*0.4)</f>
        <v>0</v>
      </c>
      <c r="BX18" s="29" t="s">
        <v>2223</v>
      </c>
      <c r="BY18" s="29">
        <v>0</v>
      </c>
      <c r="BZ18" s="29">
        <v>2</v>
      </c>
      <c r="CA18" s="29">
        <v>4</v>
      </c>
      <c r="CB18" s="29">
        <v>6</v>
      </c>
      <c r="CC18" s="29">
        <v>0</v>
      </c>
      <c r="CD18" s="29">
        <v>0</v>
      </c>
      <c r="CE18" s="29">
        <v>0</v>
      </c>
      <c r="CF18" s="29" t="s">
        <v>547</v>
      </c>
      <c r="CG18" s="29">
        <f>(CC18*15)+(CD18*0.8)+(CE18*0.3)+((AW18+AZ18)*15)</f>
        <v>15</v>
      </c>
      <c r="CH18" s="29" t="s">
        <v>2219</v>
      </c>
      <c r="CI18" s="29">
        <f>(BL18*1)+(BN18*0.1)+(BP18*0.01)+(BR18*0.1)+(BT18*0.3)+(BV18*0.4)+(CC18*15)+(CD18*0.8)+(CE18*0.3)+((AW18+AZ18)*15)</f>
        <v>15</v>
      </c>
      <c r="CJ18" s="29" t="s">
        <v>548</v>
      </c>
      <c r="CK18" s="29" t="s">
        <v>563</v>
      </c>
      <c r="CL18" s="29" t="s">
        <v>546</v>
      </c>
      <c r="CM18" s="29" t="s">
        <v>547</v>
      </c>
      <c r="CN18" s="29">
        <v>0.25</v>
      </c>
      <c r="CO18" s="29">
        <v>1</v>
      </c>
      <c r="CP18" s="29">
        <v>0</v>
      </c>
      <c r="CQ18" s="29" t="s">
        <v>546</v>
      </c>
      <c r="CS18" s="29">
        <v>999</v>
      </c>
      <c r="CT18" s="29" t="s">
        <v>551</v>
      </c>
      <c r="CW18" s="29">
        <v>999</v>
      </c>
      <c r="CX18" s="29" t="s">
        <v>551</v>
      </c>
      <c r="CY18" s="62"/>
      <c r="DA18" s="29">
        <v>999</v>
      </c>
      <c r="DB18" s="29" t="s">
        <v>551</v>
      </c>
      <c r="DC18" s="62"/>
      <c r="DD18" s="29" t="s">
        <v>546</v>
      </c>
      <c r="DE18" s="29" t="s">
        <v>546</v>
      </c>
      <c r="DF18" s="29" t="s">
        <v>546</v>
      </c>
      <c r="DG18" s="29" t="s">
        <v>546</v>
      </c>
      <c r="DH18" s="29" t="s">
        <v>546</v>
      </c>
      <c r="DI18" s="29">
        <v>0</v>
      </c>
      <c r="DJ18" s="29">
        <v>2</v>
      </c>
      <c r="DK18" s="29" t="s">
        <v>935</v>
      </c>
      <c r="DL18" s="29" t="s">
        <v>936</v>
      </c>
      <c r="DM18" s="29">
        <v>-4.2597346305847168</v>
      </c>
      <c r="DN18" s="29">
        <v>35.859542846679688</v>
      </c>
      <c r="DO18" s="29">
        <v>1313.0999755859375</v>
      </c>
      <c r="DP18" s="29">
        <v>5</v>
      </c>
      <c r="DQ18" s="29">
        <v>1705231439</v>
      </c>
      <c r="DR18" s="29" t="s">
        <v>937</v>
      </c>
      <c r="DS18" s="31">
        <v>42903.412881944445</v>
      </c>
      <c r="DT18" s="31">
        <v>42893.563078703708</v>
      </c>
      <c r="DU18" s="31">
        <v>42893.639930555553</v>
      </c>
      <c r="DV18" s="32">
        <v>42771</v>
      </c>
      <c r="DX18" s="44">
        <v>6.7460846560846557</v>
      </c>
      <c r="DY18" s="44">
        <v>7.2140211640211636</v>
      </c>
      <c r="DZ18" s="44">
        <v>5.3797777777777771</v>
      </c>
      <c r="EA18" s="44"/>
      <c r="EC18" s="29">
        <f>IF(EQ18&lt;EP18,"FALSEE",1)</f>
        <v>1</v>
      </c>
      <c r="EE18" s="29" t="s">
        <v>2171</v>
      </c>
      <c r="EF18" s="29">
        <v>3.0261540412899999</v>
      </c>
      <c r="EG18" s="29" t="str">
        <f>IF(EF18&lt;0.5,"Depression",IF(EF18&lt;2,"Very gentle",IF(EF18&lt;5,"Gentle",IF(EF18&lt;9,"Moderate",IF(EF18&lt;15,"Strong",IF(EF18&lt;30,"Steep",IF(EF18&lt;1,"Very steep")))))))</f>
        <v>Gentle</v>
      </c>
      <c r="EH18" s="29" t="s">
        <v>2173</v>
      </c>
      <c r="EI18" s="29">
        <v>-0.18127532303300001</v>
      </c>
      <c r="EJ18" s="43">
        <v>8.8983516693099993</v>
      </c>
      <c r="EK18" s="43">
        <f>VLOOKUP(D18,[1]SoilData!$G$15:$K$237,5,FALSE)</f>
        <v>1072.1720179918159</v>
      </c>
      <c r="EL18" s="43">
        <f>VLOOKUP(D18,[1]SoilData!$G$245:$K$451,5,FALSE)</f>
        <v>229.227312387974</v>
      </c>
      <c r="EM18" s="43">
        <f>VLOOKUP(D18,[1]SoilData!$G$15:$M$238,7,FALSE)</f>
        <v>1.506</v>
      </c>
      <c r="EN18" s="43">
        <f>VLOOKUP(D18,[1]SoilData!$G$245:$M$454,7,FALSE)</f>
        <v>1.4650000000000001</v>
      </c>
      <c r="EO18" s="60">
        <f>EM18-EN18</f>
        <v>4.0999999999999925E-2</v>
      </c>
      <c r="EP18" s="44">
        <f>AVERAGE(DZ18:EA18)</f>
        <v>5.3797777777777771</v>
      </c>
      <c r="EQ18" s="44">
        <f>AVERAGE(DX18:DY18)</f>
        <v>6.9800529100529101</v>
      </c>
      <c r="ER18" s="43">
        <f>EQ18-EP18</f>
        <v>1.600275132275133</v>
      </c>
      <c r="ES18" s="64">
        <f>IF(CU18&gt;0.000001,CU18*352,0)</f>
        <v>0</v>
      </c>
      <c r="ET18" s="64">
        <f>IF(DC18&gt;0.0001,DC18*682,0)</f>
        <v>0</v>
      </c>
      <c r="EU18" s="64">
        <f>CY18*795</f>
        <v>0</v>
      </c>
      <c r="EV18" s="64">
        <f>ES18+ET18+EU18</f>
        <v>0</v>
      </c>
      <c r="EW18" s="64">
        <f>IF(AA18="YES",3.5*18.2,0)</f>
        <v>0</v>
      </c>
      <c r="EX18" s="64">
        <f>EV18-EW18</f>
        <v>0</v>
      </c>
    </row>
    <row r="19" spans="1:154" ht="15" x14ac:dyDescent="0.2">
      <c r="A19" s="29" t="s">
        <v>556</v>
      </c>
      <c r="B19" s="29">
        <v>95</v>
      </c>
      <c r="C19" s="29" t="s">
        <v>1477</v>
      </c>
      <c r="D19" s="41" t="s">
        <v>1477</v>
      </c>
      <c r="E19" s="29" t="e">
        <f>VLOOKUP(D19,Harvest_2017_Formulae!$C$2:$D$968,2,FALSE)</f>
        <v>#N/A</v>
      </c>
      <c r="F19" s="29" t="s">
        <v>777</v>
      </c>
      <c r="G19" s="29">
        <v>0</v>
      </c>
      <c r="H19" s="61" t="str">
        <f>IF(G19&lt;0.05,"Homefield",IF(G19&lt;0.5,"Midfield","outfield"))</f>
        <v>Homefield</v>
      </c>
      <c r="I19" s="29" t="s">
        <v>1449</v>
      </c>
      <c r="J19" s="61" t="s">
        <v>2233</v>
      </c>
      <c r="K19" s="61" t="s">
        <v>2233</v>
      </c>
      <c r="L19" s="67">
        <v>1</v>
      </c>
      <c r="M19" s="29">
        <v>8</v>
      </c>
      <c r="O19" s="29" t="s">
        <v>567</v>
      </c>
      <c r="P19" s="29">
        <v>0.30000001192092896</v>
      </c>
      <c r="Q19" s="67">
        <v>0</v>
      </c>
      <c r="R19" s="29" t="s">
        <v>547</v>
      </c>
      <c r="T19" s="29" t="s">
        <v>559</v>
      </c>
      <c r="U19" s="29" t="s">
        <v>560</v>
      </c>
      <c r="W19" s="29" t="s">
        <v>819</v>
      </c>
      <c r="X19" s="29">
        <v>999</v>
      </c>
      <c r="Z19" s="29" t="s">
        <v>547</v>
      </c>
      <c r="AA19" s="61" t="s">
        <v>546</v>
      </c>
      <c r="AB19" s="29" t="s">
        <v>547</v>
      </c>
      <c r="AC19" s="67">
        <v>0</v>
      </c>
      <c r="AD19" s="29" t="s">
        <v>547</v>
      </c>
      <c r="AF19" s="29" t="s">
        <v>547</v>
      </c>
      <c r="AG19" s="29" t="s">
        <v>547</v>
      </c>
      <c r="AH19" s="29" t="s">
        <v>546</v>
      </c>
      <c r="AI19" s="29" t="s">
        <v>546</v>
      </c>
      <c r="AJ19" s="29" t="s">
        <v>547</v>
      </c>
      <c r="AK19" s="67">
        <v>0</v>
      </c>
      <c r="AL19" s="29" t="s">
        <v>547</v>
      </c>
      <c r="AO19" s="29" t="s">
        <v>547</v>
      </c>
      <c r="AP19" s="29" t="s">
        <v>547</v>
      </c>
      <c r="AQ19" s="4">
        <f>Q19+AK19</f>
        <v>0</v>
      </c>
      <c r="AR19" s="4">
        <f>L19+AC19</f>
        <v>1</v>
      </c>
      <c r="AS19" t="str">
        <f>AQ19&amp;AR19</f>
        <v>01</v>
      </c>
      <c r="AT19" s="49">
        <f>AQ19-AR19</f>
        <v>-1</v>
      </c>
      <c r="AU19">
        <v>0</v>
      </c>
      <c r="AV19" s="29" t="s">
        <v>548</v>
      </c>
      <c r="AW19" s="29">
        <v>2.125</v>
      </c>
      <c r="AX19" s="29" t="s">
        <v>546</v>
      </c>
      <c r="BA19" s="29" t="s">
        <v>546</v>
      </c>
      <c r="BB19" s="29" t="s">
        <v>547</v>
      </c>
      <c r="BD19" s="29">
        <f>AW19+AZ19</f>
        <v>2.125</v>
      </c>
      <c r="BE19" s="29">
        <f>BD19+BC19</f>
        <v>2.125</v>
      </c>
      <c r="BF19" s="29" t="s">
        <v>546</v>
      </c>
      <c r="BG19" s="29" t="s">
        <v>546</v>
      </c>
      <c r="BH19" s="29" t="s">
        <v>546</v>
      </c>
      <c r="BI19" s="29" t="s">
        <v>546</v>
      </c>
      <c r="BJ19" s="29" t="s">
        <v>546</v>
      </c>
      <c r="BK19" s="29" t="s">
        <v>546</v>
      </c>
      <c r="BM19" s="29" t="s">
        <v>547</v>
      </c>
      <c r="BO19" s="29" t="s">
        <v>547</v>
      </c>
      <c r="BQ19" s="29" t="s">
        <v>547</v>
      </c>
      <c r="BS19" s="29" t="s">
        <v>547</v>
      </c>
      <c r="BU19" s="29" t="s">
        <v>547</v>
      </c>
      <c r="BW19" s="29">
        <f>(BL19*1)+(BN19*0.1)+(BP19*0.01)+(BR19*0.1)+(BT19*0.3)+(BV19*0.4)</f>
        <v>0</v>
      </c>
      <c r="BX19" s="29" t="s">
        <v>2223</v>
      </c>
      <c r="BY19" s="29">
        <v>1</v>
      </c>
      <c r="BZ19" s="29">
        <v>1</v>
      </c>
      <c r="CA19" s="29">
        <v>5</v>
      </c>
      <c r="CB19" s="29">
        <v>7</v>
      </c>
      <c r="CC19" s="29">
        <v>0</v>
      </c>
      <c r="CD19" s="29">
        <v>0</v>
      </c>
      <c r="CE19" s="29">
        <v>0</v>
      </c>
      <c r="CG19" s="29">
        <f>(CC19*15)+(CD19*0.8)+(CE19*0.3)+((AW19+AZ19)*15)</f>
        <v>31.875</v>
      </c>
      <c r="CH19" s="29" t="s">
        <v>2220</v>
      </c>
      <c r="CI19" s="29">
        <f>(BL19*1)+(BN19*0.1)+(BP19*0.01)+(BR19*0.1)+(BT19*0.3)+(BV19*0.4)+(CC19*15)+(CD19*0.8)+(CE19*0.3)+((AW19+AZ19)*15)</f>
        <v>31.875</v>
      </c>
      <c r="CJ19" s="29" t="s">
        <v>546</v>
      </c>
      <c r="CK19" s="29" t="s">
        <v>547</v>
      </c>
      <c r="CL19" s="29" t="s">
        <v>546</v>
      </c>
      <c r="CM19" s="29" t="s">
        <v>547</v>
      </c>
      <c r="CN19" s="29">
        <v>0.25</v>
      </c>
      <c r="CP19" s="29">
        <v>1.75</v>
      </c>
      <c r="CQ19" s="29" t="s">
        <v>546</v>
      </c>
      <c r="CR19" s="29">
        <v>1</v>
      </c>
      <c r="CS19" s="29">
        <v>12</v>
      </c>
      <c r="CT19" s="29" t="s">
        <v>551</v>
      </c>
      <c r="CU19" s="30">
        <v>2.8800000000000003</v>
      </c>
      <c r="CW19" s="29">
        <v>999</v>
      </c>
      <c r="CX19" s="29" t="s">
        <v>551</v>
      </c>
      <c r="CY19" s="62"/>
      <c r="CZ19" s="29">
        <v>1</v>
      </c>
      <c r="DA19" s="29">
        <v>4</v>
      </c>
      <c r="DB19" s="29" t="s">
        <v>551</v>
      </c>
      <c r="DC19" s="62">
        <v>0.96</v>
      </c>
      <c r="DD19" s="29" t="s">
        <v>546</v>
      </c>
      <c r="DE19" s="29" t="s">
        <v>546</v>
      </c>
      <c r="DF19" s="29" t="s">
        <v>546</v>
      </c>
      <c r="DG19" s="29" t="s">
        <v>546</v>
      </c>
      <c r="DH19" s="29" t="s">
        <v>546</v>
      </c>
      <c r="DI19" s="29">
        <v>0</v>
      </c>
      <c r="DJ19" s="29">
        <v>3</v>
      </c>
      <c r="DK19" s="29" t="s">
        <v>1478</v>
      </c>
      <c r="DL19" s="29" t="s">
        <v>1479</v>
      </c>
      <c r="DM19" s="29">
        <v>-4.3069453239440918</v>
      </c>
      <c r="DN19" s="29">
        <v>35.863353729248047</v>
      </c>
      <c r="DO19" s="29">
        <v>1245.9000244140625</v>
      </c>
      <c r="DP19" s="29">
        <v>5</v>
      </c>
      <c r="DQ19" s="29">
        <v>1705231439</v>
      </c>
      <c r="DR19" s="29" t="s">
        <v>1480</v>
      </c>
      <c r="DS19" s="31">
        <v>42927.346990740742</v>
      </c>
      <c r="DT19" s="31">
        <v>42888.689953703702</v>
      </c>
      <c r="DU19" s="31">
        <v>42927.346377314811</v>
      </c>
      <c r="DV19" s="32">
        <v>42782</v>
      </c>
      <c r="EB19" s="34"/>
      <c r="EC19" s="29">
        <f>IF(EQ19&lt;EP19,"FALSEE",1)</f>
        <v>1</v>
      </c>
      <c r="ED19" s="34"/>
      <c r="EE19" s="29" t="s">
        <v>2171</v>
      </c>
      <c r="EF19" s="29">
        <v>1.8074369430499999</v>
      </c>
      <c r="EG19" s="29" t="str">
        <f>IF(EF19&lt;0.5,"Depression",IF(EF19&lt;2,"Very gentle",IF(EF19&lt;5,"Gentle",IF(EF19&lt;9,"Moderate",IF(EF19&lt;15,"Strong",IF(EF19&lt;30,"Steep",IF(EF19&lt;1,"Very steep")))))))</f>
        <v>Very gentle</v>
      </c>
      <c r="EH19" s="29" t="s">
        <v>2173</v>
      </c>
      <c r="EI19" s="29">
        <v>-0.362559139729</v>
      </c>
      <c r="EJ19" s="43">
        <v>9.6462850570699992</v>
      </c>
      <c r="EK19" s="43"/>
      <c r="EL19" s="43"/>
      <c r="EM19" s="43"/>
      <c r="EN19" s="43"/>
      <c r="EO19" s="60"/>
      <c r="EP19" s="43"/>
      <c r="EQ19" s="43"/>
      <c r="ER19" s="43"/>
      <c r="ES19" s="64">
        <f>IF(CU19&gt;0.000001,CU19*352,0)</f>
        <v>1013.7600000000001</v>
      </c>
      <c r="ET19" s="64">
        <f>IF(DC19&gt;0.0001,DC19*682,0)</f>
        <v>654.72</v>
      </c>
      <c r="EU19" s="64">
        <f>CY19*795</f>
        <v>0</v>
      </c>
      <c r="EV19" s="64">
        <f>ES19+ET19+EU19</f>
        <v>1668.48</v>
      </c>
      <c r="EW19" s="64">
        <f>IF(AA19="YES",3.5*18.2,0)</f>
        <v>0</v>
      </c>
      <c r="EX19" s="64">
        <f>EV19-EW19</f>
        <v>1668.48</v>
      </c>
    </row>
    <row r="20" spans="1:154" ht="15" x14ac:dyDescent="0.2">
      <c r="A20" s="29" t="s">
        <v>556</v>
      </c>
      <c r="B20" s="29">
        <v>227</v>
      </c>
      <c r="C20" s="29" t="s">
        <v>123</v>
      </c>
      <c r="D20" s="29" t="s">
        <v>123</v>
      </c>
      <c r="E20" s="29" t="str">
        <f>VLOOKUP(D20,Harvest_2017_Formulae!$C$2:$D$968,2,FALSE)</f>
        <v>ENDAGWE</v>
      </c>
      <c r="F20" s="29" t="s">
        <v>732</v>
      </c>
      <c r="G20" s="29">
        <v>0</v>
      </c>
      <c r="H20" s="61" t="str">
        <f>IF(G20&lt;0.05,"Homefield",IF(G20&lt;0.5,"Midfield","outfield"))</f>
        <v>Homefield</v>
      </c>
      <c r="I20" s="29" t="s">
        <v>557</v>
      </c>
      <c r="J20" s="61" t="s">
        <v>2233</v>
      </c>
      <c r="K20" s="61" t="s">
        <v>2233</v>
      </c>
      <c r="L20" s="67">
        <v>1</v>
      </c>
      <c r="M20" s="29">
        <v>8</v>
      </c>
      <c r="N20" s="29">
        <v>5000</v>
      </c>
      <c r="O20" s="29" t="s">
        <v>547</v>
      </c>
      <c r="P20" s="29" t="s">
        <v>559</v>
      </c>
      <c r="Q20" s="67">
        <v>0</v>
      </c>
      <c r="R20" s="29" t="s">
        <v>547</v>
      </c>
      <c r="U20" s="29" t="s">
        <v>547</v>
      </c>
      <c r="W20" s="29" t="s">
        <v>547</v>
      </c>
      <c r="Z20" s="29" t="s">
        <v>547</v>
      </c>
      <c r="AA20" s="61" t="s">
        <v>548</v>
      </c>
      <c r="AB20" s="29" t="s">
        <v>568</v>
      </c>
      <c r="AC20" s="67">
        <v>0</v>
      </c>
      <c r="AD20" s="29" t="s">
        <v>547</v>
      </c>
      <c r="AF20" s="29" t="s">
        <v>547</v>
      </c>
      <c r="AG20" s="29" t="s">
        <v>547</v>
      </c>
      <c r="AH20" s="29" t="s">
        <v>546</v>
      </c>
      <c r="AI20" s="29" t="s">
        <v>546</v>
      </c>
      <c r="AJ20" s="29" t="s">
        <v>547</v>
      </c>
      <c r="AK20" s="67">
        <v>0</v>
      </c>
      <c r="AL20" s="29" t="s">
        <v>547</v>
      </c>
      <c r="AO20" s="29" t="s">
        <v>547</v>
      </c>
      <c r="AP20" s="29" t="s">
        <v>547</v>
      </c>
      <c r="AQ20" s="4">
        <f>Q20+AK20</f>
        <v>0</v>
      </c>
      <c r="AR20" s="4">
        <f>L20+AC20</f>
        <v>1</v>
      </c>
      <c r="AS20" t="str">
        <f>AQ20&amp;AR20</f>
        <v>01</v>
      </c>
      <c r="AT20" s="49">
        <f>AQ20-AR20</f>
        <v>-1</v>
      </c>
      <c r="AU20">
        <v>0</v>
      </c>
      <c r="AV20" s="29" t="s">
        <v>548</v>
      </c>
      <c r="AW20" s="29">
        <v>1.5</v>
      </c>
      <c r="AX20" s="29" t="s">
        <v>548</v>
      </c>
      <c r="AY20" s="29">
        <v>2</v>
      </c>
      <c r="AZ20" s="29">
        <v>2.5</v>
      </c>
      <c r="BA20" s="29" t="s">
        <v>546</v>
      </c>
      <c r="BB20" s="29" t="s">
        <v>547</v>
      </c>
      <c r="BD20" s="29">
        <f>AW20+AZ20</f>
        <v>4</v>
      </c>
      <c r="BE20" s="29">
        <f>BD20+BC20</f>
        <v>4</v>
      </c>
      <c r="BF20" s="29" t="s">
        <v>546</v>
      </c>
      <c r="BG20" s="29" t="s">
        <v>546</v>
      </c>
      <c r="BH20" s="29" t="s">
        <v>546</v>
      </c>
      <c r="BI20" s="29" t="s">
        <v>546</v>
      </c>
      <c r="BJ20" s="29" t="s">
        <v>546</v>
      </c>
      <c r="BK20" s="29" t="s">
        <v>546</v>
      </c>
      <c r="BM20" s="29" t="s">
        <v>547</v>
      </c>
      <c r="BO20" s="29" t="s">
        <v>547</v>
      </c>
      <c r="BQ20" s="29" t="s">
        <v>547</v>
      </c>
      <c r="BS20" s="29" t="s">
        <v>547</v>
      </c>
      <c r="BU20" s="29" t="s">
        <v>547</v>
      </c>
      <c r="BW20" s="29">
        <f>(BL20*1)+(BN20*0.1)+(BP20*0.01)+(BR20*0.1)+(BT20*0.3)+(BV20*0.4)</f>
        <v>0</v>
      </c>
      <c r="BX20" s="29" t="s">
        <v>2223</v>
      </c>
      <c r="BY20" s="29">
        <v>2</v>
      </c>
      <c r="BZ20" s="29">
        <v>1</v>
      </c>
      <c r="CA20" s="29">
        <v>2</v>
      </c>
      <c r="CB20" s="29">
        <v>5</v>
      </c>
      <c r="CC20" s="29">
        <v>0</v>
      </c>
      <c r="CD20" s="29">
        <v>0</v>
      </c>
      <c r="CE20" s="29">
        <v>0</v>
      </c>
      <c r="CF20" s="29" t="s">
        <v>547</v>
      </c>
      <c r="CG20" s="29">
        <f>(CC20*15)+(CD20*0.8)+(CE20*0.3)+((AW20+AZ20)*15)</f>
        <v>60</v>
      </c>
      <c r="CH20" s="29" t="s">
        <v>2221</v>
      </c>
      <c r="CI20" s="29">
        <f>(BL20*1)+(BN20*0.1)+(BP20*0.01)+(BR20*0.1)+(BT20*0.3)+(BV20*0.4)+(CC20*15)+(CD20*0.8)+(CE20*0.3)+((AW20+AZ20)*15)</f>
        <v>60</v>
      </c>
      <c r="CJ20" s="29" t="s">
        <v>546</v>
      </c>
      <c r="CK20" s="29" t="s">
        <v>547</v>
      </c>
      <c r="CL20" s="29" t="s">
        <v>548</v>
      </c>
      <c r="CM20" s="29" t="s">
        <v>550</v>
      </c>
      <c r="CN20" s="29">
        <v>0.25</v>
      </c>
      <c r="CO20" s="29">
        <v>1.25</v>
      </c>
      <c r="CQ20" s="29" t="s">
        <v>548</v>
      </c>
      <c r="CR20" s="29">
        <v>1.5</v>
      </c>
      <c r="CS20" s="29">
        <v>18</v>
      </c>
      <c r="CT20" s="29" t="s">
        <v>551</v>
      </c>
      <c r="CU20" s="30">
        <v>2.88</v>
      </c>
      <c r="CV20" s="29">
        <v>3</v>
      </c>
      <c r="CW20" s="29">
        <v>999</v>
      </c>
      <c r="CX20" s="29" t="s">
        <v>551</v>
      </c>
      <c r="CY20" s="62"/>
      <c r="CZ20" s="29">
        <v>1.5</v>
      </c>
      <c r="DA20" s="29">
        <v>3</v>
      </c>
      <c r="DB20" s="29" t="s">
        <v>551</v>
      </c>
      <c r="DC20" s="62">
        <v>0.48</v>
      </c>
      <c r="DD20" s="29" t="s">
        <v>546</v>
      </c>
      <c r="DE20" s="29" t="s">
        <v>548</v>
      </c>
      <c r="DF20" s="29" t="s">
        <v>548</v>
      </c>
      <c r="DG20" s="29" t="s">
        <v>548</v>
      </c>
      <c r="DH20" s="29" t="s">
        <v>546</v>
      </c>
      <c r="DI20" s="29">
        <v>3</v>
      </c>
      <c r="DJ20" s="29">
        <v>3</v>
      </c>
      <c r="DK20" s="29" t="s">
        <v>749</v>
      </c>
      <c r="DL20" s="29" t="s">
        <v>750</v>
      </c>
      <c r="DM20" s="29">
        <v>-4.3532028198242188</v>
      </c>
      <c r="DN20" s="29">
        <v>35.6519775390625</v>
      </c>
      <c r="DO20" s="29">
        <v>1571.5</v>
      </c>
      <c r="DP20" s="29">
        <v>5</v>
      </c>
      <c r="DQ20" s="29">
        <v>1706031849</v>
      </c>
      <c r="DR20" s="29" t="s">
        <v>751</v>
      </c>
      <c r="DS20" s="31">
        <v>42951.01427083333</v>
      </c>
      <c r="DT20" s="31">
        <v>42934.509953703702</v>
      </c>
      <c r="DU20" s="31">
        <v>42950.981435185182</v>
      </c>
      <c r="DV20" s="32">
        <v>42798</v>
      </c>
      <c r="DX20" s="44">
        <v>0.76228282828282834</v>
      </c>
      <c r="DY20" s="44">
        <v>1.390969696969697</v>
      </c>
      <c r="DZ20" s="44">
        <v>0.61444444444444457</v>
      </c>
      <c r="EA20" s="44">
        <v>0.85555555555555574</v>
      </c>
      <c r="EC20" s="29">
        <f>IF(EQ20&lt;EP20,"FALSEE",1)</f>
        <v>1</v>
      </c>
      <c r="EE20" s="29" t="s">
        <v>2179</v>
      </c>
      <c r="EF20" s="29">
        <v>3.2550628185299999</v>
      </c>
      <c r="EG20" s="29" t="str">
        <f>IF(EF20&lt;0.5,"Depression",IF(EF20&lt;2,"Very gentle",IF(EF20&lt;5,"Gentle",IF(EF20&lt;9,"Moderate",IF(EF20&lt;15,"Strong",IF(EF20&lt;30,"Steep",IF(EF20&lt;1,"Very steep")))))))</f>
        <v>Gentle</v>
      </c>
      <c r="EH20" s="29" t="s">
        <v>2173</v>
      </c>
      <c r="EI20" s="29">
        <v>0.27193418145199999</v>
      </c>
      <c r="EJ20" s="43">
        <v>9.8630743026700003</v>
      </c>
      <c r="EK20" s="43">
        <f>VLOOKUP(D20,[1]SoilData!$G$15:$K$237,5,FALSE)</f>
        <v>300.26037463283114</v>
      </c>
      <c r="EL20" s="43">
        <f>VLOOKUP(D20,[1]SoilData!$G$245:$K$451,5,FALSE)</f>
        <v>261.95652718254939</v>
      </c>
      <c r="EM20" s="43">
        <f>VLOOKUP(D20,[1]SoilData!$G$15:$M$238,7,FALSE)</f>
        <v>1.163</v>
      </c>
      <c r="EN20" s="43">
        <f>VLOOKUP(D20,[1]SoilData!$G$245:$M$454,7,FALSE)</f>
        <v>1.349</v>
      </c>
      <c r="EO20" s="60">
        <f>EM20-EN20</f>
        <v>-0.18599999999999994</v>
      </c>
      <c r="EP20" s="44">
        <f>AVERAGE(DZ20:EA20)</f>
        <v>0.7350000000000001</v>
      </c>
      <c r="EQ20" s="44">
        <f>AVERAGE(DX20:DY20)</f>
        <v>1.0766262626262626</v>
      </c>
      <c r="ER20" s="43">
        <f>EQ20-EP20</f>
        <v>0.3416262626262625</v>
      </c>
      <c r="ES20" s="64">
        <f>IF(CU20&gt;0.000001,CU20*352,0)</f>
        <v>1013.76</v>
      </c>
      <c r="ET20" s="64">
        <f>IF(DC20&gt;0.0001,DC20*682,0)</f>
        <v>327.36</v>
      </c>
      <c r="EU20" s="64">
        <f>CY20*795</f>
        <v>0</v>
      </c>
      <c r="EV20" s="64">
        <f>ES20+ET20+EU20</f>
        <v>1341.12</v>
      </c>
      <c r="EW20" s="64">
        <f>IF(AA20="YES",3.5*18.2,0)</f>
        <v>63.699999999999996</v>
      </c>
      <c r="EX20" s="64">
        <f>EV20-EW20</f>
        <v>1277.4199999999998</v>
      </c>
    </row>
    <row r="21" spans="1:154" ht="15" x14ac:dyDescent="0.2">
      <c r="A21" s="29" t="s">
        <v>556</v>
      </c>
      <c r="B21" s="29">
        <v>173</v>
      </c>
      <c r="C21" s="29" t="s">
        <v>2206</v>
      </c>
      <c r="D21" s="29" t="s">
        <v>417</v>
      </c>
      <c r="E21" s="29" t="str">
        <f>VLOOKUP(D21,Harvest_2017_Formulae!$C$2:$D$968,2,FALSE)</f>
        <v>DURU</v>
      </c>
      <c r="F21" s="29" t="s">
        <v>645</v>
      </c>
      <c r="G21" s="29">
        <v>0</v>
      </c>
      <c r="H21" s="61" t="str">
        <f>IF(G21&lt;0.05,"Homefield",IF(G21&lt;0.5,"Midfield","outfield"))</f>
        <v>Homefield</v>
      </c>
      <c r="I21" s="29" t="s">
        <v>557</v>
      </c>
      <c r="J21" s="61" t="s">
        <v>2233</v>
      </c>
      <c r="K21" s="61" t="s">
        <v>2233</v>
      </c>
      <c r="L21" s="67">
        <v>1</v>
      </c>
      <c r="M21" s="29">
        <v>20</v>
      </c>
      <c r="O21" s="29" t="s">
        <v>567</v>
      </c>
      <c r="P21" s="29">
        <v>0.5</v>
      </c>
      <c r="Q21" s="67">
        <v>0</v>
      </c>
      <c r="R21" s="29" t="s">
        <v>547</v>
      </c>
      <c r="U21" s="29" t="s">
        <v>547</v>
      </c>
      <c r="W21" s="29" t="s">
        <v>547</v>
      </c>
      <c r="Z21" s="29" t="s">
        <v>547</v>
      </c>
      <c r="AA21" s="61" t="s">
        <v>546</v>
      </c>
      <c r="AB21" s="29" t="s">
        <v>547</v>
      </c>
      <c r="AC21" s="67">
        <v>0</v>
      </c>
      <c r="AD21" s="29" t="s">
        <v>547</v>
      </c>
      <c r="AF21" s="29" t="s">
        <v>547</v>
      </c>
      <c r="AG21" s="29" t="s">
        <v>547</v>
      </c>
      <c r="AH21" s="29" t="s">
        <v>546</v>
      </c>
      <c r="AI21" s="29" t="s">
        <v>546</v>
      </c>
      <c r="AJ21" s="29" t="s">
        <v>547</v>
      </c>
      <c r="AK21" s="67">
        <v>0</v>
      </c>
      <c r="AL21" s="29" t="s">
        <v>547</v>
      </c>
      <c r="AO21" s="29" t="s">
        <v>547</v>
      </c>
      <c r="AP21" s="29" t="s">
        <v>547</v>
      </c>
      <c r="AQ21" s="4">
        <f>Q21+AK21</f>
        <v>0</v>
      </c>
      <c r="AR21" s="4">
        <f>L21+AC21</f>
        <v>1</v>
      </c>
      <c r="AS21" t="str">
        <f>AQ21&amp;AR21</f>
        <v>01</v>
      </c>
      <c r="AT21" s="49">
        <f>AQ21-AR21</f>
        <v>-1</v>
      </c>
      <c r="AU21">
        <v>0</v>
      </c>
      <c r="AV21" s="29" t="s">
        <v>548</v>
      </c>
      <c r="AW21" s="29">
        <v>14</v>
      </c>
      <c r="AX21" s="29" t="s">
        <v>546</v>
      </c>
      <c r="BA21" s="29" t="s">
        <v>546</v>
      </c>
      <c r="BB21" s="29" t="s">
        <v>547</v>
      </c>
      <c r="BD21" s="29">
        <f>AW21+AZ21</f>
        <v>14</v>
      </c>
      <c r="BE21" s="29">
        <f>BD21+BC21</f>
        <v>14</v>
      </c>
      <c r="BF21" s="29" t="s">
        <v>546</v>
      </c>
      <c r="BG21" s="29" t="s">
        <v>546</v>
      </c>
      <c r="BH21" s="29" t="s">
        <v>546</v>
      </c>
      <c r="BI21" s="29" t="s">
        <v>546</v>
      </c>
      <c r="BJ21" s="29" t="s">
        <v>546</v>
      </c>
      <c r="BK21" s="29" t="s">
        <v>546</v>
      </c>
      <c r="BM21" s="29" t="s">
        <v>547</v>
      </c>
      <c r="BO21" s="29" t="s">
        <v>547</v>
      </c>
      <c r="BQ21" s="29" t="s">
        <v>547</v>
      </c>
      <c r="BS21" s="29" t="s">
        <v>547</v>
      </c>
      <c r="BU21" s="29" t="s">
        <v>547</v>
      </c>
      <c r="BW21" s="29">
        <f>(BL21*1)+(BN21*0.1)+(BP21*0.01)+(BR21*0.1)+(BT21*0.3)+(BV21*0.4)</f>
        <v>0</v>
      </c>
      <c r="BX21" s="29" t="s">
        <v>2223</v>
      </c>
      <c r="BY21" s="29">
        <v>11</v>
      </c>
      <c r="BZ21" s="29">
        <v>3</v>
      </c>
      <c r="CA21" s="29">
        <v>170</v>
      </c>
      <c r="CB21" s="29">
        <v>184</v>
      </c>
      <c r="CC21" s="29">
        <v>0</v>
      </c>
      <c r="CD21" s="29">
        <v>0</v>
      </c>
      <c r="CE21" s="29">
        <v>0</v>
      </c>
      <c r="CF21" s="29" t="s">
        <v>547</v>
      </c>
      <c r="CG21" s="29">
        <f>(CC21*15)+(CD21*0.8)+(CE21*0.3)+((AW21+AZ21)*15)</f>
        <v>210</v>
      </c>
      <c r="CH21" s="29" t="s">
        <v>2221</v>
      </c>
      <c r="CI21" s="29">
        <f>(BL21*1)+(BN21*0.1)+(BP21*0.01)+(BR21*0.1)+(BT21*0.3)+(BV21*0.4)+(CC21*15)+(CD21*0.8)+(CE21*0.3)+((AW21+AZ21)*15)</f>
        <v>210</v>
      </c>
      <c r="CJ21" s="29" t="s">
        <v>546</v>
      </c>
      <c r="CK21" s="29" t="s">
        <v>547</v>
      </c>
      <c r="CL21" s="29" t="s">
        <v>546</v>
      </c>
      <c r="CM21" s="29" t="s">
        <v>547</v>
      </c>
      <c r="CN21" s="29">
        <v>0.25</v>
      </c>
      <c r="CO21" s="29">
        <v>4.75</v>
      </c>
      <c r="CQ21" s="29" t="s">
        <v>548</v>
      </c>
      <c r="CR21" s="29">
        <v>5</v>
      </c>
      <c r="CS21" s="29">
        <v>55</v>
      </c>
      <c r="CT21" s="29" t="s">
        <v>551</v>
      </c>
      <c r="CU21" s="30">
        <v>2.6399999999999997</v>
      </c>
      <c r="CW21" s="29">
        <v>999</v>
      </c>
      <c r="CX21" s="29" t="s">
        <v>551</v>
      </c>
      <c r="CY21" s="62"/>
      <c r="CZ21" s="29">
        <v>5</v>
      </c>
      <c r="DA21" s="29">
        <v>3</v>
      </c>
      <c r="DB21" s="29" t="s">
        <v>551</v>
      </c>
      <c r="DC21" s="62">
        <v>0.14399999999999999</v>
      </c>
      <c r="DD21" s="29" t="s">
        <v>546</v>
      </c>
      <c r="DE21" s="29" t="s">
        <v>546</v>
      </c>
      <c r="DF21" s="29" t="s">
        <v>546</v>
      </c>
      <c r="DG21" s="29" t="s">
        <v>546</v>
      </c>
      <c r="DH21" s="29" t="s">
        <v>546</v>
      </c>
      <c r="DI21" s="29">
        <v>0</v>
      </c>
      <c r="DJ21" s="29">
        <v>2</v>
      </c>
      <c r="DK21" s="29" t="s">
        <v>677</v>
      </c>
      <c r="DL21" s="29" t="s">
        <v>678</v>
      </c>
      <c r="DM21" s="29">
        <v>-4.3187379837036133</v>
      </c>
      <c r="DN21" s="29">
        <v>35.596546173095703</v>
      </c>
      <c r="DO21" s="29">
        <v>1526.4000244140625</v>
      </c>
      <c r="DP21" s="29">
        <v>5</v>
      </c>
      <c r="DQ21" s="29">
        <v>1706031849</v>
      </c>
      <c r="DR21" s="29" t="s">
        <v>679</v>
      </c>
      <c r="DS21" s="31">
        <v>42921.43273148148</v>
      </c>
      <c r="DT21" s="31">
        <v>42920.530011574076</v>
      </c>
      <c r="DU21" s="31">
        <v>42920.542465277773</v>
      </c>
      <c r="DV21" s="32">
        <v>42791</v>
      </c>
      <c r="DX21" s="44">
        <v>2.662517289073306</v>
      </c>
      <c r="DY21" s="44">
        <v>2.5293914246196407</v>
      </c>
      <c r="DZ21" s="44">
        <v>3.4359151682803142</v>
      </c>
      <c r="EA21" s="44">
        <v>3.0618948824343022</v>
      </c>
      <c r="EC21" s="29" t="str">
        <f>IF(EQ21&lt;EP21,"FALSEE",1)</f>
        <v>FALSEE</v>
      </c>
      <c r="EE21" s="29" t="s">
        <v>2179</v>
      </c>
      <c r="EF21" s="29">
        <v>1.52882194519</v>
      </c>
      <c r="EG21" s="29" t="str">
        <f>IF(EF21&lt;0.5,"Depression",IF(EF21&lt;2,"Very gentle",IF(EF21&lt;5,"Gentle",IF(EF21&lt;9,"Moderate",IF(EF21&lt;15,"Strong",IF(EF21&lt;30,"Steep",IF(EF21&lt;1,"Very steep")))))))</f>
        <v>Very gentle</v>
      </c>
      <c r="EH21" s="29" t="s">
        <v>2173</v>
      </c>
      <c r="EI21" s="29">
        <v>0.27193418145199999</v>
      </c>
      <c r="EJ21" s="43">
        <v>10.7503194809</v>
      </c>
      <c r="EK21" s="43"/>
      <c r="EL21" s="43"/>
      <c r="EM21" s="43"/>
      <c r="EN21" s="43"/>
      <c r="EO21" s="60"/>
      <c r="EP21" s="44">
        <f>AVERAGE(DZ21:EA21)</f>
        <v>3.248905025357308</v>
      </c>
      <c r="EQ21" s="44">
        <f>AVERAGE(DX21:DY21)</f>
        <v>2.5959543568464731</v>
      </c>
      <c r="ER21" s="43">
        <f>EQ21-EP21</f>
        <v>-0.65295066851083483</v>
      </c>
      <c r="ES21" s="64">
        <f>IF(CU21&gt;0.000001,CU21*352,0)</f>
        <v>929.27999999999986</v>
      </c>
      <c r="ET21" s="64">
        <f>IF(DC21&gt;0.0001,DC21*682,0)</f>
        <v>98.207999999999998</v>
      </c>
      <c r="EU21" s="64">
        <f>CY21*795</f>
        <v>0</v>
      </c>
      <c r="EV21" s="64">
        <f>ES21+ET21+EU21</f>
        <v>1027.4879999999998</v>
      </c>
      <c r="EW21" s="64">
        <f>IF(AA21="YES",3.5*18.2,0)</f>
        <v>0</v>
      </c>
      <c r="EX21" s="64">
        <f>EV21-EW21</f>
        <v>1027.4879999999998</v>
      </c>
    </row>
    <row r="22" spans="1:154" ht="15" x14ac:dyDescent="0.2">
      <c r="A22" s="29" t="s">
        <v>556</v>
      </c>
      <c r="B22" s="29">
        <v>154</v>
      </c>
      <c r="C22" s="29" t="s">
        <v>956</v>
      </c>
      <c r="D22" s="29" t="s">
        <v>180</v>
      </c>
      <c r="E22" s="29" t="str">
        <f>VLOOKUP(D22,Harvest_2017_Formulae!$C$2:$D$968,2,FALSE)</f>
        <v>HALLU</v>
      </c>
      <c r="F22" s="29" t="s">
        <v>938</v>
      </c>
      <c r="G22" s="29">
        <v>0</v>
      </c>
      <c r="H22" s="61" t="str">
        <f>IF(G22&lt;0.05,"Homefield",IF(G22&lt;0.5,"Midfield","outfield"))</f>
        <v>Homefield</v>
      </c>
      <c r="I22" s="29" t="s">
        <v>557</v>
      </c>
      <c r="J22" s="61" t="s">
        <v>2234</v>
      </c>
      <c r="K22" s="61" t="s">
        <v>2234</v>
      </c>
      <c r="L22" s="67">
        <v>1</v>
      </c>
      <c r="M22" s="29">
        <v>40</v>
      </c>
      <c r="O22" s="29" t="s">
        <v>567</v>
      </c>
      <c r="P22" s="29">
        <v>0.5</v>
      </c>
      <c r="Q22" s="67">
        <v>0</v>
      </c>
      <c r="R22" s="29" t="s">
        <v>547</v>
      </c>
      <c r="U22" s="29" t="s">
        <v>547</v>
      </c>
      <c r="W22" s="29" t="s">
        <v>547</v>
      </c>
      <c r="Z22" s="29" t="s">
        <v>547</v>
      </c>
      <c r="AA22" s="61" t="s">
        <v>546</v>
      </c>
      <c r="AB22" s="29" t="s">
        <v>547</v>
      </c>
      <c r="AC22" s="67">
        <v>0</v>
      </c>
      <c r="AD22" s="29" t="s">
        <v>547</v>
      </c>
      <c r="AF22" s="29" t="s">
        <v>547</v>
      </c>
      <c r="AG22" s="29" t="s">
        <v>547</v>
      </c>
      <c r="AH22" s="29" t="s">
        <v>546</v>
      </c>
      <c r="AI22" s="29" t="s">
        <v>546</v>
      </c>
      <c r="AJ22" s="29" t="s">
        <v>547</v>
      </c>
      <c r="AK22" s="67">
        <v>0</v>
      </c>
      <c r="AL22" s="29" t="s">
        <v>547</v>
      </c>
      <c r="AO22" s="29" t="s">
        <v>547</v>
      </c>
      <c r="AP22" s="29" t="s">
        <v>547</v>
      </c>
      <c r="AQ22" s="4">
        <f>Q22+AK22</f>
        <v>0</v>
      </c>
      <c r="AR22" s="4">
        <f>L22+AC22</f>
        <v>1</v>
      </c>
      <c r="AS22" t="str">
        <f>AQ22&amp;AR22</f>
        <v>01</v>
      </c>
      <c r="AT22" s="49">
        <f>AQ22-AR22</f>
        <v>-1</v>
      </c>
      <c r="AU22">
        <v>0</v>
      </c>
      <c r="AV22" s="29" t="s">
        <v>548</v>
      </c>
      <c r="AW22" s="29">
        <v>25</v>
      </c>
      <c r="AX22" s="29" t="s">
        <v>546</v>
      </c>
      <c r="BA22" s="29" t="s">
        <v>546</v>
      </c>
      <c r="BB22" s="29" t="s">
        <v>547</v>
      </c>
      <c r="BD22" s="29">
        <f>AW22+AZ22</f>
        <v>25</v>
      </c>
      <c r="BE22" s="29">
        <f>BD22+BC22</f>
        <v>25</v>
      </c>
      <c r="BF22" s="29" t="s">
        <v>546</v>
      </c>
      <c r="BG22" s="29" t="s">
        <v>546</v>
      </c>
      <c r="BH22" s="29" t="s">
        <v>546</v>
      </c>
      <c r="BI22" s="29" t="s">
        <v>546</v>
      </c>
      <c r="BJ22" s="29" t="s">
        <v>546</v>
      </c>
      <c r="BK22" s="29" t="s">
        <v>546</v>
      </c>
      <c r="BM22" s="29" t="s">
        <v>547</v>
      </c>
      <c r="BO22" s="29" t="s">
        <v>547</v>
      </c>
      <c r="BQ22" s="29" t="s">
        <v>547</v>
      </c>
      <c r="BS22" s="29" t="s">
        <v>547</v>
      </c>
      <c r="BU22" s="29" t="s">
        <v>547</v>
      </c>
      <c r="BW22" s="29">
        <f>(BL22*1)+(BN22*0.1)+(BP22*0.01)+(BR22*0.1)+(BT22*0.3)+(BV22*0.4)</f>
        <v>0</v>
      </c>
      <c r="BX22" s="29" t="s">
        <v>2223</v>
      </c>
      <c r="BY22" s="29">
        <v>0</v>
      </c>
      <c r="BZ22" s="29">
        <v>0</v>
      </c>
      <c r="CA22" s="29">
        <v>403</v>
      </c>
      <c r="CB22" s="29">
        <v>403</v>
      </c>
      <c r="CC22" s="29">
        <v>0</v>
      </c>
      <c r="CD22" s="29">
        <v>0</v>
      </c>
      <c r="CE22" s="29">
        <v>0</v>
      </c>
      <c r="CF22" s="29" t="s">
        <v>547</v>
      </c>
      <c r="CG22" s="29">
        <f>(CC22*15)+(CD22*0.8)+(CE22*0.3)+((AW22+AZ22)*15)</f>
        <v>375</v>
      </c>
      <c r="CH22" s="29" t="s">
        <v>2221</v>
      </c>
      <c r="CI22" s="29">
        <f>(BL22*1)+(BN22*0.1)+(BP22*0.01)+(BR22*0.1)+(BT22*0.3)+(BV22*0.4)+(CC22*15)+(CD22*0.8)+(CE22*0.3)+((AW22+AZ22)*15)</f>
        <v>375</v>
      </c>
      <c r="CJ22" s="29" t="s">
        <v>546</v>
      </c>
      <c r="CK22" s="29" t="s">
        <v>547</v>
      </c>
      <c r="CL22" s="29" t="s">
        <v>546</v>
      </c>
      <c r="CM22" s="29" t="s">
        <v>547</v>
      </c>
      <c r="CN22" s="29">
        <v>1</v>
      </c>
      <c r="CO22" s="29">
        <v>9</v>
      </c>
      <c r="CQ22" s="29" t="s">
        <v>548</v>
      </c>
      <c r="CR22" s="29">
        <v>10</v>
      </c>
      <c r="CS22" s="29">
        <v>38</v>
      </c>
      <c r="CT22" s="29" t="s">
        <v>551</v>
      </c>
      <c r="CU22" s="30">
        <v>0.91200000000000003</v>
      </c>
      <c r="CW22" s="29">
        <v>999</v>
      </c>
      <c r="CX22" s="29" t="s">
        <v>551</v>
      </c>
      <c r="CY22" s="62"/>
      <c r="CZ22" s="29">
        <v>10</v>
      </c>
      <c r="DA22" s="29">
        <v>20</v>
      </c>
      <c r="DB22" s="29" t="s">
        <v>551</v>
      </c>
      <c r="DC22" s="62">
        <v>0.48</v>
      </c>
      <c r="DD22" s="29" t="s">
        <v>546</v>
      </c>
      <c r="DE22" s="29" t="s">
        <v>546</v>
      </c>
      <c r="DF22" s="29" t="s">
        <v>546</v>
      </c>
      <c r="DG22" s="29" t="s">
        <v>546</v>
      </c>
      <c r="DH22" s="29" t="s">
        <v>546</v>
      </c>
      <c r="DI22" s="29">
        <v>0</v>
      </c>
      <c r="DJ22" s="29">
        <v>3</v>
      </c>
      <c r="DK22" s="29" t="s">
        <v>957</v>
      </c>
      <c r="DL22" s="29" t="s">
        <v>958</v>
      </c>
      <c r="DM22" s="29">
        <v>-4.2781267166137695</v>
      </c>
      <c r="DN22" s="29">
        <v>35.889247894287109</v>
      </c>
      <c r="DO22" s="29">
        <v>1225.5</v>
      </c>
      <c r="DP22" s="29">
        <v>5</v>
      </c>
      <c r="DQ22" s="29">
        <v>1706031849</v>
      </c>
      <c r="DR22" s="29" t="s">
        <v>959</v>
      </c>
      <c r="DS22" s="31">
        <v>42921.432314814811</v>
      </c>
      <c r="DT22" s="31">
        <v>42913.437939814816</v>
      </c>
      <c r="DU22" s="31">
        <v>42920.555162037039</v>
      </c>
      <c r="DV22" s="32">
        <v>42781</v>
      </c>
      <c r="DX22" s="44">
        <v>4.4726368159203984</v>
      </c>
      <c r="DY22" s="44">
        <v>3.5087064676616913</v>
      </c>
      <c r="DZ22" s="44">
        <v>4.1967418546365911</v>
      </c>
      <c r="EA22" s="44">
        <v>4.1257309941520459</v>
      </c>
      <c r="EC22" s="29" t="str">
        <f>IF(EQ22&lt;EP22,"FALSEE",1)</f>
        <v>FALSEE</v>
      </c>
      <c r="EE22" s="29" t="s">
        <v>2171</v>
      </c>
      <c r="EF22" s="29">
        <v>0.699362456799</v>
      </c>
      <c r="EG22" s="29" t="str">
        <f>IF(EF22&lt;0.5,"Depression",IF(EF22&lt;2,"Very gentle",IF(EF22&lt;5,"Gentle",IF(EF22&lt;9,"Moderate",IF(EF22&lt;15,"Strong",IF(EF22&lt;30,"Steep",IF(EF22&lt;1,"Very steep")))))))</f>
        <v>Very gentle</v>
      </c>
      <c r="EH22" s="29" t="s">
        <v>2173</v>
      </c>
      <c r="EI22" s="29">
        <v>0.18129228055499999</v>
      </c>
      <c r="EJ22" s="43">
        <v>8.7419023513800003</v>
      </c>
      <c r="EK22" s="43">
        <f>VLOOKUP(D22,[1]SoilData!$G$15:$K$237,5,FALSE)</f>
        <v>235.59135813147066</v>
      </c>
      <c r="EL22" s="43">
        <f>VLOOKUP(D22,[1]SoilData!$G$245:$K$451,5,FALSE)</f>
        <v>101.1535875497582</v>
      </c>
      <c r="EM22" s="43">
        <f>VLOOKUP(D22,[1]SoilData!$G$15:$M$238,7,FALSE)</f>
        <v>1.466</v>
      </c>
      <c r="EN22" s="43">
        <f>VLOOKUP(D22,[1]SoilData!$G$245:$M$454,7,FALSE)</f>
        <v>1.125</v>
      </c>
      <c r="EO22" s="60">
        <f>EM22-EN22</f>
        <v>0.34099999999999997</v>
      </c>
      <c r="EP22" s="44">
        <f>AVERAGE(DZ22:EA22)</f>
        <v>4.1612364243943185</v>
      </c>
      <c r="EQ22" s="44">
        <f>AVERAGE(DX22:DY22)</f>
        <v>3.9906716417910451</v>
      </c>
      <c r="ER22" s="43">
        <f>EQ22-EP22</f>
        <v>-0.17056478260327346</v>
      </c>
      <c r="ES22" s="64">
        <f>IF(CU22&gt;0.000001,CU22*352,0)</f>
        <v>321.024</v>
      </c>
      <c r="ET22" s="64">
        <f>IF(DC22&gt;0.0001,DC22*682,0)</f>
        <v>327.36</v>
      </c>
      <c r="EU22" s="64">
        <f>CY22*795</f>
        <v>0</v>
      </c>
      <c r="EV22" s="64">
        <f>ES22+ET22+EU22</f>
        <v>648.38400000000001</v>
      </c>
      <c r="EW22" s="64">
        <f>IF(AA22="YES",3.5*18.2,0)</f>
        <v>0</v>
      </c>
      <c r="EX22" s="64">
        <f>EV22-EW22</f>
        <v>648.38400000000001</v>
      </c>
    </row>
    <row r="23" spans="1:154" ht="15" x14ac:dyDescent="0.2">
      <c r="A23" s="29" t="s">
        <v>556</v>
      </c>
      <c r="B23" s="29">
        <v>107</v>
      </c>
      <c r="C23" s="29" t="s">
        <v>424</v>
      </c>
      <c r="D23" s="29" t="s">
        <v>424</v>
      </c>
      <c r="E23" s="29" t="str">
        <f>VLOOKUP(D23,Harvest_2017_Formulae!$C$2:$D$968,2,FALSE)</f>
        <v>ENDANOGA</v>
      </c>
      <c r="F23" s="29" t="s">
        <v>843</v>
      </c>
      <c r="G23" s="29">
        <v>0</v>
      </c>
      <c r="H23" s="61" t="str">
        <f>IF(G23&lt;0.05,"Homefield",IF(G23&lt;0.5,"Midfield","outfield"))</f>
        <v>Homefield</v>
      </c>
      <c r="I23" s="29" t="s">
        <v>557</v>
      </c>
      <c r="J23" s="61" t="s">
        <v>2234</v>
      </c>
      <c r="K23" s="61" t="s">
        <v>2234</v>
      </c>
      <c r="L23" s="67">
        <v>1</v>
      </c>
      <c r="M23" s="29">
        <v>3</v>
      </c>
      <c r="O23" s="29" t="s">
        <v>567</v>
      </c>
      <c r="P23" s="29">
        <v>0</v>
      </c>
      <c r="Q23" s="67">
        <v>0</v>
      </c>
      <c r="R23" s="29" t="s">
        <v>547</v>
      </c>
      <c r="U23" s="29" t="s">
        <v>547</v>
      </c>
      <c r="W23" s="29" t="s">
        <v>547</v>
      </c>
      <c r="Z23" s="29" t="s">
        <v>547</v>
      </c>
      <c r="AA23" s="61" t="s">
        <v>546</v>
      </c>
      <c r="AB23" s="29" t="s">
        <v>547</v>
      </c>
      <c r="AC23" s="67">
        <v>0</v>
      </c>
      <c r="AD23" s="29" t="s">
        <v>547</v>
      </c>
      <c r="AF23" s="29" t="s">
        <v>547</v>
      </c>
      <c r="AG23" s="29" t="s">
        <v>547</v>
      </c>
      <c r="AH23" s="29" t="s">
        <v>546</v>
      </c>
      <c r="AI23" s="29" t="s">
        <v>546</v>
      </c>
      <c r="AJ23" s="29" t="s">
        <v>547</v>
      </c>
      <c r="AK23" s="67">
        <v>0</v>
      </c>
      <c r="AL23" s="29" t="s">
        <v>547</v>
      </c>
      <c r="AO23" s="29" t="s">
        <v>547</v>
      </c>
      <c r="AP23" s="29" t="s">
        <v>547</v>
      </c>
      <c r="AQ23" s="4">
        <f>Q23+AK23</f>
        <v>0</v>
      </c>
      <c r="AR23" s="4">
        <f>L23+AC23</f>
        <v>1</v>
      </c>
      <c r="AS23" t="str">
        <f>AQ23&amp;AR23</f>
        <v>01</v>
      </c>
      <c r="AT23" s="49">
        <f>AQ23-AR23</f>
        <v>-1</v>
      </c>
      <c r="AU23">
        <v>0</v>
      </c>
      <c r="AV23" s="29" t="s">
        <v>548</v>
      </c>
      <c r="AW23" s="29">
        <v>0.5</v>
      </c>
      <c r="AX23" s="29" t="s">
        <v>548</v>
      </c>
      <c r="AY23" s="29">
        <v>1</v>
      </c>
      <c r="AZ23" s="29">
        <v>1</v>
      </c>
      <c r="BA23" s="29" t="s">
        <v>548</v>
      </c>
      <c r="BB23" s="29" t="s">
        <v>569</v>
      </c>
      <c r="BC23" s="29">
        <v>0.75</v>
      </c>
      <c r="BD23" s="29">
        <f>AW23+AZ23</f>
        <v>1.5</v>
      </c>
      <c r="BE23" s="29">
        <f>BD23+BC23</f>
        <v>2.25</v>
      </c>
      <c r="BF23" s="29" t="s">
        <v>546</v>
      </c>
      <c r="BG23" s="29" t="s">
        <v>546</v>
      </c>
      <c r="BH23" s="29" t="s">
        <v>548</v>
      </c>
      <c r="BI23" s="29" t="s">
        <v>546</v>
      </c>
      <c r="BJ23" s="29" t="s">
        <v>546</v>
      </c>
      <c r="BK23" s="29" t="s">
        <v>546</v>
      </c>
      <c r="BM23" s="29" t="s">
        <v>547</v>
      </c>
      <c r="BO23" s="29" t="s">
        <v>547</v>
      </c>
      <c r="BP23" s="29">
        <v>10</v>
      </c>
      <c r="BQ23" s="29" t="s">
        <v>549</v>
      </c>
      <c r="BS23" s="29" t="s">
        <v>547</v>
      </c>
      <c r="BU23" s="29" t="s">
        <v>547</v>
      </c>
      <c r="BW23" s="29">
        <f>(BL23*1)+(BN23*0.1)+(BP23*0.01)+(BR23*0.1)+(BT23*0.3)+(BV23*0.4)</f>
        <v>0.1</v>
      </c>
      <c r="BX23" s="29" t="s">
        <v>2223</v>
      </c>
      <c r="BY23" s="29">
        <v>2</v>
      </c>
      <c r="BZ23" s="29">
        <v>1</v>
      </c>
      <c r="CA23" s="29">
        <v>0</v>
      </c>
      <c r="CB23" s="29">
        <v>3</v>
      </c>
      <c r="CC23" s="29">
        <v>0</v>
      </c>
      <c r="CD23" s="29">
        <v>0</v>
      </c>
      <c r="CE23" s="29">
        <v>0</v>
      </c>
      <c r="CG23" s="29">
        <f>(CC23*15)+(CD23*0.8)+(CE23*0.3)+((AW23+AZ23)*15)</f>
        <v>22.5</v>
      </c>
      <c r="CH23" s="29" t="s">
        <v>2220</v>
      </c>
      <c r="CI23" s="29">
        <f>(BL23*1)+(BN23*0.1)+(BP23*0.01)+(BR23*0.1)+(BT23*0.3)+(BV23*0.4)+(CC23*15)+(CD23*0.8)+(CE23*0.3)+((AW23+AZ23)*15)</f>
        <v>22.6</v>
      </c>
      <c r="CJ23" s="29" t="s">
        <v>546</v>
      </c>
      <c r="CK23" s="29" t="s">
        <v>547</v>
      </c>
      <c r="CL23" s="29" t="s">
        <v>546</v>
      </c>
      <c r="CM23" s="29" t="s">
        <v>547</v>
      </c>
      <c r="CN23" s="29">
        <v>0.25</v>
      </c>
      <c r="CO23" s="29">
        <v>0.5</v>
      </c>
      <c r="CP23" s="29">
        <v>0</v>
      </c>
      <c r="CQ23" s="29" t="s">
        <v>548</v>
      </c>
      <c r="CR23" s="29">
        <v>1</v>
      </c>
      <c r="CS23" s="29">
        <v>1</v>
      </c>
      <c r="CT23" s="29" t="s">
        <v>551</v>
      </c>
      <c r="CU23" s="30">
        <v>0.24</v>
      </c>
      <c r="CW23" s="29">
        <v>999</v>
      </c>
      <c r="CX23" s="29" t="s">
        <v>551</v>
      </c>
      <c r="CY23" s="62"/>
      <c r="CZ23" s="29">
        <v>1</v>
      </c>
      <c r="DA23" s="29">
        <v>2</v>
      </c>
      <c r="DB23" s="29" t="s">
        <v>551</v>
      </c>
      <c r="DC23" s="62">
        <v>0.48</v>
      </c>
      <c r="DD23" s="29" t="s">
        <v>546</v>
      </c>
      <c r="DE23" s="29" t="s">
        <v>546</v>
      </c>
      <c r="DF23" s="29" t="s">
        <v>546</v>
      </c>
      <c r="DG23" s="29" t="s">
        <v>546</v>
      </c>
      <c r="DH23" s="29" t="s">
        <v>546</v>
      </c>
      <c r="DI23" s="29">
        <v>0</v>
      </c>
      <c r="DJ23" s="29">
        <v>3</v>
      </c>
      <c r="DK23" s="29" t="s">
        <v>881</v>
      </c>
      <c r="DL23" s="29" t="s">
        <v>882</v>
      </c>
      <c r="DM23" s="29">
        <v>-4.259559154510498</v>
      </c>
      <c r="DN23" s="29">
        <v>35.857692718505859</v>
      </c>
      <c r="DO23" s="29">
        <v>1323</v>
      </c>
      <c r="DP23" s="29">
        <v>5</v>
      </c>
      <c r="DQ23" s="29">
        <v>1706031849</v>
      </c>
      <c r="DR23" s="29" t="s">
        <v>883</v>
      </c>
      <c r="DS23" s="31">
        <v>42903.412893518514</v>
      </c>
      <c r="DT23" s="31">
        <v>42893.6403587963</v>
      </c>
      <c r="DU23" s="31">
        <v>42893.649317129632</v>
      </c>
      <c r="DV23" s="32">
        <v>42794</v>
      </c>
      <c r="DW23" s="33"/>
      <c r="DX23" s="44">
        <v>3.3873015873015873</v>
      </c>
      <c r="DY23" s="44">
        <v>3.4796825396825399</v>
      </c>
      <c r="DZ23" s="44">
        <v>3.2395833333333335</v>
      </c>
      <c r="EA23" s="44">
        <v>3.3432500000000003</v>
      </c>
      <c r="EC23" s="29">
        <f>IF(EQ23&lt;EP23,"FALSEE",1)</f>
        <v>1</v>
      </c>
      <c r="EE23" s="29" t="s">
        <v>2171</v>
      </c>
      <c r="EF23" s="29">
        <v>4.4811401367199997</v>
      </c>
      <c r="EG23" s="29" t="str">
        <f>IF(EF23&lt;0.5,"Depression",IF(EF23&lt;2,"Very gentle",IF(EF23&lt;5,"Gentle",IF(EF23&lt;9,"Moderate",IF(EF23&lt;15,"Strong",IF(EF23&lt;30,"Steep",IF(EF23&lt;1,"Very steep")))))))</f>
        <v>Gentle</v>
      </c>
      <c r="EH23" s="29" t="s">
        <v>2173</v>
      </c>
      <c r="EI23" s="29">
        <v>0.45321798324599999</v>
      </c>
      <c r="EJ23" s="43">
        <v>8.7215080261200004</v>
      </c>
      <c r="EK23" s="43">
        <f>VLOOKUP(D23,[1]SoilData!$G$15:$K$237,5,FALSE)</f>
        <v>197.36017962614568</v>
      </c>
      <c r="EL23" s="43">
        <f>VLOOKUP(D23,[1]SoilData!$G$245:$K$451,5,FALSE)</f>
        <v>204.3316718055944</v>
      </c>
      <c r="EM23" s="43">
        <f>VLOOKUP(D23,[1]SoilData!$G$15:$M$238,7,FALSE)</f>
        <v>0.98399999999999999</v>
      </c>
      <c r="EN23" s="43">
        <f>VLOOKUP(D23,[1]SoilData!$G$245:$M$454,7,FALSE)</f>
        <v>1.06</v>
      </c>
      <c r="EO23" s="60">
        <f>EM23-EN23</f>
        <v>-7.6000000000000068E-2</v>
      </c>
      <c r="EP23" s="44">
        <f>AVERAGE(DZ23:EA23)</f>
        <v>3.2914166666666667</v>
      </c>
      <c r="EQ23" s="44">
        <f>AVERAGE(DX23:DY23)</f>
        <v>3.4334920634920634</v>
      </c>
      <c r="ER23" s="43">
        <f>EQ23-EP23</f>
        <v>0.14207539682539672</v>
      </c>
      <c r="ES23" s="64">
        <f>IF(CU23&gt;0.000001,CU23*352,0)</f>
        <v>84.47999999999999</v>
      </c>
      <c r="ET23" s="64">
        <f>IF(DC23&gt;0.0001,DC23*682,0)</f>
        <v>327.36</v>
      </c>
      <c r="EU23" s="64">
        <f>CY23*795</f>
        <v>0</v>
      </c>
      <c r="EV23" s="64">
        <f>ES23+ET23+EU23</f>
        <v>411.84000000000003</v>
      </c>
      <c r="EW23" s="64">
        <f>IF(AA23="YES",3.5*18.2,0)</f>
        <v>0</v>
      </c>
      <c r="EX23" s="64">
        <f>EV23-EW23</f>
        <v>411.84000000000003</v>
      </c>
    </row>
    <row r="24" spans="1:154" ht="15" x14ac:dyDescent="0.2">
      <c r="A24" s="29" t="s">
        <v>556</v>
      </c>
      <c r="B24" s="29">
        <v>113</v>
      </c>
      <c r="C24" s="29" t="s">
        <v>393</v>
      </c>
      <c r="D24" s="29" t="s">
        <v>393</v>
      </c>
      <c r="E24" s="29" t="str">
        <f>VLOOKUP(D24,Harvest_2017_Formulae!$C$2:$D$968,2,FALSE)</f>
        <v>SELOTO</v>
      </c>
      <c r="F24" s="29" t="s">
        <v>1310</v>
      </c>
      <c r="G24" s="29">
        <v>3</v>
      </c>
      <c r="H24" s="61" t="str">
        <f>IF(G24&lt;0.05,"Homefield",IF(G24&lt;0.5,"Midfield","outfield"))</f>
        <v>outfield</v>
      </c>
      <c r="I24" s="29" t="s">
        <v>557</v>
      </c>
      <c r="J24" s="61" t="s">
        <v>2233</v>
      </c>
      <c r="K24" s="61" t="s">
        <v>2233</v>
      </c>
      <c r="L24" s="67">
        <v>1</v>
      </c>
      <c r="M24" s="29">
        <v>5</v>
      </c>
      <c r="N24" s="29">
        <v>20000</v>
      </c>
      <c r="O24" s="29" t="s">
        <v>547</v>
      </c>
      <c r="P24" s="29" t="s">
        <v>559</v>
      </c>
      <c r="Q24" s="67">
        <v>0</v>
      </c>
      <c r="R24" s="29" t="s">
        <v>547</v>
      </c>
      <c r="U24" s="29" t="s">
        <v>547</v>
      </c>
      <c r="W24" s="29" t="s">
        <v>547</v>
      </c>
      <c r="Z24" s="29" t="s">
        <v>547</v>
      </c>
      <c r="AA24" s="61" t="s">
        <v>546</v>
      </c>
      <c r="AB24" s="29" t="s">
        <v>547</v>
      </c>
      <c r="AC24" s="67">
        <v>0</v>
      </c>
      <c r="AD24" s="29" t="s">
        <v>547</v>
      </c>
      <c r="AF24" s="29" t="s">
        <v>547</v>
      </c>
      <c r="AG24" s="29" t="s">
        <v>547</v>
      </c>
      <c r="AH24" s="29" t="s">
        <v>546</v>
      </c>
      <c r="AI24" s="29" t="s">
        <v>546</v>
      </c>
      <c r="AJ24" s="29" t="s">
        <v>547</v>
      </c>
      <c r="AK24" s="67">
        <v>0</v>
      </c>
      <c r="AL24" s="29" t="s">
        <v>547</v>
      </c>
      <c r="AO24" s="29" t="s">
        <v>547</v>
      </c>
      <c r="AP24" s="29" t="s">
        <v>547</v>
      </c>
      <c r="AQ24" s="4">
        <f>Q24+AK24</f>
        <v>0</v>
      </c>
      <c r="AR24" s="4">
        <f>L24+AC24</f>
        <v>1</v>
      </c>
      <c r="AS24" t="str">
        <f>AQ24&amp;AR24</f>
        <v>01</v>
      </c>
      <c r="AT24" s="49">
        <f>AQ24-AR24</f>
        <v>-1</v>
      </c>
      <c r="AU24">
        <v>0</v>
      </c>
      <c r="AV24" s="29" t="s">
        <v>548</v>
      </c>
      <c r="AW24" s="29">
        <v>0.125</v>
      </c>
      <c r="AX24" s="29" t="s">
        <v>548</v>
      </c>
      <c r="AY24" s="29">
        <v>1</v>
      </c>
      <c r="AZ24" s="29">
        <v>2</v>
      </c>
      <c r="BA24" s="29" t="s">
        <v>548</v>
      </c>
      <c r="BB24" s="29" t="s">
        <v>569</v>
      </c>
      <c r="BC24" s="29">
        <v>1</v>
      </c>
      <c r="BD24" s="29">
        <f>AW24+AZ24</f>
        <v>2.125</v>
      </c>
      <c r="BE24" s="29">
        <f>BD24+BC24</f>
        <v>3.125</v>
      </c>
      <c r="BF24" s="29" t="s">
        <v>546</v>
      </c>
      <c r="BG24" s="29" t="s">
        <v>546</v>
      </c>
      <c r="BH24" s="29" t="s">
        <v>548</v>
      </c>
      <c r="BI24" s="29" t="s">
        <v>546</v>
      </c>
      <c r="BJ24" s="29" t="s">
        <v>546</v>
      </c>
      <c r="BK24" s="29" t="s">
        <v>546</v>
      </c>
      <c r="BM24" s="29" t="s">
        <v>547</v>
      </c>
      <c r="BO24" s="29" t="s">
        <v>547</v>
      </c>
      <c r="BP24" s="29">
        <v>12</v>
      </c>
      <c r="BQ24" s="29" t="s">
        <v>549</v>
      </c>
      <c r="BS24" s="29" t="s">
        <v>547</v>
      </c>
      <c r="BU24" s="29" t="s">
        <v>547</v>
      </c>
      <c r="BW24" s="29">
        <f>(BL24*1)+(BN24*0.1)+(BP24*0.01)+(BR24*0.1)+(BT24*0.3)+(BV24*0.4)</f>
        <v>0.12</v>
      </c>
      <c r="BX24" s="29" t="s">
        <v>2223</v>
      </c>
      <c r="BY24" s="29">
        <v>1</v>
      </c>
      <c r="BZ24" s="29">
        <v>1</v>
      </c>
      <c r="CA24" s="29">
        <v>6</v>
      </c>
      <c r="CB24" s="29">
        <v>8</v>
      </c>
      <c r="CC24" s="29">
        <v>0</v>
      </c>
      <c r="CD24" s="29">
        <v>0</v>
      </c>
      <c r="CE24" s="29">
        <v>0</v>
      </c>
      <c r="CG24" s="29">
        <f>(CC24*15)+(CD24*0.8)+(CE24*0.3)+((AW24+AZ24)*15)</f>
        <v>31.875</v>
      </c>
      <c r="CH24" s="29" t="s">
        <v>2220</v>
      </c>
      <c r="CI24" s="29">
        <f>(BL24*1)+(BN24*0.1)+(BP24*0.01)+(BR24*0.1)+(BT24*0.3)+(BV24*0.4)+(CC24*15)+(CD24*0.8)+(CE24*0.3)+((AW24+AZ24)*15)</f>
        <v>31.995000000000001</v>
      </c>
      <c r="CJ24" s="29" t="s">
        <v>548</v>
      </c>
      <c r="CK24" s="29" t="s">
        <v>563</v>
      </c>
      <c r="CL24" s="29" t="s">
        <v>548</v>
      </c>
      <c r="CM24" s="29" t="s">
        <v>550</v>
      </c>
      <c r="CN24" s="29">
        <v>0.25</v>
      </c>
      <c r="CO24" s="29">
        <v>0.75</v>
      </c>
      <c r="CP24" s="29">
        <v>0</v>
      </c>
      <c r="CQ24" s="29" t="s">
        <v>546</v>
      </c>
      <c r="CR24" s="29">
        <v>2</v>
      </c>
      <c r="CS24" s="29">
        <v>26</v>
      </c>
      <c r="CT24" s="29" t="s">
        <v>551</v>
      </c>
      <c r="CU24" s="30">
        <v>3.12</v>
      </c>
      <c r="CW24" s="29">
        <v>999</v>
      </c>
      <c r="CX24" s="29" t="s">
        <v>551</v>
      </c>
      <c r="CY24" s="62"/>
      <c r="CZ24" s="29">
        <v>2</v>
      </c>
      <c r="DA24" s="29">
        <v>7</v>
      </c>
      <c r="DB24" s="29" t="s">
        <v>551</v>
      </c>
      <c r="DC24" s="62">
        <v>0.84</v>
      </c>
      <c r="DD24" s="29" t="s">
        <v>546</v>
      </c>
      <c r="DE24" s="29" t="s">
        <v>546</v>
      </c>
      <c r="DF24" s="29" t="s">
        <v>546</v>
      </c>
      <c r="DG24" s="29" t="s">
        <v>546</v>
      </c>
      <c r="DH24" s="29" t="s">
        <v>546</v>
      </c>
      <c r="DI24" s="29">
        <v>0</v>
      </c>
      <c r="DJ24" s="29">
        <v>2</v>
      </c>
      <c r="DK24" s="29" t="s">
        <v>1314</v>
      </c>
      <c r="DL24" s="29" t="s">
        <v>1315</v>
      </c>
      <c r="DM24" s="29">
        <v>-4.2526059150695801</v>
      </c>
      <c r="DN24" s="29">
        <v>35.525722503662109</v>
      </c>
      <c r="DO24" s="29">
        <v>1619.699951171875</v>
      </c>
      <c r="DP24" s="29">
        <v>5</v>
      </c>
      <c r="DQ24" s="29">
        <v>1706031849</v>
      </c>
      <c r="DR24" s="29" t="s">
        <v>1316</v>
      </c>
      <c r="DS24" s="31">
        <v>42906.498842592591</v>
      </c>
      <c r="DT24" s="31">
        <v>42903.41333333333</v>
      </c>
      <c r="DU24" s="31">
        <v>42903.445104166662</v>
      </c>
      <c r="DV24" s="32">
        <v>42738</v>
      </c>
      <c r="DX24" s="44">
        <v>4.9794509803921585</v>
      </c>
      <c r="DY24" s="44">
        <v>4.6782745098039227</v>
      </c>
      <c r="DZ24" s="44">
        <v>2.2949484536082476</v>
      </c>
      <c r="EA24" s="44">
        <v>2.0969072164948459</v>
      </c>
      <c r="EC24" s="29">
        <f>IF(EQ24&lt;EP24,"FALSEE",1)</f>
        <v>1</v>
      </c>
      <c r="EE24" s="29" t="s">
        <v>2171</v>
      </c>
      <c r="EF24" s="29">
        <v>1.5210055112800001</v>
      </c>
      <c r="EG24" s="29" t="str">
        <f>IF(EF24&lt;0.5,"Depression",IF(EF24&lt;2,"Very gentle",IF(EF24&lt;5,"Gentle",IF(EF24&lt;9,"Moderate",IF(EF24&lt;15,"Strong",IF(EF24&lt;30,"Steep",IF(EF24&lt;1,"Very steep")))))))</f>
        <v>Very gentle</v>
      </c>
      <c r="EH24" s="29" t="s">
        <v>2172</v>
      </c>
      <c r="EI24" s="29">
        <v>-0.725126743317</v>
      </c>
      <c r="EJ24" s="43">
        <v>10.2386350632</v>
      </c>
      <c r="EK24" s="43">
        <f>VLOOKUP(D24,[1]SoilData!$G$15:$K$237,5,FALSE)</f>
        <v>86.65551071932623</v>
      </c>
      <c r="EL24" s="43">
        <f>VLOOKUP(D24,[1]SoilData!$G$245:$K$451,5,FALSE)</f>
        <v>-30.700909883906252</v>
      </c>
      <c r="EM24" s="43">
        <f>VLOOKUP(D24,[1]SoilData!$G$15:$M$238,7,FALSE)</f>
        <v>1.208</v>
      </c>
      <c r="EN24" s="43">
        <f>VLOOKUP(D24,[1]SoilData!$G$245:$M$454,7,FALSE)</f>
        <v>1.4179999999999999</v>
      </c>
      <c r="EO24" s="60">
        <f>EM24-EN24</f>
        <v>-0.20999999999999996</v>
      </c>
      <c r="EP24" s="44">
        <f>AVERAGE(DZ24:EA24)</f>
        <v>2.1959278350515468</v>
      </c>
      <c r="EQ24" s="44">
        <f>AVERAGE(DX24:DY24)</f>
        <v>4.828862745098041</v>
      </c>
      <c r="ER24" s="43">
        <f>EQ24-EP24</f>
        <v>2.6329349100464943</v>
      </c>
      <c r="ES24" s="64">
        <f>IF(CU24&gt;0.000001,CU24*352,0)</f>
        <v>1098.24</v>
      </c>
      <c r="ET24" s="64">
        <f>IF(DC24&gt;0.0001,DC24*682,0)</f>
        <v>572.88</v>
      </c>
      <c r="EU24" s="64">
        <f>CY24*795</f>
        <v>0</v>
      </c>
      <c r="EV24" s="64">
        <f>ES24+ET24+EU24</f>
        <v>1671.12</v>
      </c>
      <c r="EW24" s="64">
        <f>IF(AA24="YES",3.5*18.2,0)</f>
        <v>0</v>
      </c>
      <c r="EX24" s="64">
        <f>EV24-EW24</f>
        <v>1671.12</v>
      </c>
    </row>
    <row r="25" spans="1:154" ht="15" x14ac:dyDescent="0.2">
      <c r="A25" s="29" t="s">
        <v>556</v>
      </c>
      <c r="B25" s="29">
        <v>168</v>
      </c>
      <c r="C25" s="29" t="s">
        <v>116</v>
      </c>
      <c r="D25" s="29" t="s">
        <v>116</v>
      </c>
      <c r="E25" s="29" t="str">
        <f>VLOOKUP(D25,Harvest_2017_Formulae!$C$2:$D$968,2,FALSE)</f>
        <v>DURU</v>
      </c>
      <c r="F25" s="29" t="s">
        <v>645</v>
      </c>
      <c r="G25" s="29">
        <v>0</v>
      </c>
      <c r="H25" s="61" t="str">
        <f>IF(G25&lt;0.05,"Homefield",IF(G25&lt;0.5,"Midfield","outfield"))</f>
        <v>Homefield</v>
      </c>
      <c r="I25" s="29" t="s">
        <v>557</v>
      </c>
      <c r="J25" s="61" t="s">
        <v>2233</v>
      </c>
      <c r="K25" s="61" t="s">
        <v>2233</v>
      </c>
      <c r="L25" s="67">
        <v>1</v>
      </c>
      <c r="M25" s="29">
        <v>4</v>
      </c>
      <c r="N25" s="29">
        <v>5000</v>
      </c>
      <c r="O25" s="29" t="s">
        <v>547</v>
      </c>
      <c r="P25" s="29" t="s">
        <v>559</v>
      </c>
      <c r="Q25" s="67">
        <v>0</v>
      </c>
      <c r="R25" s="29" t="s">
        <v>547</v>
      </c>
      <c r="U25" s="29" t="s">
        <v>547</v>
      </c>
      <c r="W25" s="29" t="s">
        <v>547</v>
      </c>
      <c r="Z25" s="29" t="s">
        <v>547</v>
      </c>
      <c r="AA25" s="61" t="s">
        <v>548</v>
      </c>
      <c r="AB25" s="29" t="s">
        <v>568</v>
      </c>
      <c r="AC25" s="67">
        <v>0</v>
      </c>
      <c r="AD25" s="29" t="s">
        <v>547</v>
      </c>
      <c r="AF25" s="29" t="s">
        <v>547</v>
      </c>
      <c r="AG25" s="29" t="s">
        <v>547</v>
      </c>
      <c r="AH25" s="29" t="s">
        <v>546</v>
      </c>
      <c r="AI25" s="29" t="s">
        <v>546</v>
      </c>
      <c r="AJ25" s="29" t="s">
        <v>547</v>
      </c>
      <c r="AK25" s="67">
        <v>0</v>
      </c>
      <c r="AL25" s="29" t="s">
        <v>547</v>
      </c>
      <c r="AO25" s="29" t="s">
        <v>547</v>
      </c>
      <c r="AP25" s="29" t="s">
        <v>547</v>
      </c>
      <c r="AQ25" s="4">
        <f>Q25+AK25</f>
        <v>0</v>
      </c>
      <c r="AR25" s="4">
        <f>L25+AC25</f>
        <v>1</v>
      </c>
      <c r="AS25" t="str">
        <f>AQ25&amp;AR25</f>
        <v>01</v>
      </c>
      <c r="AT25" s="49">
        <f>AQ25-AR25</f>
        <v>-1</v>
      </c>
      <c r="AU25">
        <v>0</v>
      </c>
      <c r="AV25" s="29" t="s">
        <v>548</v>
      </c>
      <c r="AW25" s="29">
        <v>0.25</v>
      </c>
      <c r="AX25" s="29" t="s">
        <v>548</v>
      </c>
      <c r="AY25" s="29">
        <v>2</v>
      </c>
      <c r="AZ25" s="29">
        <v>1.25</v>
      </c>
      <c r="BA25" s="29" t="s">
        <v>546</v>
      </c>
      <c r="BB25" s="29" t="s">
        <v>547</v>
      </c>
      <c r="BD25" s="29">
        <f>AW25+AZ25</f>
        <v>1.5</v>
      </c>
      <c r="BE25" s="29">
        <f>BD25+BC25</f>
        <v>1.5</v>
      </c>
      <c r="BF25" s="29" t="s">
        <v>546</v>
      </c>
      <c r="BG25" s="29" t="s">
        <v>548</v>
      </c>
      <c r="BH25" s="29" t="s">
        <v>548</v>
      </c>
      <c r="BI25" s="29" t="s">
        <v>546</v>
      </c>
      <c r="BJ25" s="29" t="s">
        <v>546</v>
      </c>
      <c r="BK25" s="29" t="s">
        <v>546</v>
      </c>
      <c r="BM25" s="29" t="s">
        <v>547</v>
      </c>
      <c r="BN25" s="29">
        <v>2</v>
      </c>
      <c r="BO25" s="29" t="s">
        <v>549</v>
      </c>
      <c r="BP25" s="29">
        <v>3</v>
      </c>
      <c r="BQ25" s="29" t="s">
        <v>549</v>
      </c>
      <c r="BS25" s="29" t="s">
        <v>547</v>
      </c>
      <c r="BU25" s="29" t="s">
        <v>547</v>
      </c>
      <c r="BW25" s="29">
        <f>(BL25*1)+(BN25*0.1)+(BP25*0.01)+(BR25*0.1)+(BT25*0.3)+(BV25*0.4)</f>
        <v>0.23</v>
      </c>
      <c r="BX25" s="29" t="s">
        <v>2223</v>
      </c>
      <c r="BY25" s="29">
        <v>1</v>
      </c>
      <c r="BZ25" s="29">
        <v>1</v>
      </c>
      <c r="CA25" s="29">
        <v>2</v>
      </c>
      <c r="CB25" s="29">
        <v>4</v>
      </c>
      <c r="CC25" s="29">
        <v>0</v>
      </c>
      <c r="CD25" s="29">
        <v>0</v>
      </c>
      <c r="CE25" s="29">
        <v>0</v>
      </c>
      <c r="CF25" s="29" t="s">
        <v>547</v>
      </c>
      <c r="CG25" s="29">
        <f>(CC25*15)+(CD25*0.8)+(CE25*0.3)+((AW25+AZ25)*15)</f>
        <v>22.5</v>
      </c>
      <c r="CH25" s="29" t="s">
        <v>2220</v>
      </c>
      <c r="CI25" s="29">
        <f>(BL25*1)+(BN25*0.1)+(BP25*0.01)+(BR25*0.1)+(BT25*0.3)+(BV25*0.4)+(CC25*15)+(CD25*0.8)+(CE25*0.3)+((AW25+AZ25)*15)</f>
        <v>22.73</v>
      </c>
      <c r="CJ25" s="29" t="s">
        <v>546</v>
      </c>
      <c r="CK25" s="29" t="s">
        <v>547</v>
      </c>
      <c r="CL25" s="29" t="s">
        <v>546</v>
      </c>
      <c r="CM25" s="29" t="s">
        <v>547</v>
      </c>
      <c r="CN25" s="29">
        <v>0.25</v>
      </c>
      <c r="CQ25" s="29" t="s">
        <v>548</v>
      </c>
      <c r="CR25" s="29">
        <v>0.25</v>
      </c>
      <c r="CS25" s="29">
        <v>2.2999999523162842</v>
      </c>
      <c r="CT25" s="29" t="s">
        <v>551</v>
      </c>
      <c r="CU25" s="30">
        <v>2.2079999542236326</v>
      </c>
      <c r="CW25" s="29">
        <v>999</v>
      </c>
      <c r="CX25" s="29" t="s">
        <v>551</v>
      </c>
      <c r="CY25" s="62"/>
      <c r="CZ25" s="29">
        <v>0.25</v>
      </c>
      <c r="DA25" s="29">
        <v>3</v>
      </c>
      <c r="DB25" s="29" t="s">
        <v>552</v>
      </c>
      <c r="DC25" s="62">
        <v>0.48095999999999989</v>
      </c>
      <c r="DD25" s="29" t="s">
        <v>546</v>
      </c>
      <c r="DE25" s="29" t="s">
        <v>546</v>
      </c>
      <c r="DF25" s="29" t="s">
        <v>548</v>
      </c>
      <c r="DG25" s="29" t="s">
        <v>546</v>
      </c>
      <c r="DH25" s="29" t="s">
        <v>546</v>
      </c>
      <c r="DI25" s="29">
        <v>1</v>
      </c>
      <c r="DJ25" s="29">
        <v>2</v>
      </c>
      <c r="DK25" s="29" t="s">
        <v>728</v>
      </c>
      <c r="DL25" s="29" t="s">
        <v>729</v>
      </c>
      <c r="DM25" s="29">
        <v>-4.3188738822937012</v>
      </c>
      <c r="DN25" s="29">
        <v>35.602344512939453</v>
      </c>
      <c r="DO25" s="29">
        <v>1566.699951171875</v>
      </c>
      <c r="DP25" s="29">
        <v>5</v>
      </c>
      <c r="DQ25" s="29">
        <v>1706031849</v>
      </c>
      <c r="DR25" s="29" t="s">
        <v>730</v>
      </c>
      <c r="DS25" s="31">
        <v>42921.432627314818</v>
      </c>
      <c r="DT25" s="31">
        <v>42919.603506944448</v>
      </c>
      <c r="DU25" s="31">
        <v>42919.61319444445</v>
      </c>
      <c r="DV25" s="32">
        <v>42768</v>
      </c>
      <c r="DX25" s="44">
        <v>7.0366528354080229</v>
      </c>
      <c r="DY25" s="44">
        <v>6.7830797602581843</v>
      </c>
      <c r="DZ25" s="44">
        <v>2.9794836330106049</v>
      </c>
      <c r="EA25" s="44">
        <v>5.0080682342093139</v>
      </c>
      <c r="EC25" s="29">
        <f>IF(EQ25&lt;EP25,"FALSEE",1)</f>
        <v>1</v>
      </c>
      <c r="EE25" s="29" t="s">
        <v>2179</v>
      </c>
      <c r="EF25" s="29">
        <v>6.5252904891999997</v>
      </c>
      <c r="EG25" s="29" t="str">
        <f>IF(EF25&lt;0.5,"Depression",IF(EF25&lt;2,"Very gentle",IF(EF25&lt;5,"Gentle",IF(EF25&lt;9,"Moderate",IF(EF25&lt;15,"Strong",IF(EF25&lt;30,"Steep",IF(EF25&lt;1,"Very steep")))))))</f>
        <v>Moderate</v>
      </c>
      <c r="EH25" s="29" t="s">
        <v>2172</v>
      </c>
      <c r="EI25" s="29">
        <v>-0.54384291171999999</v>
      </c>
      <c r="EJ25" s="43">
        <v>8.6506910324100001</v>
      </c>
      <c r="EK25" s="43"/>
      <c r="EL25" s="43">
        <f>VLOOKUP(D25,[1]SoilData!$G$245:$K$451,5,FALSE)</f>
        <v>491.55954684254544</v>
      </c>
      <c r="EM25" s="43"/>
      <c r="EN25" s="43">
        <f>VLOOKUP(D25,[1]SoilData!$G$245:$M$454,7,FALSE)</f>
        <v>1.5740000000000001</v>
      </c>
      <c r="EO25" s="60"/>
      <c r="EP25" s="44">
        <f>AVERAGE(DZ25:EA25)</f>
        <v>3.9937759336099594</v>
      </c>
      <c r="EQ25" s="44">
        <f>AVERAGE(DX25:DY25)</f>
        <v>6.9098662978331031</v>
      </c>
      <c r="ER25" s="43">
        <f>EQ25-EP25</f>
        <v>2.9160903642231437</v>
      </c>
      <c r="ES25" s="64">
        <f>IF(CU25&gt;0.000001,CU25*352,0)</f>
        <v>777.21598388671873</v>
      </c>
      <c r="ET25" s="64">
        <f>IF(DC25&gt;0.0001,DC25*682,0)</f>
        <v>328.0147199999999</v>
      </c>
      <c r="EU25" s="64">
        <f>CY25*795</f>
        <v>0</v>
      </c>
      <c r="EV25" s="64">
        <f>ES25+ET25+EU25</f>
        <v>1105.2307038867186</v>
      </c>
      <c r="EW25" s="64">
        <f>IF(AA25="YES",3.5*18.2,0)</f>
        <v>63.699999999999996</v>
      </c>
      <c r="EX25" s="64">
        <f>EV25-EW25</f>
        <v>1041.5307038867186</v>
      </c>
    </row>
    <row r="26" spans="1:154" ht="15" x14ac:dyDescent="0.2">
      <c r="A26" s="29" t="s">
        <v>556</v>
      </c>
      <c r="B26" s="29">
        <v>116</v>
      </c>
      <c r="C26" s="29" t="s">
        <v>606</v>
      </c>
      <c r="D26" s="29" t="s">
        <v>80</v>
      </c>
      <c r="E26" s="29" t="str">
        <f>VLOOKUP(D26,Harvest_2017_Formulae!$C$2:$D$968,2,FALSE)</f>
        <v>AYAMANGO</v>
      </c>
      <c r="F26" s="29" t="s">
        <v>196</v>
      </c>
      <c r="G26" s="29">
        <v>0.5</v>
      </c>
      <c r="H26" s="61" t="str">
        <f>IF(G26&lt;0.05,"Homefield",IF(G26&lt;0.5,"Midfield","outfield"))</f>
        <v>outfield</v>
      </c>
      <c r="I26" s="29" t="s">
        <v>557</v>
      </c>
      <c r="J26" s="61" t="s">
        <v>2234</v>
      </c>
      <c r="K26" s="61" t="s">
        <v>2234</v>
      </c>
      <c r="L26" s="67">
        <v>1</v>
      </c>
      <c r="M26" s="29">
        <v>4</v>
      </c>
      <c r="O26" s="29" t="s">
        <v>567</v>
      </c>
      <c r="P26" s="29">
        <v>0.5</v>
      </c>
      <c r="Q26" s="67">
        <v>0</v>
      </c>
      <c r="R26" s="29" t="s">
        <v>547</v>
      </c>
      <c r="U26" s="29" t="s">
        <v>547</v>
      </c>
      <c r="W26" s="29" t="s">
        <v>547</v>
      </c>
      <c r="Z26" s="29" t="s">
        <v>547</v>
      </c>
      <c r="AA26" s="61" t="s">
        <v>546</v>
      </c>
      <c r="AB26" s="29" t="s">
        <v>547</v>
      </c>
      <c r="AC26" s="67">
        <v>0</v>
      </c>
      <c r="AD26" s="29" t="s">
        <v>547</v>
      </c>
      <c r="AF26" s="29" t="s">
        <v>547</v>
      </c>
      <c r="AG26" s="29" t="s">
        <v>547</v>
      </c>
      <c r="AH26" s="29" t="s">
        <v>546</v>
      </c>
      <c r="AI26" s="29" t="s">
        <v>546</v>
      </c>
      <c r="AJ26" s="29" t="s">
        <v>547</v>
      </c>
      <c r="AK26" s="67">
        <v>0</v>
      </c>
      <c r="AL26" s="29" t="s">
        <v>547</v>
      </c>
      <c r="AO26" s="29" t="s">
        <v>547</v>
      </c>
      <c r="AP26" s="29" t="s">
        <v>547</v>
      </c>
      <c r="AQ26" s="4">
        <f>Q26+AK26</f>
        <v>0</v>
      </c>
      <c r="AR26" s="4">
        <f>L26+AC26</f>
        <v>1</v>
      </c>
      <c r="AS26" t="str">
        <f>AQ26&amp;AR26</f>
        <v>01</v>
      </c>
      <c r="AT26" s="49">
        <f>AQ26-AR26</f>
        <v>-1</v>
      </c>
      <c r="AU26">
        <v>0</v>
      </c>
      <c r="AV26" s="29" t="s">
        <v>548</v>
      </c>
      <c r="AW26" s="29">
        <v>0.125</v>
      </c>
      <c r="AX26" s="29" t="s">
        <v>546</v>
      </c>
      <c r="BA26" s="29" t="s">
        <v>548</v>
      </c>
      <c r="BB26" s="29" t="s">
        <v>584</v>
      </c>
      <c r="BC26" s="29">
        <v>2.5</v>
      </c>
      <c r="BD26" s="29">
        <f>AW26+AZ26</f>
        <v>0.125</v>
      </c>
      <c r="BE26" s="29">
        <f>BD26+BC26</f>
        <v>2.625</v>
      </c>
      <c r="BF26" s="29" t="s">
        <v>546</v>
      </c>
      <c r="BG26" s="29" t="s">
        <v>548</v>
      </c>
      <c r="BH26" s="29" t="s">
        <v>548</v>
      </c>
      <c r="BI26" s="29" t="s">
        <v>546</v>
      </c>
      <c r="BJ26" s="29" t="s">
        <v>546</v>
      </c>
      <c r="BK26" s="29" t="s">
        <v>546</v>
      </c>
      <c r="BM26" s="29" t="s">
        <v>547</v>
      </c>
      <c r="BN26" s="29">
        <v>9</v>
      </c>
      <c r="BO26" s="29" t="s">
        <v>549</v>
      </c>
      <c r="BP26" s="29">
        <v>5</v>
      </c>
      <c r="BQ26" s="29" t="s">
        <v>549</v>
      </c>
      <c r="BS26" s="29" t="s">
        <v>547</v>
      </c>
      <c r="BU26" s="29" t="s">
        <v>547</v>
      </c>
      <c r="BW26" s="29">
        <f>(BL26*1)+(BN26*0.1)+(BP26*0.01)+(BR26*0.1)+(BT26*0.3)+(BV26*0.4)</f>
        <v>0.95000000000000007</v>
      </c>
      <c r="BX26" s="29" t="s">
        <v>2223</v>
      </c>
      <c r="BY26" s="29">
        <v>1</v>
      </c>
      <c r="BZ26" s="29">
        <v>1</v>
      </c>
      <c r="CA26" s="29">
        <v>6</v>
      </c>
      <c r="CB26" s="29">
        <v>8</v>
      </c>
      <c r="CC26" s="29">
        <v>0</v>
      </c>
      <c r="CD26" s="29">
        <v>0</v>
      </c>
      <c r="CE26" s="29">
        <v>0</v>
      </c>
      <c r="CG26" s="29">
        <f>(CC26*15)+(CD26*0.8)+(CE26*0.3)+((AW26+AZ26)*15)</f>
        <v>1.875</v>
      </c>
      <c r="CH26" s="29" t="s">
        <v>2219</v>
      </c>
      <c r="CI26" s="29">
        <f>(BL26*1)+(BN26*0.1)+(BP26*0.01)+(BR26*0.1)+(BT26*0.3)+(BV26*0.4)+(CC26*15)+(CD26*0.8)+(CE26*0.3)+((AW26+AZ26)*15)</f>
        <v>2.8250000000000002</v>
      </c>
      <c r="CJ26" s="29" t="s">
        <v>548</v>
      </c>
      <c r="CK26" s="29" t="s">
        <v>607</v>
      </c>
      <c r="CL26" s="29" t="s">
        <v>546</v>
      </c>
      <c r="CM26" s="29" t="s">
        <v>547</v>
      </c>
      <c r="CN26" s="29">
        <v>0.25</v>
      </c>
      <c r="CO26" s="29">
        <v>0</v>
      </c>
      <c r="CP26" s="29">
        <v>0.75</v>
      </c>
      <c r="CQ26" s="29" t="s">
        <v>548</v>
      </c>
      <c r="CR26" s="29">
        <v>1</v>
      </c>
      <c r="CS26" s="29">
        <v>4</v>
      </c>
      <c r="CT26" s="29" t="s">
        <v>551</v>
      </c>
      <c r="CU26" s="30">
        <v>0.96</v>
      </c>
      <c r="CV26" s="29">
        <v>1</v>
      </c>
      <c r="CW26" s="29">
        <v>999</v>
      </c>
      <c r="CX26" s="29" t="s">
        <v>551</v>
      </c>
      <c r="CY26" s="62"/>
      <c r="CZ26" s="29">
        <v>1</v>
      </c>
      <c r="DA26" s="29">
        <v>2.5</v>
      </c>
      <c r="DB26" s="29" t="s">
        <v>551</v>
      </c>
      <c r="DC26" s="62">
        <v>0.6</v>
      </c>
      <c r="DD26" s="29" t="s">
        <v>546</v>
      </c>
      <c r="DE26" s="29" t="s">
        <v>546</v>
      </c>
      <c r="DF26" s="29" t="s">
        <v>546</v>
      </c>
      <c r="DG26" s="29" t="s">
        <v>546</v>
      </c>
      <c r="DH26" s="29" t="s">
        <v>546</v>
      </c>
      <c r="DI26" s="29">
        <v>0</v>
      </c>
      <c r="DJ26" s="29">
        <v>3</v>
      </c>
      <c r="DK26" s="29" t="s">
        <v>608</v>
      </c>
      <c r="DL26" s="29" t="s">
        <v>609</v>
      </c>
      <c r="DM26" s="29">
        <v>-4.2380671501159668</v>
      </c>
      <c r="DN26" s="29">
        <v>35.888984680175781</v>
      </c>
      <c r="DO26" s="29">
        <v>1197.300048828125</v>
      </c>
      <c r="DP26" s="29">
        <v>5</v>
      </c>
      <c r="DQ26" s="29">
        <v>1706031849</v>
      </c>
      <c r="DR26" s="29" t="s">
        <v>610</v>
      </c>
      <c r="DS26" s="31">
        <v>42906.498969907407</v>
      </c>
      <c r="DT26" s="31">
        <v>42905.477141203708</v>
      </c>
      <c r="DU26" s="31">
        <v>42905.496886574074</v>
      </c>
      <c r="DV26" s="32">
        <v>42768</v>
      </c>
      <c r="DX26" s="44">
        <v>10.20139303482587</v>
      </c>
      <c r="DY26" s="44">
        <v>5.4256716417910447</v>
      </c>
      <c r="DZ26" s="44">
        <v>5.2756892230576442</v>
      </c>
      <c r="EA26" s="44">
        <v>6.1403508771929838</v>
      </c>
      <c r="EB26" s="29">
        <v>11</v>
      </c>
      <c r="EC26" s="29">
        <f>IF(EQ26&lt;EP26,"FALSEE",1)</f>
        <v>1</v>
      </c>
      <c r="EE26" s="29" t="s">
        <v>2171</v>
      </c>
      <c r="EF26" s="29">
        <v>1.6122988462400001</v>
      </c>
      <c r="EG26" s="29" t="str">
        <f>IF(EF26&lt;0.5,"Depression",IF(EF26&lt;2,"Very gentle",IF(EF26&lt;5,"Gentle",IF(EF26&lt;9,"Moderate",IF(EF26&lt;15,"Strong",IF(EF26&lt;30,"Steep",IF(EF26&lt;1,"Very steep")))))))</f>
        <v>Very gentle</v>
      </c>
      <c r="EH26" s="29" t="s">
        <v>2173</v>
      </c>
      <c r="EI26" s="29">
        <v>8.4776775111099995E-6</v>
      </c>
      <c r="EJ26" s="43">
        <v>9.8180866241500002</v>
      </c>
      <c r="EK26" s="43">
        <f>VLOOKUP(D26,[1]SoilData!$G$15:$K$237,5,FALSE)</f>
        <v>347.6575602827287</v>
      </c>
      <c r="EL26" s="43">
        <f>VLOOKUP(D26,[1]SoilData!$G$245:$K$451,5,FALSE)</f>
        <v>397.81625350874231</v>
      </c>
      <c r="EM26" s="43">
        <f>VLOOKUP(D26,[1]SoilData!$G$15:$M$238,7,FALSE)</f>
        <v>1.4930000000000001</v>
      </c>
      <c r="EN26" s="43">
        <f>VLOOKUP(D26,[1]SoilData!$G$245:$M$454,7,FALSE)</f>
        <v>1.5649999999999999</v>
      </c>
      <c r="EO26" s="60">
        <f>EM26-EN26</f>
        <v>-7.1999999999999842E-2</v>
      </c>
      <c r="EP26" s="44">
        <f>AVERAGE(DZ26:EA26)</f>
        <v>5.708020050125314</v>
      </c>
      <c r="EQ26" s="44">
        <f>AVERAGE(DX26:DY26)</f>
        <v>7.8135323383084572</v>
      </c>
      <c r="ER26" s="43">
        <f>EQ26-EP26</f>
        <v>2.1055122881831432</v>
      </c>
      <c r="ES26" s="64">
        <f>IF(CU26&gt;0.000001,CU26*352,0)</f>
        <v>337.91999999999996</v>
      </c>
      <c r="ET26" s="64">
        <f>IF(DC26&gt;0.0001,DC26*682,0)</f>
        <v>409.2</v>
      </c>
      <c r="EU26" s="64">
        <f>CY26*795</f>
        <v>0</v>
      </c>
      <c r="EV26" s="64">
        <f>ES26+ET26+EU26</f>
        <v>747.11999999999989</v>
      </c>
      <c r="EW26" s="64">
        <f>IF(AA26="YES",3.5*18.2,0)</f>
        <v>0</v>
      </c>
      <c r="EX26" s="64">
        <f>EV26-EW26</f>
        <v>747.11999999999989</v>
      </c>
    </row>
    <row r="27" spans="1:154" ht="15" x14ac:dyDescent="0.2">
      <c r="A27" s="29" t="s">
        <v>556</v>
      </c>
      <c r="B27" s="29">
        <v>99</v>
      </c>
      <c r="C27" s="29" t="s">
        <v>1171</v>
      </c>
      <c r="D27" s="29" t="s">
        <v>238</v>
      </c>
      <c r="E27" s="29" t="str">
        <f>VLOOKUP(D27,Harvest_2017_Formulae!$C$2:$D$968,2,FALSE)</f>
        <v>ORNGADIDA</v>
      </c>
      <c r="F27" s="29" t="s">
        <v>777</v>
      </c>
      <c r="G27" s="29">
        <v>3.5</v>
      </c>
      <c r="H27" s="61" t="str">
        <f>IF(G27&lt;0.05,"Homefield",IF(G27&lt;0.5,"Midfield","outfield"))</f>
        <v>outfield</v>
      </c>
      <c r="I27" s="29" t="s">
        <v>557</v>
      </c>
      <c r="J27" s="61" t="s">
        <v>2233</v>
      </c>
      <c r="K27" s="61" t="s">
        <v>2233</v>
      </c>
      <c r="L27" s="67">
        <v>1</v>
      </c>
      <c r="M27" s="29">
        <v>2</v>
      </c>
      <c r="N27" s="29">
        <v>15000</v>
      </c>
      <c r="O27" s="29" t="s">
        <v>547</v>
      </c>
      <c r="P27" s="29">
        <v>2</v>
      </c>
      <c r="Q27" s="67">
        <v>0</v>
      </c>
      <c r="R27" s="29" t="s">
        <v>547</v>
      </c>
      <c r="T27" s="29">
        <v>2</v>
      </c>
      <c r="U27" s="29" t="s">
        <v>560</v>
      </c>
      <c r="W27" s="29" t="s">
        <v>561</v>
      </c>
      <c r="Z27" s="29" t="s">
        <v>547</v>
      </c>
      <c r="AA27" s="61" t="s">
        <v>546</v>
      </c>
      <c r="AB27" s="29" t="s">
        <v>547</v>
      </c>
      <c r="AC27" s="67">
        <v>0</v>
      </c>
      <c r="AD27" s="29" t="s">
        <v>547</v>
      </c>
      <c r="AF27" s="29" t="s">
        <v>547</v>
      </c>
      <c r="AG27" s="29" t="s">
        <v>547</v>
      </c>
      <c r="AH27" s="29" t="s">
        <v>548</v>
      </c>
      <c r="AI27" s="29" t="s">
        <v>546</v>
      </c>
      <c r="AJ27" s="29" t="s">
        <v>547</v>
      </c>
      <c r="AK27" s="67">
        <v>0</v>
      </c>
      <c r="AL27" s="29" t="s">
        <v>547</v>
      </c>
      <c r="AO27" s="29" t="s">
        <v>547</v>
      </c>
      <c r="AP27" s="29" t="s">
        <v>547</v>
      </c>
      <c r="AQ27" s="4">
        <f>Q27+AK27</f>
        <v>0</v>
      </c>
      <c r="AR27" s="4">
        <f>L27+AC27</f>
        <v>1</v>
      </c>
      <c r="AS27" t="str">
        <f>AQ27&amp;AR27</f>
        <v>01</v>
      </c>
      <c r="AT27" s="49">
        <f>AQ27-AR27</f>
        <v>-1</v>
      </c>
      <c r="AU27">
        <v>0</v>
      </c>
      <c r="AV27" s="29" t="s">
        <v>548</v>
      </c>
      <c r="AW27" s="29">
        <v>0.25</v>
      </c>
      <c r="AX27" s="29" t="s">
        <v>548</v>
      </c>
      <c r="AY27" s="29">
        <v>1</v>
      </c>
      <c r="AZ27" s="29">
        <v>4.25</v>
      </c>
      <c r="BA27" s="29" t="s">
        <v>546</v>
      </c>
      <c r="BB27" s="29" t="s">
        <v>547</v>
      </c>
      <c r="BD27" s="29">
        <f>AW27+AZ27</f>
        <v>4.5</v>
      </c>
      <c r="BE27" s="29">
        <f>BD27+BC27</f>
        <v>4.5</v>
      </c>
      <c r="BF27" s="29" t="s">
        <v>548</v>
      </c>
      <c r="BG27" s="29" t="s">
        <v>548</v>
      </c>
      <c r="BH27" s="29" t="s">
        <v>548</v>
      </c>
      <c r="BI27" s="29" t="s">
        <v>546</v>
      </c>
      <c r="BJ27" s="29" t="s">
        <v>546</v>
      </c>
      <c r="BK27" s="29" t="s">
        <v>546</v>
      </c>
      <c r="BL27" s="29">
        <v>1</v>
      </c>
      <c r="BM27" s="29" t="s">
        <v>562</v>
      </c>
      <c r="BN27" s="29">
        <v>4</v>
      </c>
      <c r="BO27" s="29" t="s">
        <v>562</v>
      </c>
      <c r="BP27" s="29">
        <v>17</v>
      </c>
      <c r="BQ27" s="29" t="s">
        <v>580</v>
      </c>
      <c r="BS27" s="29" t="s">
        <v>547</v>
      </c>
      <c r="BU27" s="29" t="s">
        <v>547</v>
      </c>
      <c r="BW27" s="29">
        <f>(BL27*1)+(BN27*0.1)+(BP27*0.01)+(BR27*0.1)+(BT27*0.3)+(BV27*0.4)</f>
        <v>1.5699999999999998</v>
      </c>
      <c r="BX27" s="29" t="s">
        <v>2219</v>
      </c>
      <c r="BY27" s="29">
        <v>1</v>
      </c>
      <c r="BZ27" s="29">
        <v>1</v>
      </c>
      <c r="CA27" s="29">
        <v>1</v>
      </c>
      <c r="CB27" s="29">
        <v>3</v>
      </c>
      <c r="CC27" s="29">
        <v>0</v>
      </c>
      <c r="CD27" s="29">
        <v>0</v>
      </c>
      <c r="CE27" s="29">
        <v>0</v>
      </c>
      <c r="CG27" s="29">
        <f>(CC27*15)+(CD27*0.8)+(CE27*0.3)+((AW27+AZ27)*15)</f>
        <v>67.5</v>
      </c>
      <c r="CH27" s="29" t="s">
        <v>2221</v>
      </c>
      <c r="CI27" s="29">
        <f>(BL27*1)+(BN27*0.1)+(BP27*0.01)+(BR27*0.1)+(BT27*0.3)+(BV27*0.4)+(CC27*15)+(CD27*0.8)+(CE27*0.3)+((AW27+AZ27)*15)</f>
        <v>69.069999999999993</v>
      </c>
      <c r="CJ27" s="29" t="s">
        <v>546</v>
      </c>
      <c r="CK27" s="29" t="s">
        <v>547</v>
      </c>
      <c r="CL27" s="29" t="s">
        <v>548</v>
      </c>
      <c r="CM27" s="29" t="s">
        <v>550</v>
      </c>
      <c r="CN27" s="29">
        <v>0.25</v>
      </c>
      <c r="CO27" s="29">
        <v>0.75</v>
      </c>
      <c r="CQ27" s="29" t="s">
        <v>548</v>
      </c>
      <c r="CR27" s="29">
        <v>1</v>
      </c>
      <c r="CS27" s="29">
        <v>10</v>
      </c>
      <c r="CT27" s="29" t="s">
        <v>551</v>
      </c>
      <c r="CU27" s="30">
        <v>2.4</v>
      </c>
      <c r="CW27" s="29">
        <v>999</v>
      </c>
      <c r="CX27" s="29" t="s">
        <v>551</v>
      </c>
      <c r="CY27" s="62"/>
      <c r="CZ27" s="29">
        <v>1</v>
      </c>
      <c r="DA27" s="29">
        <v>7</v>
      </c>
      <c r="DB27" s="29" t="s">
        <v>551</v>
      </c>
      <c r="DC27" s="62">
        <v>1.68</v>
      </c>
      <c r="DD27" s="29" t="s">
        <v>546</v>
      </c>
      <c r="DE27" s="29" t="s">
        <v>546</v>
      </c>
      <c r="DF27" s="29" t="s">
        <v>546</v>
      </c>
      <c r="DG27" s="29" t="s">
        <v>546</v>
      </c>
      <c r="DH27" s="29" t="s">
        <v>546</v>
      </c>
      <c r="DI27" s="29">
        <v>0</v>
      </c>
      <c r="DJ27" s="29">
        <v>5</v>
      </c>
      <c r="DK27" s="29" t="s">
        <v>1172</v>
      </c>
      <c r="DL27" s="29" t="s">
        <v>1173</v>
      </c>
      <c r="DM27" s="29">
        <v>-4.3177323341369629</v>
      </c>
      <c r="DN27" s="29">
        <v>35.872314453125</v>
      </c>
      <c r="DO27" s="29">
        <v>1228.0999755859375</v>
      </c>
      <c r="DP27" s="29">
        <v>5</v>
      </c>
      <c r="DQ27" s="29">
        <v>1705231439</v>
      </c>
      <c r="DR27" s="29" t="s">
        <v>1174</v>
      </c>
      <c r="DS27" s="31">
        <v>42950.965092592596</v>
      </c>
      <c r="DT27" s="31">
        <v>42892.590416666666</v>
      </c>
      <c r="DU27" s="31">
        <v>42950.913182870368</v>
      </c>
      <c r="DV27" s="32">
        <v>42776</v>
      </c>
      <c r="DX27" s="44">
        <v>3.6857273768613976</v>
      </c>
      <c r="DY27" s="44">
        <v>3.5136311569301264</v>
      </c>
      <c r="DZ27" s="44">
        <v>3.3430085470085471</v>
      </c>
      <c r="EA27" s="44">
        <v>3.0846495726495728</v>
      </c>
      <c r="EC27" s="29">
        <f>IF(EQ27&lt;EP27,"FALSEE",1)</f>
        <v>1</v>
      </c>
      <c r="EE27" s="29" t="s">
        <v>2171</v>
      </c>
      <c r="EF27" s="29">
        <v>0.66437512636200002</v>
      </c>
      <c r="EG27" s="29" t="str">
        <f>IF(EF27&lt;0.5,"Depression",IF(EF27&lt;2,"Very gentle",IF(EF27&lt;5,"Gentle",IF(EF27&lt;9,"Moderate",IF(EF27&lt;15,"Strong",IF(EF27&lt;30,"Steep",IF(EF27&lt;1,"Very steep")))))))</f>
        <v>Very gentle</v>
      </c>
      <c r="EH27" s="29" t="s">
        <v>2173</v>
      </c>
      <c r="EI27" s="29">
        <v>-0.27191722393000001</v>
      </c>
      <c r="EJ27" s="43">
        <v>10.6292409897</v>
      </c>
      <c r="EK27" s="43">
        <f>VLOOKUP(D27,[1]SoilData!$G$15:$K$237,5,FALSE)</f>
        <v>499.18358680588392</v>
      </c>
      <c r="EL27" s="43">
        <f>VLOOKUP(D27,[1]SoilData!$G$245:$K$451,5,FALSE)</f>
        <v>294.961070138423</v>
      </c>
      <c r="EM27" s="43">
        <f>VLOOKUP(D27,[1]SoilData!$G$15:$M$238,7,FALSE)</f>
        <v>1.9890000000000001</v>
      </c>
      <c r="EN27" s="43">
        <f>VLOOKUP(D27,[1]SoilData!$G$245:$M$454,7,FALSE)</f>
        <v>1.3089999999999999</v>
      </c>
      <c r="EO27" s="60">
        <f>EM27-EN27</f>
        <v>0.68000000000000016</v>
      </c>
      <c r="EP27" s="44">
        <f>AVERAGE(DZ27:EA27)</f>
        <v>3.21382905982906</v>
      </c>
      <c r="EQ27" s="44">
        <f>AVERAGE(DX27:DY27)</f>
        <v>3.599679266895762</v>
      </c>
      <c r="ER27" s="43">
        <f>EQ27-EP27</f>
        <v>0.38585020706670203</v>
      </c>
      <c r="ES27" s="64">
        <f>IF(CU27&gt;0.000001,CU27*352,0)</f>
        <v>844.8</v>
      </c>
      <c r="ET27" s="64">
        <f>IF(DC27&gt;0.0001,DC27*682,0)</f>
        <v>1145.76</v>
      </c>
      <c r="EU27" s="64">
        <f>CY27*795</f>
        <v>0</v>
      </c>
      <c r="EV27" s="64">
        <f>ES27+ET27+EU27</f>
        <v>1990.56</v>
      </c>
      <c r="EW27" s="64">
        <f>IF(AA27="YES",3.5*18.2,0)</f>
        <v>0</v>
      </c>
      <c r="EX27" s="64">
        <f>EV27-EW27</f>
        <v>1990.56</v>
      </c>
    </row>
    <row r="28" spans="1:154" ht="15" x14ac:dyDescent="0.2">
      <c r="A28" s="29" t="s">
        <v>556</v>
      </c>
      <c r="B28" s="29">
        <v>128</v>
      </c>
      <c r="C28" s="29" t="s">
        <v>362</v>
      </c>
      <c r="D28" s="29" t="s">
        <v>362</v>
      </c>
      <c r="E28" s="29" t="str">
        <f>VLOOKUP(D28,Harvest_2017_Formulae!$C$2:$D$968,2,FALSE)</f>
        <v>HALLU</v>
      </c>
      <c r="F28" s="29" t="s">
        <v>938</v>
      </c>
      <c r="G28" s="29">
        <v>0</v>
      </c>
      <c r="H28" s="61" t="str">
        <f>IF(G28&lt;0.05,"Homefield",IF(G28&lt;0.5,"Midfield","outfield"))</f>
        <v>Homefield</v>
      </c>
      <c r="I28" s="29" t="s">
        <v>557</v>
      </c>
      <c r="J28" s="61" t="s">
        <v>2234</v>
      </c>
      <c r="K28" s="61" t="s">
        <v>2234</v>
      </c>
      <c r="L28" s="67">
        <v>1</v>
      </c>
      <c r="M28" s="29">
        <v>15</v>
      </c>
      <c r="N28" s="29">
        <v>2000</v>
      </c>
      <c r="O28" s="29" t="s">
        <v>547</v>
      </c>
      <c r="P28" s="29" t="s">
        <v>559</v>
      </c>
      <c r="Q28" s="67">
        <v>0</v>
      </c>
      <c r="R28" s="29" t="s">
        <v>547</v>
      </c>
      <c r="U28" s="29" t="s">
        <v>547</v>
      </c>
      <c r="W28" s="29" t="s">
        <v>547</v>
      </c>
      <c r="Z28" s="29" t="s">
        <v>547</v>
      </c>
      <c r="AA28" s="61" t="s">
        <v>548</v>
      </c>
      <c r="AB28" s="29" t="s">
        <v>568</v>
      </c>
      <c r="AC28" s="67">
        <v>0</v>
      </c>
      <c r="AD28" s="29" t="s">
        <v>547</v>
      </c>
      <c r="AF28" s="29" t="s">
        <v>547</v>
      </c>
      <c r="AG28" s="29" t="s">
        <v>547</v>
      </c>
      <c r="AH28" s="29" t="s">
        <v>548</v>
      </c>
      <c r="AI28" s="29" t="s">
        <v>546</v>
      </c>
      <c r="AJ28" s="29" t="s">
        <v>547</v>
      </c>
      <c r="AK28" s="67">
        <v>0</v>
      </c>
      <c r="AL28" s="29" t="s">
        <v>547</v>
      </c>
      <c r="AO28" s="29" t="s">
        <v>547</v>
      </c>
      <c r="AP28" s="29" t="s">
        <v>547</v>
      </c>
      <c r="AQ28" s="4">
        <f>Q28+AK28</f>
        <v>0</v>
      </c>
      <c r="AR28" s="4">
        <f>L28+AC28</f>
        <v>1</v>
      </c>
      <c r="AS28" t="str">
        <f>AQ28&amp;AR28</f>
        <v>01</v>
      </c>
      <c r="AT28" s="49">
        <f>AQ28-AR28</f>
        <v>-1</v>
      </c>
      <c r="AU28">
        <v>0</v>
      </c>
      <c r="AV28" s="29" t="s">
        <v>548</v>
      </c>
      <c r="AW28" s="29">
        <v>1</v>
      </c>
      <c r="AX28" s="29" t="s">
        <v>548</v>
      </c>
      <c r="AY28" s="29">
        <v>1</v>
      </c>
      <c r="AZ28" s="29">
        <v>4.75</v>
      </c>
      <c r="BA28" s="29" t="s">
        <v>546</v>
      </c>
      <c r="BB28" s="29" t="s">
        <v>547</v>
      </c>
      <c r="BD28" s="29">
        <f>AW28+AZ28</f>
        <v>5.75</v>
      </c>
      <c r="BE28" s="29">
        <f>BD28+BC28</f>
        <v>5.75</v>
      </c>
      <c r="BF28" s="29" t="s">
        <v>548</v>
      </c>
      <c r="BG28" s="29" t="s">
        <v>546</v>
      </c>
      <c r="BH28" s="29" t="s">
        <v>548</v>
      </c>
      <c r="BI28" s="29" t="s">
        <v>546</v>
      </c>
      <c r="BJ28" s="29" t="s">
        <v>546</v>
      </c>
      <c r="BK28" s="29" t="s">
        <v>546</v>
      </c>
      <c r="BL28" s="29">
        <v>2</v>
      </c>
      <c r="BM28" s="29" t="s">
        <v>562</v>
      </c>
      <c r="BO28" s="29" t="s">
        <v>547</v>
      </c>
      <c r="BP28" s="29">
        <v>20</v>
      </c>
      <c r="BQ28" s="29" t="s">
        <v>562</v>
      </c>
      <c r="BS28" s="29" t="s">
        <v>547</v>
      </c>
      <c r="BU28" s="29" t="s">
        <v>547</v>
      </c>
      <c r="BW28" s="29">
        <f>(BL28*1)+(BN28*0.1)+(BP28*0.01)+(BR28*0.1)+(BT28*0.3)+(BV28*0.4)</f>
        <v>2.2000000000000002</v>
      </c>
      <c r="BX28" s="29" t="s">
        <v>2219</v>
      </c>
      <c r="BY28" s="29">
        <v>5</v>
      </c>
      <c r="BZ28" s="29">
        <v>1</v>
      </c>
      <c r="CA28" s="29">
        <v>0</v>
      </c>
      <c r="CB28" s="29">
        <v>6</v>
      </c>
      <c r="CC28" s="29">
        <v>0</v>
      </c>
      <c r="CD28" s="29">
        <v>0</v>
      </c>
      <c r="CE28" s="29">
        <v>0</v>
      </c>
      <c r="CF28" s="29" t="s">
        <v>547</v>
      </c>
      <c r="CG28" s="29">
        <f>(CC28*15)+(CD28*0.8)+(CE28*0.3)+((AW28+AZ28)*15)</f>
        <v>86.25</v>
      </c>
      <c r="CH28" s="29" t="s">
        <v>2221</v>
      </c>
      <c r="CI28" s="29">
        <f>(BL28*1)+(BN28*0.1)+(BP28*0.01)+(BR28*0.1)+(BT28*0.3)+(BV28*0.4)+(CC28*15)+(CD28*0.8)+(CE28*0.3)+((AW28+AZ28)*15)</f>
        <v>88.45</v>
      </c>
      <c r="CJ28" s="29" t="s">
        <v>546</v>
      </c>
      <c r="CK28" s="29" t="s">
        <v>547</v>
      </c>
      <c r="CL28" s="29" t="s">
        <v>548</v>
      </c>
      <c r="CM28" s="29" t="s">
        <v>550</v>
      </c>
      <c r="CN28" s="29">
        <v>0.25</v>
      </c>
      <c r="CO28" s="29">
        <v>4.5</v>
      </c>
      <c r="CQ28" s="29" t="s">
        <v>546</v>
      </c>
      <c r="CR28" s="29">
        <v>4.75</v>
      </c>
      <c r="CS28" s="29">
        <v>40</v>
      </c>
      <c r="CT28" s="29" t="s">
        <v>551</v>
      </c>
      <c r="CU28" s="30">
        <v>2.0210526315789474</v>
      </c>
      <c r="CV28" s="29">
        <v>4.75</v>
      </c>
      <c r="CW28" s="29">
        <v>999</v>
      </c>
      <c r="CX28" s="29" t="s">
        <v>551</v>
      </c>
      <c r="CY28" s="62"/>
      <c r="CZ28" s="29">
        <v>4.75</v>
      </c>
      <c r="DA28" s="29">
        <v>15</v>
      </c>
      <c r="DB28" s="29" t="s">
        <v>551</v>
      </c>
      <c r="DC28" s="62">
        <v>0.75789473684210518</v>
      </c>
      <c r="DD28" s="29" t="s">
        <v>546</v>
      </c>
      <c r="DE28" s="29" t="s">
        <v>546</v>
      </c>
      <c r="DF28" s="29" t="s">
        <v>548</v>
      </c>
      <c r="DG28" s="29" t="s">
        <v>546</v>
      </c>
      <c r="DH28" s="29" t="s">
        <v>546</v>
      </c>
      <c r="DI28" s="29">
        <v>1</v>
      </c>
      <c r="DJ28" s="29">
        <v>3</v>
      </c>
      <c r="DK28" s="29" t="s">
        <v>1011</v>
      </c>
      <c r="DL28" s="29" t="s">
        <v>1012</v>
      </c>
      <c r="DM28" s="29">
        <v>-4.2721366882324219</v>
      </c>
      <c r="DN28" s="29">
        <v>35.909992218017578</v>
      </c>
      <c r="DO28" s="29">
        <v>1197.5999755859375</v>
      </c>
      <c r="DP28" s="29">
        <v>5</v>
      </c>
      <c r="DQ28" s="29">
        <v>1706031849</v>
      </c>
      <c r="DR28" s="29" t="s">
        <v>1013</v>
      </c>
      <c r="DS28" s="31">
        <v>42907.592986111107</v>
      </c>
      <c r="DT28" s="31">
        <v>42906.581203703703</v>
      </c>
      <c r="DU28" s="31">
        <v>42906.634710648148</v>
      </c>
      <c r="DV28" s="32">
        <v>42786</v>
      </c>
      <c r="DX28" s="44">
        <v>4.1087704918032788</v>
      </c>
      <c r="DY28" s="44">
        <v>5.0681147540983593</v>
      </c>
      <c r="DZ28" s="44">
        <v>2.0517489711934158</v>
      </c>
      <c r="EA28" s="44">
        <v>1.8842592592592593</v>
      </c>
      <c r="EC28" s="29">
        <f>IF(EQ28&lt;EP28,"FALSEE",1)</f>
        <v>1</v>
      </c>
      <c r="EE28" s="29" t="s">
        <v>2171</v>
      </c>
      <c r="EF28" s="29">
        <v>3.2385981082900002</v>
      </c>
      <c r="EG28" s="29" t="str">
        <f>IF(EF28&lt;0.5,"Depression",IF(EF28&lt;2,"Very gentle",IF(EF28&lt;5,"Gentle",IF(EF28&lt;9,"Moderate",IF(EF28&lt;15,"Strong",IF(EF28&lt;30,"Steep",IF(EF28&lt;1,"Very steep")))))))</f>
        <v>Gentle</v>
      </c>
      <c r="EH28" s="29" t="s">
        <v>2177</v>
      </c>
      <c r="EI28" s="29">
        <v>0.54385989904400001</v>
      </c>
      <c r="EJ28" s="43">
        <v>8.7041940689100006</v>
      </c>
      <c r="EK28" s="43">
        <f>VLOOKUP(D28,[1]SoilData!$G$15:$K$237,5,FALSE)</f>
        <v>443.484020909663</v>
      </c>
      <c r="EL28" s="43">
        <f>VLOOKUP(D28,[1]SoilData!$G$245:$K$451,5,FALSE)</f>
        <v>37.559331683783142</v>
      </c>
      <c r="EM28" s="43">
        <f>VLOOKUP(D28,[1]SoilData!$G$15:$M$238,7,FALSE)</f>
        <v>1.1539999999999999</v>
      </c>
      <c r="EN28" s="43">
        <f>VLOOKUP(D28,[1]SoilData!$G$245:$M$454,7,FALSE)</f>
        <v>0.81499999999999995</v>
      </c>
      <c r="EO28" s="60">
        <f>EM28-EN28</f>
        <v>0.33899999999999997</v>
      </c>
      <c r="EP28" s="44">
        <f>AVERAGE(DZ28:EA28)</f>
        <v>1.9680041152263374</v>
      </c>
      <c r="EQ28" s="44">
        <f>AVERAGE(DX28:DY28)</f>
        <v>4.5884426229508186</v>
      </c>
      <c r="ER28" s="43">
        <f>EQ28-EP28</f>
        <v>2.6204385077244812</v>
      </c>
      <c r="ES28" s="64">
        <f>IF(CU28&gt;0.000001,CU28*352,0)</f>
        <v>711.41052631578953</v>
      </c>
      <c r="ET28" s="64">
        <f>IF(DC28&gt;0.0001,DC28*682,0)</f>
        <v>516.88421052631577</v>
      </c>
      <c r="EU28" s="64">
        <f>CY28*795</f>
        <v>0</v>
      </c>
      <c r="EV28" s="64">
        <f>ES28+ET28+EU28</f>
        <v>1228.2947368421053</v>
      </c>
      <c r="EW28" s="64">
        <f>IF(AA28="YES",3.5*18.2,0)</f>
        <v>63.699999999999996</v>
      </c>
      <c r="EX28" s="64">
        <f>EV28-EW28</f>
        <v>1164.5947368421052</v>
      </c>
    </row>
    <row r="29" spans="1:154" ht="15" x14ac:dyDescent="0.2">
      <c r="A29" s="29" t="s">
        <v>1403</v>
      </c>
      <c r="B29" s="29">
        <v>111</v>
      </c>
      <c r="C29" s="29" t="s">
        <v>1404</v>
      </c>
      <c r="D29" s="29" t="s">
        <v>1404</v>
      </c>
      <c r="E29" s="29" t="e">
        <f>VLOOKUP(D29,Harvest_2017_Formulae!$C$2:$D$968,2,FALSE)</f>
        <v>#N/A</v>
      </c>
      <c r="F29" s="29" t="s">
        <v>1310</v>
      </c>
      <c r="G29" s="29">
        <v>1.2000000476837158</v>
      </c>
      <c r="H29" s="61" t="str">
        <f>IF(G29&lt;0.05,"Homefield",IF(G29&lt;0.5,"Midfield","outfield"))</f>
        <v>outfield</v>
      </c>
      <c r="I29" s="29" t="s">
        <v>557</v>
      </c>
      <c r="J29" s="61" t="s">
        <v>2233</v>
      </c>
      <c r="K29" s="61" t="s">
        <v>2233</v>
      </c>
      <c r="L29" s="67">
        <v>1</v>
      </c>
      <c r="M29" s="29">
        <v>2</v>
      </c>
      <c r="O29" s="29" t="s">
        <v>1405</v>
      </c>
      <c r="P29" s="29">
        <v>1</v>
      </c>
      <c r="Q29" s="67">
        <v>0</v>
      </c>
      <c r="R29" s="29" t="s">
        <v>547</v>
      </c>
      <c r="U29" s="29" t="s">
        <v>547</v>
      </c>
      <c r="W29" s="29" t="s">
        <v>547</v>
      </c>
      <c r="Z29" s="29" t="s">
        <v>547</v>
      </c>
      <c r="AA29" s="61" t="s">
        <v>548</v>
      </c>
      <c r="AB29" s="29" t="s">
        <v>568</v>
      </c>
      <c r="AC29" s="67">
        <v>0</v>
      </c>
      <c r="AD29" s="29" t="s">
        <v>547</v>
      </c>
      <c r="AF29" s="29" t="s">
        <v>547</v>
      </c>
      <c r="AG29" s="29" t="s">
        <v>547</v>
      </c>
      <c r="AH29" s="29" t="s">
        <v>548</v>
      </c>
      <c r="AI29" s="29" t="s">
        <v>546</v>
      </c>
      <c r="AJ29" s="29" t="s">
        <v>547</v>
      </c>
      <c r="AK29" s="67">
        <v>0</v>
      </c>
      <c r="AL29" s="29" t="s">
        <v>547</v>
      </c>
      <c r="AO29" s="29" t="s">
        <v>547</v>
      </c>
      <c r="AP29" s="29" t="s">
        <v>547</v>
      </c>
      <c r="AQ29" s="4">
        <f>Q29+AK29</f>
        <v>0</v>
      </c>
      <c r="AR29" s="4">
        <f>L29+AC29</f>
        <v>1</v>
      </c>
      <c r="AS29" t="str">
        <f>AQ29&amp;AR29</f>
        <v>01</v>
      </c>
      <c r="AT29" s="49">
        <f>AQ29-AR29</f>
        <v>-1</v>
      </c>
      <c r="AU29">
        <v>0</v>
      </c>
      <c r="AV29" s="29" t="s">
        <v>546</v>
      </c>
      <c r="AX29" s="29" t="s">
        <v>548</v>
      </c>
      <c r="AY29" s="29">
        <v>1</v>
      </c>
      <c r="AZ29" s="29">
        <v>2.25</v>
      </c>
      <c r="BA29" s="29" t="s">
        <v>548</v>
      </c>
      <c r="BB29" s="29" t="s">
        <v>569</v>
      </c>
      <c r="BC29" s="29">
        <v>5</v>
      </c>
      <c r="BD29" s="29">
        <f>AW29+AZ29</f>
        <v>2.25</v>
      </c>
      <c r="BE29" s="29">
        <f>BD29+BC29</f>
        <v>7.25</v>
      </c>
      <c r="BF29" s="29" t="s">
        <v>548</v>
      </c>
      <c r="BG29" s="29" t="s">
        <v>548</v>
      </c>
      <c r="BH29" s="29" t="s">
        <v>548</v>
      </c>
      <c r="BI29" s="29" t="s">
        <v>546</v>
      </c>
      <c r="BJ29" s="29" t="s">
        <v>546</v>
      </c>
      <c r="BK29" s="29" t="s">
        <v>546</v>
      </c>
      <c r="BL29" s="29">
        <v>3</v>
      </c>
      <c r="BM29" s="29" t="s">
        <v>562</v>
      </c>
      <c r="BN29" s="29">
        <v>2</v>
      </c>
      <c r="BO29" s="29" t="s">
        <v>562</v>
      </c>
      <c r="BP29" s="29">
        <v>8</v>
      </c>
      <c r="BQ29" s="29" t="s">
        <v>562</v>
      </c>
      <c r="BS29" s="29" t="s">
        <v>547</v>
      </c>
      <c r="BU29" s="29" t="s">
        <v>547</v>
      </c>
      <c r="BW29" s="29">
        <f>(BL29*1)+(BN29*0.1)+(BP29*0.01)+(BR29*0.1)+(BT29*0.3)+(BV29*0.4)</f>
        <v>3.2800000000000002</v>
      </c>
      <c r="BX29" s="29" t="s">
        <v>2219</v>
      </c>
      <c r="BY29" s="29">
        <v>1</v>
      </c>
      <c r="BZ29" s="29">
        <v>2</v>
      </c>
      <c r="CA29" s="29">
        <v>2</v>
      </c>
      <c r="CB29" s="29">
        <v>5</v>
      </c>
      <c r="CC29" s="29">
        <v>0</v>
      </c>
      <c r="CD29" s="29">
        <v>0</v>
      </c>
      <c r="CE29" s="29">
        <v>0</v>
      </c>
      <c r="CG29" s="29">
        <f>(CC29*15)+(CD29*0.8)+(CE29*0.3)+((AW29+AZ29)*15)</f>
        <v>33.75</v>
      </c>
      <c r="CH29" s="29" t="s">
        <v>2220</v>
      </c>
      <c r="CI29" s="29">
        <f>(BL29*1)+(BN29*0.1)+(BP29*0.01)+(BR29*0.1)+(BT29*0.3)+(BV29*0.4)+(CC29*15)+(CD29*0.8)+(CE29*0.3)+((AW29+AZ29)*15)</f>
        <v>37.03</v>
      </c>
      <c r="CJ29" s="29" t="s">
        <v>546</v>
      </c>
      <c r="CK29" s="29" t="s">
        <v>547</v>
      </c>
      <c r="CL29" s="29" t="s">
        <v>548</v>
      </c>
      <c r="CM29" s="29" t="s">
        <v>550</v>
      </c>
      <c r="CN29" s="29">
        <v>0.25</v>
      </c>
      <c r="CO29" s="29">
        <v>1.75</v>
      </c>
      <c r="CP29" s="29">
        <v>0</v>
      </c>
      <c r="CQ29" s="29" t="s">
        <v>546</v>
      </c>
      <c r="CR29" s="29">
        <v>1.25</v>
      </c>
      <c r="CS29" s="29">
        <v>20</v>
      </c>
      <c r="CT29" s="29" t="s">
        <v>551</v>
      </c>
      <c r="CU29" s="30">
        <v>3.84</v>
      </c>
      <c r="CV29" s="29">
        <v>1.25</v>
      </c>
      <c r="CW29" s="29">
        <v>1</v>
      </c>
      <c r="CX29" s="29" t="s">
        <v>551</v>
      </c>
      <c r="CY29" s="62">
        <v>0.192</v>
      </c>
      <c r="CZ29" s="29">
        <v>1.25</v>
      </c>
      <c r="DA29" s="29">
        <v>5</v>
      </c>
      <c r="DB29" s="29" t="s">
        <v>552</v>
      </c>
      <c r="DC29" s="62">
        <v>0.16031999999999999</v>
      </c>
      <c r="DD29" s="29" t="s">
        <v>548</v>
      </c>
      <c r="DE29" s="29" t="s">
        <v>548</v>
      </c>
      <c r="DF29" s="29" t="s">
        <v>548</v>
      </c>
      <c r="DG29" s="29" t="s">
        <v>546</v>
      </c>
      <c r="DH29" s="29" t="s">
        <v>546</v>
      </c>
      <c r="DI29" s="29">
        <v>3</v>
      </c>
      <c r="DJ29" s="29">
        <v>2</v>
      </c>
      <c r="DK29" s="29" t="s">
        <v>1406</v>
      </c>
      <c r="DL29" s="29" t="s">
        <v>1407</v>
      </c>
      <c r="DM29" s="29">
        <v>-4.2611217498779297</v>
      </c>
      <c r="DN29" s="29">
        <v>35.519355773925781</v>
      </c>
      <c r="DO29" s="29">
        <v>1640.199951171875</v>
      </c>
      <c r="DP29" s="29">
        <v>5</v>
      </c>
      <c r="DQ29" s="29">
        <v>1706031849</v>
      </c>
      <c r="DR29" s="29" t="s">
        <v>1408</v>
      </c>
      <c r="DS29" s="31">
        <v>42903.412928240738</v>
      </c>
      <c r="DT29" s="31">
        <v>42901.552928240737</v>
      </c>
      <c r="DU29" s="31">
        <v>42901.573321759264</v>
      </c>
      <c r="DV29" s="32">
        <v>42736</v>
      </c>
      <c r="DX29" s="43"/>
      <c r="DY29" s="43"/>
      <c r="DZ29" s="43"/>
      <c r="EA29" s="43"/>
      <c r="EC29" s="29">
        <f>IF(EQ29&lt;EP29,"FALSEE",1)</f>
        <v>1</v>
      </c>
      <c r="EE29" s="29" t="s">
        <v>2171</v>
      </c>
      <c r="EF29" s="29">
        <v>3.1812281608599999</v>
      </c>
      <c r="EG29" s="29" t="str">
        <f>IF(EF29&lt;0.5,"Depression",IF(EF29&lt;2,"Very gentle",IF(EF29&lt;5,"Gentle",IF(EF29&lt;9,"Moderate",IF(EF29&lt;15,"Strong",IF(EF29&lt;30,"Steep",IF(EF29&lt;1,"Very steep")))))))</f>
        <v>Gentle</v>
      </c>
      <c r="EH29" s="29" t="s">
        <v>2173</v>
      </c>
      <c r="EI29" s="29">
        <v>-0.45320102572400001</v>
      </c>
      <c r="EJ29" s="43">
        <v>9.0168313980099999</v>
      </c>
      <c r="EK29" s="43"/>
      <c r="EL29" s="43"/>
      <c r="EM29" s="56"/>
      <c r="EN29" s="56"/>
      <c r="EO29" s="60"/>
      <c r="EP29" s="43"/>
      <c r="EQ29" s="43"/>
      <c r="ER29" s="43"/>
      <c r="ES29" s="64">
        <f>IF(CU29&gt;0.000001,CU29*352,0)</f>
        <v>1351.6799999999998</v>
      </c>
      <c r="ET29" s="64">
        <f>IF(DC29&gt;0.0001,DC29*682,0)</f>
        <v>109.33824</v>
      </c>
      <c r="EU29" s="64">
        <f>CY29*795</f>
        <v>152.64000000000001</v>
      </c>
      <c r="EV29" s="64">
        <f>ES29+ET29+EU29</f>
        <v>1613.65824</v>
      </c>
      <c r="EW29" s="64">
        <f>IF(AA29="YES",3.5*18.2,0)</f>
        <v>63.699999999999996</v>
      </c>
      <c r="EX29" s="64">
        <f>EV29-EW29</f>
        <v>1549.9582399999999</v>
      </c>
    </row>
    <row r="30" spans="1:154" ht="15" x14ac:dyDescent="0.2">
      <c r="A30" s="29" t="s">
        <v>556</v>
      </c>
      <c r="B30" s="29">
        <v>13</v>
      </c>
      <c r="C30" s="29" t="s">
        <v>910</v>
      </c>
      <c r="D30" s="29" t="s">
        <v>350</v>
      </c>
      <c r="E30" s="29" t="str">
        <f>VLOOKUP(D30,Harvest_2017_Formulae!$C$2:$D$968,2,FALSE)</f>
        <v>ENDANOGA</v>
      </c>
      <c r="F30" s="29" t="s">
        <v>843</v>
      </c>
      <c r="G30" s="29">
        <v>1.5</v>
      </c>
      <c r="H30" s="61" t="str">
        <f>IF(G30&lt;0.05,"Homefield",IF(G30&lt;0.5,"Midfield","outfield"))</f>
        <v>outfield</v>
      </c>
      <c r="I30" s="29" t="s">
        <v>557</v>
      </c>
      <c r="J30" s="61" t="s">
        <v>2234</v>
      </c>
      <c r="K30" s="61" t="s">
        <v>2234</v>
      </c>
      <c r="L30" s="67">
        <v>1</v>
      </c>
      <c r="M30" s="29">
        <v>1</v>
      </c>
      <c r="O30" s="29" t="s">
        <v>567</v>
      </c>
      <c r="P30" s="29">
        <v>0</v>
      </c>
      <c r="Q30" s="67">
        <v>0</v>
      </c>
      <c r="R30" s="29" t="s">
        <v>547</v>
      </c>
      <c r="T30" s="29" t="s">
        <v>559</v>
      </c>
      <c r="U30" s="29" t="s">
        <v>560</v>
      </c>
      <c r="W30" s="29" t="s">
        <v>819</v>
      </c>
      <c r="X30" s="29">
        <v>999</v>
      </c>
      <c r="Z30" s="29" t="s">
        <v>547</v>
      </c>
      <c r="AA30" s="61" t="s">
        <v>546</v>
      </c>
      <c r="AB30" s="29" t="s">
        <v>547</v>
      </c>
      <c r="AC30" s="67">
        <v>0</v>
      </c>
      <c r="AD30" s="29" t="s">
        <v>547</v>
      </c>
      <c r="AF30" s="29" t="s">
        <v>547</v>
      </c>
      <c r="AG30" s="29" t="s">
        <v>547</v>
      </c>
      <c r="AH30" s="29" t="s">
        <v>546</v>
      </c>
      <c r="AI30" s="29" t="s">
        <v>546</v>
      </c>
      <c r="AJ30" s="29" t="s">
        <v>547</v>
      </c>
      <c r="AK30" s="67">
        <v>0</v>
      </c>
      <c r="AL30" s="29" t="s">
        <v>547</v>
      </c>
      <c r="AO30" s="29" t="s">
        <v>547</v>
      </c>
      <c r="AP30" s="29" t="s">
        <v>547</v>
      </c>
      <c r="AQ30" s="4">
        <f>Q30+AK30</f>
        <v>0</v>
      </c>
      <c r="AR30" s="4">
        <f>L30+AC30</f>
        <v>1</v>
      </c>
      <c r="AS30" t="str">
        <f>AQ30&amp;AR30</f>
        <v>01</v>
      </c>
      <c r="AT30" s="49">
        <f>AQ30-AR30</f>
        <v>-1</v>
      </c>
      <c r="AU30">
        <v>0</v>
      </c>
      <c r="AV30" s="29" t="s">
        <v>548</v>
      </c>
      <c r="AW30" s="29">
        <v>1</v>
      </c>
      <c r="AX30" s="29" t="s">
        <v>548</v>
      </c>
      <c r="AY30" s="29">
        <v>2</v>
      </c>
      <c r="AZ30" s="29">
        <v>2.25</v>
      </c>
      <c r="BA30" s="29" t="s">
        <v>546</v>
      </c>
      <c r="BB30" s="29" t="s">
        <v>547</v>
      </c>
      <c r="BD30" s="29">
        <f>AW30+AZ30</f>
        <v>3.25</v>
      </c>
      <c r="BE30" s="29">
        <f>BD30+BC30</f>
        <v>3.25</v>
      </c>
      <c r="BF30" s="29" t="s">
        <v>548</v>
      </c>
      <c r="BG30" s="29" t="s">
        <v>548</v>
      </c>
      <c r="BH30" s="29" t="s">
        <v>546</v>
      </c>
      <c r="BI30" s="29" t="s">
        <v>546</v>
      </c>
      <c r="BJ30" s="29" t="s">
        <v>546</v>
      </c>
      <c r="BK30" s="29" t="s">
        <v>546</v>
      </c>
      <c r="BL30" s="29">
        <v>4</v>
      </c>
      <c r="BM30" s="29" t="s">
        <v>562</v>
      </c>
      <c r="BN30" s="29">
        <v>3</v>
      </c>
      <c r="BO30" s="29" t="s">
        <v>562</v>
      </c>
      <c r="BQ30" s="29" t="s">
        <v>547</v>
      </c>
      <c r="BS30" s="29" t="s">
        <v>547</v>
      </c>
      <c r="BU30" s="29" t="s">
        <v>547</v>
      </c>
      <c r="BW30" s="29">
        <f>(BL30*1)+(BN30*0.1)+(BP30*0.01)+(BR30*0.1)+(BT30*0.3)+(BV30*0.4)</f>
        <v>4.3</v>
      </c>
      <c r="BX30" s="29" t="s">
        <v>2219</v>
      </c>
      <c r="BY30" s="29">
        <v>0</v>
      </c>
      <c r="BZ30" s="29">
        <v>2</v>
      </c>
      <c r="CA30" s="29">
        <v>4</v>
      </c>
      <c r="CB30" s="29">
        <v>6</v>
      </c>
      <c r="CC30" s="29">
        <v>0</v>
      </c>
      <c r="CD30" s="29">
        <v>0</v>
      </c>
      <c r="CE30" s="29">
        <v>0</v>
      </c>
      <c r="CF30" s="29" t="s">
        <v>547</v>
      </c>
      <c r="CG30" s="29">
        <f>(CC30*15)+(CD30*0.8)+(CE30*0.3)+((AW30+AZ30)*15)</f>
        <v>48.75</v>
      </c>
      <c r="CH30" s="29" t="s">
        <v>2220</v>
      </c>
      <c r="CI30" s="29">
        <f>(BL30*1)+(BN30*0.1)+(BP30*0.01)+(BR30*0.1)+(BT30*0.3)+(BV30*0.4)+(CC30*15)+(CD30*0.8)+(CE30*0.3)+((AW30+AZ30)*15)</f>
        <v>53.05</v>
      </c>
      <c r="CJ30" s="29" t="s">
        <v>548</v>
      </c>
      <c r="CK30" s="29" t="s">
        <v>563</v>
      </c>
      <c r="CL30" s="29" t="s">
        <v>546</v>
      </c>
      <c r="CM30" s="29" t="s">
        <v>547</v>
      </c>
      <c r="CN30" s="29">
        <v>0.25</v>
      </c>
      <c r="CO30" s="29">
        <v>2</v>
      </c>
      <c r="CP30" s="29">
        <v>0</v>
      </c>
      <c r="CQ30" s="29" t="s">
        <v>548</v>
      </c>
      <c r="CR30" s="29">
        <v>1</v>
      </c>
      <c r="CS30" s="29">
        <v>4</v>
      </c>
      <c r="CT30" s="29" t="s">
        <v>551</v>
      </c>
      <c r="CU30" s="30">
        <v>0.96</v>
      </c>
      <c r="CW30" s="29">
        <v>999</v>
      </c>
      <c r="CX30" s="29" t="s">
        <v>551</v>
      </c>
      <c r="CY30" s="62"/>
      <c r="CZ30" s="29">
        <v>1</v>
      </c>
      <c r="DA30" s="29">
        <v>3</v>
      </c>
      <c r="DB30" s="29" t="s">
        <v>551</v>
      </c>
      <c r="DC30" s="62">
        <v>0.72</v>
      </c>
      <c r="DD30" s="29" t="s">
        <v>546</v>
      </c>
      <c r="DE30" s="29" t="s">
        <v>548</v>
      </c>
      <c r="DF30" s="29" t="s">
        <v>546</v>
      </c>
      <c r="DG30" s="29" t="s">
        <v>546</v>
      </c>
      <c r="DH30" s="29" t="s">
        <v>546</v>
      </c>
      <c r="DI30" s="29">
        <v>1</v>
      </c>
      <c r="DJ30" s="29">
        <v>3</v>
      </c>
      <c r="DK30" s="29" t="s">
        <v>911</v>
      </c>
      <c r="DL30" s="29" t="s">
        <v>912</v>
      </c>
      <c r="DM30" s="29">
        <v>-4.2598285675048828</v>
      </c>
      <c r="DN30" s="29">
        <v>35.859825134277344</v>
      </c>
      <c r="DO30" s="29">
        <v>1326.199951171875</v>
      </c>
      <c r="DP30" s="29">
        <v>5</v>
      </c>
      <c r="DQ30" s="29">
        <v>1705231439</v>
      </c>
      <c r="DR30" s="29" t="s">
        <v>913</v>
      </c>
      <c r="DS30" s="31">
        <v>42903.412893518514</v>
      </c>
      <c r="DT30" s="31">
        <v>42893.566898148143</v>
      </c>
      <c r="DU30" s="31">
        <v>42893.635312500002</v>
      </c>
      <c r="DV30" s="32">
        <v>42793</v>
      </c>
      <c r="DX30" s="44">
        <v>4.152259105578608</v>
      </c>
      <c r="DY30" s="44">
        <v>4.4502074688796682</v>
      </c>
      <c r="DZ30" s="44">
        <v>4.3424389119409872</v>
      </c>
      <c r="EA30" s="44">
        <v>4.1142231443061323</v>
      </c>
      <c r="EC30" s="29">
        <f>IF(EQ30&lt;EP30,"FALSEE",1)</f>
        <v>1</v>
      </c>
      <c r="EE30" s="29" t="s">
        <v>2171</v>
      </c>
      <c r="EF30" s="29">
        <v>2.3941514491999998</v>
      </c>
      <c r="EG30" s="29" t="str">
        <f>IF(EF30&lt;0.5,"Depression",IF(EF30&lt;2,"Very gentle",IF(EF30&lt;5,"Gentle",IF(EF30&lt;9,"Moderate",IF(EF30&lt;15,"Strong",IF(EF30&lt;30,"Steep",IF(EF30&lt;1,"Very steep")))))))</f>
        <v>Gentle</v>
      </c>
      <c r="EH30" s="29" t="s">
        <v>2173</v>
      </c>
      <c r="EI30" s="29">
        <v>-0.362559139729</v>
      </c>
      <c r="EJ30" s="43">
        <v>10.828481674200001</v>
      </c>
      <c r="EK30" s="43">
        <f>VLOOKUP(D30,[1]SoilData!$G$15:$K$237,5,FALSE)</f>
        <v>404.8867784940544</v>
      </c>
      <c r="EL30" s="43">
        <f>VLOOKUP(D30,[1]SoilData!$G$245:$K$451,5,FALSE)</f>
        <v>416.26503406082486</v>
      </c>
      <c r="EM30" s="43">
        <f>VLOOKUP(D30,[1]SoilData!$G$15:$M$238,7,FALSE)</f>
        <v>1.5669999999999999</v>
      </c>
      <c r="EN30" s="43">
        <f>VLOOKUP(D30,[1]SoilData!$G$245:$M$454,7,FALSE)</f>
        <v>1.2709999999999999</v>
      </c>
      <c r="EO30" s="60">
        <f>EM30-EN30</f>
        <v>0.29600000000000004</v>
      </c>
      <c r="EP30" s="44">
        <f>AVERAGE(DZ30:EA30)</f>
        <v>4.2283310281235593</v>
      </c>
      <c r="EQ30" s="44">
        <f>AVERAGE(DX30:DY30)</f>
        <v>4.3012332872291381</v>
      </c>
      <c r="ER30" s="43">
        <f>EQ30-EP30</f>
        <v>7.2902259105578793E-2</v>
      </c>
      <c r="ES30" s="64">
        <f>IF(CU30&gt;0.000001,CU30*352,0)</f>
        <v>337.91999999999996</v>
      </c>
      <c r="ET30" s="64">
        <f>IF(DC30&gt;0.0001,DC30*682,0)</f>
        <v>491.03999999999996</v>
      </c>
      <c r="EU30" s="64">
        <f>CY30*795</f>
        <v>0</v>
      </c>
      <c r="EV30" s="64">
        <f>ES30+ET30+EU30</f>
        <v>828.95999999999992</v>
      </c>
      <c r="EW30" s="64">
        <f>IF(AA30="YES",3.5*18.2,0)</f>
        <v>0</v>
      </c>
      <c r="EX30" s="64">
        <f>EV30-EW30</f>
        <v>828.95999999999992</v>
      </c>
    </row>
    <row r="31" spans="1:154" ht="15" x14ac:dyDescent="0.2">
      <c r="A31" s="29" t="s">
        <v>1182</v>
      </c>
      <c r="B31" s="29">
        <v>91</v>
      </c>
      <c r="C31" s="29" t="s">
        <v>384</v>
      </c>
      <c r="D31" s="29" t="s">
        <v>384</v>
      </c>
      <c r="E31" s="29" t="str">
        <f>VLOOKUP(D31,Harvest_2017_Formulae!$C$2:$D$968,2,FALSE)</f>
        <v>SABILO</v>
      </c>
      <c r="F31" s="29" t="s">
        <v>1175</v>
      </c>
      <c r="G31" s="29">
        <v>0</v>
      </c>
      <c r="H31" s="61" t="str">
        <f>IF(G31&lt;0.05,"Homefield",IF(G31&lt;0.5,"Midfield","outfield"))</f>
        <v>Homefield</v>
      </c>
      <c r="I31" s="29" t="s">
        <v>557</v>
      </c>
      <c r="J31" s="61" t="s">
        <v>2233</v>
      </c>
      <c r="K31" s="61" t="s">
        <v>2233</v>
      </c>
      <c r="L31" s="67">
        <v>1</v>
      </c>
      <c r="M31" s="29">
        <v>2</v>
      </c>
      <c r="N31" s="29">
        <v>0</v>
      </c>
      <c r="O31" s="29" t="s">
        <v>567</v>
      </c>
      <c r="P31" s="29">
        <v>0.60000002384185791</v>
      </c>
      <c r="Q31" s="67">
        <v>0</v>
      </c>
      <c r="R31" s="29" t="s">
        <v>547</v>
      </c>
      <c r="T31" s="29">
        <v>0.60000002384185791</v>
      </c>
      <c r="U31" s="29" t="s">
        <v>560</v>
      </c>
      <c r="W31" s="29" t="s">
        <v>561</v>
      </c>
      <c r="Z31" s="29" t="s">
        <v>547</v>
      </c>
      <c r="AA31" s="61" t="s">
        <v>548</v>
      </c>
      <c r="AB31" s="29" t="s">
        <v>568</v>
      </c>
      <c r="AC31" s="67">
        <v>0</v>
      </c>
      <c r="AD31" s="29" t="s">
        <v>547</v>
      </c>
      <c r="AF31" s="29" t="s">
        <v>547</v>
      </c>
      <c r="AG31" s="29" t="s">
        <v>547</v>
      </c>
      <c r="AH31" s="29" t="s">
        <v>548</v>
      </c>
      <c r="AI31" s="29" t="s">
        <v>546</v>
      </c>
      <c r="AK31" s="67">
        <v>0</v>
      </c>
      <c r="AL31" s="29" t="s">
        <v>547</v>
      </c>
      <c r="AO31" s="29" t="s">
        <v>547</v>
      </c>
      <c r="AP31" s="29" t="s">
        <v>547</v>
      </c>
      <c r="AQ31" s="4">
        <f>Q31+AK31</f>
        <v>0</v>
      </c>
      <c r="AR31" s="4">
        <f>L31+AC31</f>
        <v>1</v>
      </c>
      <c r="AS31" t="str">
        <f>AQ31&amp;AR31</f>
        <v>01</v>
      </c>
      <c r="AT31" s="49">
        <f>AQ31-AR31</f>
        <v>-1</v>
      </c>
      <c r="AU31">
        <v>0</v>
      </c>
      <c r="AV31" s="29" t="s">
        <v>548</v>
      </c>
      <c r="AW31" s="29">
        <v>1.5</v>
      </c>
      <c r="AX31" s="29" t="s">
        <v>548</v>
      </c>
      <c r="AY31" s="29">
        <v>1</v>
      </c>
      <c r="AZ31" s="29">
        <v>2</v>
      </c>
      <c r="BA31" s="29" t="s">
        <v>548</v>
      </c>
      <c r="BB31" s="29" t="s">
        <v>569</v>
      </c>
      <c r="BC31" s="29">
        <v>1</v>
      </c>
      <c r="BD31" s="29">
        <f>AW31+AZ31</f>
        <v>3.5</v>
      </c>
      <c r="BE31" s="29">
        <f>BD31+BC31</f>
        <v>4.5</v>
      </c>
      <c r="BF31" s="29" t="s">
        <v>548</v>
      </c>
      <c r="BG31" s="29" t="s">
        <v>548</v>
      </c>
      <c r="BH31" s="29" t="s">
        <v>546</v>
      </c>
      <c r="BI31" s="29" t="s">
        <v>548</v>
      </c>
      <c r="BJ31" s="29" t="s">
        <v>546</v>
      </c>
      <c r="BK31" s="29" t="s">
        <v>546</v>
      </c>
      <c r="BL31" s="29">
        <v>6</v>
      </c>
      <c r="BM31" s="29" t="s">
        <v>580</v>
      </c>
      <c r="BN31" s="29">
        <v>1</v>
      </c>
      <c r="BO31" s="29" t="s">
        <v>580</v>
      </c>
      <c r="BQ31" s="29" t="s">
        <v>547</v>
      </c>
      <c r="BR31" s="29">
        <v>7</v>
      </c>
      <c r="BS31" s="29" t="s">
        <v>580</v>
      </c>
      <c r="BU31" s="29" t="s">
        <v>547</v>
      </c>
      <c r="BW31" s="29">
        <f>(BL31*1)+(BN31*0.1)+(BP31*0.01)+(BR31*0.1)+(BT31*0.3)+(BV31*0.4)</f>
        <v>6.8</v>
      </c>
      <c r="BX31" s="29" t="s">
        <v>2220</v>
      </c>
      <c r="BY31" s="29">
        <v>1</v>
      </c>
      <c r="BZ31" s="29">
        <v>1</v>
      </c>
      <c r="CA31" s="29">
        <v>5</v>
      </c>
      <c r="CB31" s="29">
        <v>7</v>
      </c>
      <c r="CC31" s="29">
        <v>0</v>
      </c>
      <c r="CD31" s="29">
        <v>0</v>
      </c>
      <c r="CE31" s="29">
        <v>1</v>
      </c>
      <c r="CG31" s="29">
        <f>(CC31*15)+(CD31*0.8)+(CE31*0.3)+((AW31+AZ31)*15)</f>
        <v>52.8</v>
      </c>
      <c r="CH31" s="29" t="s">
        <v>2220</v>
      </c>
      <c r="CI31" s="29">
        <f>(BL31*1)+(BN31*0.1)+(BP31*0.01)+(BR31*0.1)+(BT31*0.3)+(BV31*0.4)+(CC31*15)+(CD31*0.8)+(CE31*0.3)+((AW31+AZ31)*15)</f>
        <v>59.6</v>
      </c>
      <c r="CJ31" s="29" t="s">
        <v>548</v>
      </c>
      <c r="CK31" s="29" t="s">
        <v>1233</v>
      </c>
      <c r="CL31" s="29" t="s">
        <v>548</v>
      </c>
      <c r="CM31" s="29" t="s">
        <v>793</v>
      </c>
      <c r="CN31" s="29">
        <v>1.5</v>
      </c>
      <c r="CO31" s="29">
        <v>1</v>
      </c>
      <c r="CP31" s="29">
        <v>0</v>
      </c>
      <c r="CQ31" s="29" t="s">
        <v>548</v>
      </c>
      <c r="CR31" s="29">
        <v>1</v>
      </c>
      <c r="CS31" s="29">
        <v>20</v>
      </c>
      <c r="CT31" s="29" t="s">
        <v>551</v>
      </c>
      <c r="CU31" s="30">
        <v>4.8</v>
      </c>
      <c r="CW31" s="29">
        <v>999</v>
      </c>
      <c r="CX31" s="29" t="s">
        <v>551</v>
      </c>
      <c r="CY31" s="62"/>
      <c r="CZ31" s="29">
        <v>1</v>
      </c>
      <c r="DA31" s="29">
        <v>1</v>
      </c>
      <c r="DB31" s="29" t="s">
        <v>551</v>
      </c>
      <c r="DC31" s="62">
        <v>0.24</v>
      </c>
      <c r="DD31" s="29" t="s">
        <v>546</v>
      </c>
      <c r="DE31" s="29" t="s">
        <v>548</v>
      </c>
      <c r="DF31" s="29" t="s">
        <v>546</v>
      </c>
      <c r="DG31" s="29" t="s">
        <v>546</v>
      </c>
      <c r="DH31" s="29" t="s">
        <v>548</v>
      </c>
      <c r="DI31" s="29">
        <v>2</v>
      </c>
      <c r="DJ31" s="29">
        <v>4</v>
      </c>
      <c r="DK31" s="29" t="s">
        <v>1234</v>
      </c>
      <c r="DL31" s="29" t="s">
        <v>1235</v>
      </c>
      <c r="DM31" s="29">
        <v>-4.3563408851623535</v>
      </c>
      <c r="DN31" s="29">
        <v>35.484050750732422</v>
      </c>
      <c r="DO31" s="29">
        <v>1703.699951171875</v>
      </c>
      <c r="DP31" s="29">
        <v>10</v>
      </c>
      <c r="DQ31" s="29">
        <v>1705231439</v>
      </c>
      <c r="DR31" s="29" t="s">
        <v>1236</v>
      </c>
      <c r="DS31" s="31">
        <v>42927.345289351855</v>
      </c>
      <c r="DT31" s="31">
        <v>42895.506284722222</v>
      </c>
      <c r="DU31" s="31">
        <v>42923.465960648144</v>
      </c>
      <c r="DV31" s="32">
        <v>42769</v>
      </c>
      <c r="DX31" s="44">
        <v>4.5914657210401897</v>
      </c>
      <c r="DY31" s="44">
        <v>5.5844444444444452</v>
      </c>
      <c r="DZ31" s="44">
        <v>6.4490046296296288</v>
      </c>
      <c r="EA31" s="44">
        <v>8.8906481481481485</v>
      </c>
      <c r="EC31" s="29" t="str">
        <f>IF(EQ31&lt;EP31,"FALSEE",1)</f>
        <v>FALSEE</v>
      </c>
      <c r="EE31" s="29" t="s">
        <v>2171</v>
      </c>
      <c r="EF31" s="29">
        <v>4.3402504921</v>
      </c>
      <c r="EG31" s="29" t="str">
        <f>IF(EF31&lt;0.5,"Depression",IF(EF31&lt;2,"Very gentle",IF(EF31&lt;5,"Gentle",IF(EF31&lt;9,"Moderate",IF(EF31&lt;15,"Strong",IF(EF31&lt;30,"Steep",IF(EF31&lt;1,"Very steep")))))))</f>
        <v>Gentle</v>
      </c>
      <c r="EH31" s="29" t="s">
        <v>2173</v>
      </c>
      <c r="EI31" s="29">
        <v>0.27193418145199999</v>
      </c>
      <c r="EJ31" s="43">
        <v>8.3939695358299993</v>
      </c>
      <c r="EK31" s="43">
        <f>VLOOKUP(D31,[1]SoilData!$G$15:$K$237,5,FALSE)</f>
        <v>7.5674881388867741</v>
      </c>
      <c r="EL31" s="43">
        <f>VLOOKUP(D31,[1]SoilData!$G$245:$K$451,5,FALSE)</f>
        <v>56.040792301091408</v>
      </c>
      <c r="EM31" s="43">
        <f>VLOOKUP(D31,[1]SoilData!$G$15:$M$238,7,FALSE)</f>
        <v>1.4450000000000001</v>
      </c>
      <c r="EN31" s="43">
        <f>VLOOKUP(D31,[1]SoilData!$G$245:$M$454,7,FALSE)</f>
        <v>1.306</v>
      </c>
      <c r="EO31" s="60">
        <f>EM31-EN31</f>
        <v>0.13900000000000001</v>
      </c>
      <c r="EP31" s="44">
        <f>AVERAGE(DZ31:EA31)</f>
        <v>7.6698263888888887</v>
      </c>
      <c r="EQ31" s="44">
        <f>AVERAGE(DX31:DY31)</f>
        <v>5.087955082742317</v>
      </c>
      <c r="ER31" s="43">
        <f>EQ31-EP31</f>
        <v>-2.5818713061465717</v>
      </c>
      <c r="ES31" s="64">
        <f>IF(CU31&gt;0.000001,CU31*352,0)</f>
        <v>1689.6</v>
      </c>
      <c r="ET31" s="64">
        <f>IF(DC31&gt;0.0001,DC31*682,0)</f>
        <v>163.68</v>
      </c>
      <c r="EU31" s="64">
        <f>CY31*795</f>
        <v>0</v>
      </c>
      <c r="EV31" s="64">
        <f>ES31+ET31+EU31</f>
        <v>1853.28</v>
      </c>
      <c r="EW31" s="64">
        <f>IF(AA31="YES",3.5*18.2,0)</f>
        <v>63.699999999999996</v>
      </c>
      <c r="EX31" s="64">
        <f>EV31-EW31</f>
        <v>1789.58</v>
      </c>
    </row>
    <row r="32" spans="1:154" ht="15" x14ac:dyDescent="0.2">
      <c r="A32" s="29" t="s">
        <v>556</v>
      </c>
      <c r="B32" s="29">
        <v>115</v>
      </c>
      <c r="C32" s="29" t="s">
        <v>396</v>
      </c>
      <c r="D32" s="29" t="s">
        <v>396</v>
      </c>
      <c r="E32" s="29" t="str">
        <f>VLOOKUP(D32,Harvest_2017_Formulae!$C$2:$D$968,2,FALSE)</f>
        <v>SELOTO</v>
      </c>
      <c r="F32" s="29" t="s">
        <v>1310</v>
      </c>
      <c r="G32" s="29">
        <v>2</v>
      </c>
      <c r="H32" s="61" t="str">
        <f>IF(G32&lt;0.05,"Homefield",IF(G32&lt;0.5,"Midfield","outfield"))</f>
        <v>outfield</v>
      </c>
      <c r="I32" s="29" t="s">
        <v>557</v>
      </c>
      <c r="J32" s="61" t="s">
        <v>2233</v>
      </c>
      <c r="K32" s="61" t="s">
        <v>2233</v>
      </c>
      <c r="L32" s="67">
        <v>1</v>
      </c>
      <c r="M32" s="29">
        <v>7</v>
      </c>
      <c r="O32" s="29" t="s">
        <v>1320</v>
      </c>
      <c r="P32" s="29" t="s">
        <v>559</v>
      </c>
      <c r="Q32" s="67">
        <v>0</v>
      </c>
      <c r="R32" s="29" t="s">
        <v>547</v>
      </c>
      <c r="U32" s="29" t="s">
        <v>547</v>
      </c>
      <c r="W32" s="29" t="s">
        <v>547</v>
      </c>
      <c r="Z32" s="29" t="s">
        <v>547</v>
      </c>
      <c r="AA32" s="61" t="s">
        <v>546</v>
      </c>
      <c r="AB32" s="29" t="s">
        <v>547</v>
      </c>
      <c r="AC32" s="67">
        <v>0</v>
      </c>
      <c r="AD32" s="29" t="s">
        <v>547</v>
      </c>
      <c r="AF32" s="29" t="s">
        <v>547</v>
      </c>
      <c r="AG32" s="29" t="s">
        <v>547</v>
      </c>
      <c r="AH32" s="29" t="s">
        <v>546</v>
      </c>
      <c r="AI32" s="29" t="s">
        <v>546</v>
      </c>
      <c r="AJ32" s="29" t="s">
        <v>547</v>
      </c>
      <c r="AK32" s="67">
        <v>1</v>
      </c>
      <c r="AL32" s="29" t="s">
        <v>1104</v>
      </c>
      <c r="AM32" s="29">
        <v>2</v>
      </c>
      <c r="AN32" s="29">
        <v>4</v>
      </c>
      <c r="AO32" s="29">
        <v>5000</v>
      </c>
      <c r="AP32" s="29" t="s">
        <v>547</v>
      </c>
      <c r="AQ32" s="4">
        <f>Q32+AK32</f>
        <v>1</v>
      </c>
      <c r="AR32" s="4">
        <f>L32+AC32</f>
        <v>1</v>
      </c>
      <c r="AS32" t="str">
        <f>AQ32&amp;AR32</f>
        <v>11</v>
      </c>
      <c r="AT32" s="49">
        <f>AQ32-AR32</f>
        <v>0</v>
      </c>
      <c r="AU32">
        <v>1</v>
      </c>
      <c r="AV32" s="29" t="s">
        <v>548</v>
      </c>
      <c r="AW32" s="29">
        <v>0.5</v>
      </c>
      <c r="AX32" s="29" t="s">
        <v>548</v>
      </c>
      <c r="AY32" s="29">
        <v>2</v>
      </c>
      <c r="AZ32" s="29">
        <v>1.5</v>
      </c>
      <c r="BA32" s="29" t="s">
        <v>546</v>
      </c>
      <c r="BB32" s="29" t="s">
        <v>547</v>
      </c>
      <c r="BD32" s="29">
        <f>AW32+AZ32</f>
        <v>2</v>
      </c>
      <c r="BE32" s="29">
        <f>BD32+BC32</f>
        <v>2</v>
      </c>
      <c r="BF32" s="29" t="s">
        <v>546</v>
      </c>
      <c r="BG32" s="29" t="s">
        <v>546</v>
      </c>
      <c r="BH32" s="29" t="s">
        <v>546</v>
      </c>
      <c r="BI32" s="29" t="s">
        <v>546</v>
      </c>
      <c r="BJ32" s="29" t="s">
        <v>546</v>
      </c>
      <c r="BK32" s="29" t="s">
        <v>546</v>
      </c>
      <c r="BM32" s="29" t="s">
        <v>547</v>
      </c>
      <c r="BO32" s="29" t="s">
        <v>547</v>
      </c>
      <c r="BQ32" s="29" t="s">
        <v>547</v>
      </c>
      <c r="BS32" s="29" t="s">
        <v>547</v>
      </c>
      <c r="BU32" s="29" t="s">
        <v>547</v>
      </c>
      <c r="BW32" s="29">
        <f>(BL32*1)+(BN32*0.1)+(BP32*0.01)+(BR32*0.1)+(BT32*0.3)+(BV32*0.4)</f>
        <v>0</v>
      </c>
      <c r="BX32" s="29" t="s">
        <v>2223</v>
      </c>
      <c r="BY32" s="29">
        <v>1</v>
      </c>
      <c r="BZ32" s="29">
        <v>0</v>
      </c>
      <c r="CA32" s="29">
        <v>0</v>
      </c>
      <c r="CB32" s="29">
        <v>1</v>
      </c>
      <c r="CC32" s="29">
        <v>0</v>
      </c>
      <c r="CD32" s="29">
        <v>0</v>
      </c>
      <c r="CE32" s="29">
        <v>0</v>
      </c>
      <c r="CG32" s="29">
        <f>(CC32*15)+(CD32*0.8)+(CE32*0.3)+((AW32+AZ32)*15)</f>
        <v>30</v>
      </c>
      <c r="CH32" s="29" t="s">
        <v>2220</v>
      </c>
      <c r="CI32" s="29">
        <f>(BL32*1)+(BN32*0.1)+(BP32*0.01)+(BR32*0.1)+(BT32*0.3)+(BV32*0.4)+(CC32*15)+(CD32*0.8)+(CE32*0.3)+((AW32+AZ32)*15)</f>
        <v>30</v>
      </c>
      <c r="CJ32" s="29" t="s">
        <v>546</v>
      </c>
      <c r="CK32" s="29" t="s">
        <v>547</v>
      </c>
      <c r="CL32" s="29" t="s">
        <v>548</v>
      </c>
      <c r="CM32" s="29" t="s">
        <v>550</v>
      </c>
      <c r="CN32" s="29">
        <v>0.25</v>
      </c>
      <c r="CO32" s="29">
        <v>1</v>
      </c>
      <c r="CP32" s="29">
        <v>0</v>
      </c>
      <c r="CQ32" s="29" t="s">
        <v>546</v>
      </c>
      <c r="CR32" s="29">
        <v>1.5</v>
      </c>
      <c r="CS32" s="29">
        <v>15</v>
      </c>
      <c r="CT32" s="29" t="s">
        <v>551</v>
      </c>
      <c r="CU32" s="30">
        <v>2.4</v>
      </c>
      <c r="CV32" s="29">
        <v>1.5</v>
      </c>
      <c r="CW32" s="29">
        <v>1.1499999761581421</v>
      </c>
      <c r="CX32" s="29" t="s">
        <v>551</v>
      </c>
      <c r="CY32" s="62">
        <v>0.18399999618530272</v>
      </c>
      <c r="CZ32" s="29">
        <v>1.5</v>
      </c>
      <c r="DA32" s="29">
        <v>1</v>
      </c>
      <c r="DB32" s="29" t="s">
        <v>551</v>
      </c>
      <c r="DC32" s="62">
        <v>0.16</v>
      </c>
      <c r="DD32" s="29" t="s">
        <v>546</v>
      </c>
      <c r="DE32" s="29" t="s">
        <v>548</v>
      </c>
      <c r="DF32" s="29" t="s">
        <v>548</v>
      </c>
      <c r="DG32" s="29" t="s">
        <v>546</v>
      </c>
      <c r="DH32" s="29" t="s">
        <v>546</v>
      </c>
      <c r="DI32" s="29">
        <v>2</v>
      </c>
      <c r="DJ32" s="29">
        <v>2</v>
      </c>
      <c r="DK32" s="29" t="s">
        <v>1321</v>
      </c>
      <c r="DL32" s="29" t="s">
        <v>1322</v>
      </c>
      <c r="DM32" s="29">
        <v>-4.2548995018005371</v>
      </c>
      <c r="DN32" s="29">
        <v>35.5269775390625</v>
      </c>
      <c r="DO32" s="29">
        <v>1632.199951171875</v>
      </c>
      <c r="DP32" s="29">
        <v>5</v>
      </c>
      <c r="DQ32" s="29">
        <v>1706031849</v>
      </c>
      <c r="DR32" s="29" t="s">
        <v>1323</v>
      </c>
      <c r="DS32" s="31">
        <v>42906.498958333337</v>
      </c>
      <c r="DT32" s="31">
        <v>42903.5081712963</v>
      </c>
      <c r="DU32" s="31">
        <v>42903.529016203705</v>
      </c>
      <c r="DV32" s="32">
        <v>43097</v>
      </c>
      <c r="DX32" s="44">
        <v>2.4616577060931899</v>
      </c>
      <c r="DY32" s="44">
        <v>3.3549462365591403</v>
      </c>
      <c r="DZ32" s="44">
        <v>5.6074572649572643</v>
      </c>
      <c r="EA32" s="44">
        <v>3.3982264957264956</v>
      </c>
      <c r="EC32" s="29" t="str">
        <f>IF(EQ32&lt;EP32,"FALSEE",1)</f>
        <v>FALSEE</v>
      </c>
      <c r="EE32" s="29" t="s">
        <v>2171</v>
      </c>
      <c r="EF32" s="29">
        <v>1.0756396055199999</v>
      </c>
      <c r="EG32" s="29" t="str">
        <f>IF(EF32&lt;0.5,"Depression",IF(EF32&lt;2,"Very gentle",IF(EF32&lt;5,"Gentle",IF(EF32&lt;9,"Moderate",IF(EF32&lt;15,"Strong",IF(EF32&lt;30,"Steep",IF(EF32&lt;1,"Very steep")))))))</f>
        <v>Very gentle</v>
      </c>
      <c r="EH32" s="29" t="s">
        <v>2173</v>
      </c>
      <c r="EI32" s="29">
        <v>0.18129228055499999</v>
      </c>
      <c r="EJ32" s="43">
        <v>8.9439697265600007</v>
      </c>
      <c r="EK32" s="43">
        <f>VLOOKUP(D32,[1]SoilData!$G$15:$K$237,5,FALSE)</f>
        <v>249.41135641267942</v>
      </c>
      <c r="EL32" s="43">
        <f>VLOOKUP(D32,[1]SoilData!$G$245:$K$451,5,FALSE)</f>
        <v>20.323620813151283</v>
      </c>
      <c r="EM32" s="43">
        <f>VLOOKUP(D32,[1]SoilData!$G$15:$M$238,7,FALSE)</f>
        <v>1.3580000000000001</v>
      </c>
      <c r="EN32" s="43">
        <f>VLOOKUP(D32,[1]SoilData!$G$245:$M$454,7,FALSE)</f>
        <v>1.29</v>
      </c>
      <c r="EO32" s="60">
        <f>EM32-EN32</f>
        <v>6.800000000000006E-2</v>
      </c>
      <c r="EP32" s="44">
        <f>AVERAGE(DZ32:EA32)</f>
        <v>4.5028418803418795</v>
      </c>
      <c r="EQ32" s="44">
        <f>AVERAGE(DX32:DY32)</f>
        <v>2.9083019713261651</v>
      </c>
      <c r="ER32" s="43">
        <f>EQ32-EP32</f>
        <v>-1.5945399090157144</v>
      </c>
      <c r="ES32" s="64">
        <f>IF(CU32&gt;0.000001,CU32*352,0)</f>
        <v>844.8</v>
      </c>
      <c r="ET32" s="64">
        <f>IF(DC32&gt;0.0001,DC32*682,0)</f>
        <v>109.12</v>
      </c>
      <c r="EU32" s="64">
        <f>CY32*795</f>
        <v>146.27999696731567</v>
      </c>
      <c r="EV32" s="64">
        <f>ES32+ET32+EU32</f>
        <v>1100.1999969673157</v>
      </c>
      <c r="EW32" s="64">
        <f>IF(AA32="YES",3.5*18.2,0)</f>
        <v>0</v>
      </c>
      <c r="EX32" s="64">
        <f>EV32-EW32</f>
        <v>1100.1999969673157</v>
      </c>
    </row>
    <row r="33" spans="1:154" ht="15" x14ac:dyDescent="0.2">
      <c r="A33" s="29" t="s">
        <v>789</v>
      </c>
      <c r="B33" s="29">
        <v>82</v>
      </c>
      <c r="C33" s="29" t="s">
        <v>198</v>
      </c>
      <c r="D33" s="29" t="s">
        <v>198</v>
      </c>
      <c r="E33" s="29" t="str">
        <f>VLOOKUP(D33,Harvest_2017_Formulae!$C$2:$D$968,2,FALSE)</f>
        <v>MANDI</v>
      </c>
      <c r="F33" s="29" t="s">
        <v>1014</v>
      </c>
      <c r="G33" s="29">
        <v>0.5</v>
      </c>
      <c r="H33" s="61" t="str">
        <f>IF(G33&lt;0.05,"Homefield",IF(G33&lt;0.5,"Midfield","outfield"))</f>
        <v>outfield</v>
      </c>
      <c r="I33" s="29" t="s">
        <v>805</v>
      </c>
      <c r="J33" s="61" t="s">
        <v>2233</v>
      </c>
      <c r="K33" s="61" t="s">
        <v>2233</v>
      </c>
      <c r="L33" s="67">
        <v>1</v>
      </c>
      <c r="M33" s="29">
        <v>3</v>
      </c>
      <c r="N33" s="29">
        <v>10000</v>
      </c>
      <c r="O33" s="29" t="s">
        <v>547</v>
      </c>
      <c r="P33" s="29">
        <v>0.5</v>
      </c>
      <c r="Q33" s="67">
        <v>0</v>
      </c>
      <c r="R33" s="29" t="s">
        <v>547</v>
      </c>
      <c r="T33" s="29" t="s">
        <v>559</v>
      </c>
      <c r="U33" s="29" t="s">
        <v>560</v>
      </c>
      <c r="W33" s="41" t="s">
        <v>635</v>
      </c>
      <c r="Z33" s="29" t="s">
        <v>547</v>
      </c>
      <c r="AA33" s="61" t="s">
        <v>548</v>
      </c>
      <c r="AB33" s="29" t="s">
        <v>614</v>
      </c>
      <c r="AC33" s="67">
        <v>0</v>
      </c>
      <c r="AD33" s="29" t="s">
        <v>547</v>
      </c>
      <c r="AF33" s="29" t="s">
        <v>547</v>
      </c>
      <c r="AG33" s="29" t="s">
        <v>547</v>
      </c>
      <c r="AH33" s="29" t="s">
        <v>548</v>
      </c>
      <c r="AI33" s="29" t="s">
        <v>546</v>
      </c>
      <c r="AK33" s="67">
        <v>1</v>
      </c>
      <c r="AL33" s="29">
        <v>3</v>
      </c>
      <c r="AM33" s="29">
        <v>1</v>
      </c>
      <c r="AN33" s="29">
        <v>10</v>
      </c>
      <c r="AO33" s="29">
        <v>10000</v>
      </c>
      <c r="AP33" s="29" t="s">
        <v>547</v>
      </c>
      <c r="AQ33" s="4">
        <f>Q33+AK33</f>
        <v>1</v>
      </c>
      <c r="AR33" s="4">
        <f>L33+AC33</f>
        <v>1</v>
      </c>
      <c r="AS33" t="str">
        <f>AQ33&amp;AR33</f>
        <v>11</v>
      </c>
      <c r="AT33" s="49">
        <f>AQ33-AR33</f>
        <v>0</v>
      </c>
      <c r="AU33" s="29">
        <v>1</v>
      </c>
      <c r="AV33" s="29" t="s">
        <v>548</v>
      </c>
      <c r="AW33" s="29">
        <v>1</v>
      </c>
      <c r="AX33" s="29" t="s">
        <v>546</v>
      </c>
      <c r="BA33" s="29" t="s">
        <v>548</v>
      </c>
      <c r="BB33" s="29" t="s">
        <v>569</v>
      </c>
      <c r="BC33" s="29">
        <v>2.25</v>
      </c>
      <c r="BD33" s="29">
        <f>AW33+AZ33</f>
        <v>1</v>
      </c>
      <c r="BE33" s="29">
        <f>BD33+BC33</f>
        <v>3.25</v>
      </c>
      <c r="BF33" s="29" t="s">
        <v>546</v>
      </c>
      <c r="BG33" s="29" t="s">
        <v>546</v>
      </c>
      <c r="BH33" s="29" t="s">
        <v>548</v>
      </c>
      <c r="BI33" s="29" t="s">
        <v>546</v>
      </c>
      <c r="BJ33" s="29" t="s">
        <v>546</v>
      </c>
      <c r="BK33" s="29" t="s">
        <v>546</v>
      </c>
      <c r="BM33" s="29" t="s">
        <v>547</v>
      </c>
      <c r="BO33" s="29" t="s">
        <v>547</v>
      </c>
      <c r="BP33" s="29">
        <v>4</v>
      </c>
      <c r="BQ33" s="29" t="s">
        <v>580</v>
      </c>
      <c r="BS33" s="29" t="s">
        <v>547</v>
      </c>
      <c r="BU33" s="29" t="s">
        <v>547</v>
      </c>
      <c r="BW33" s="29">
        <f>(BL33*1)+(BN33*0.1)+(BP33*0.01)+(BR33*0.1)+(BT33*0.3)+(BV33*0.4)</f>
        <v>0.04</v>
      </c>
      <c r="BX33" s="29" t="s">
        <v>2223</v>
      </c>
      <c r="BY33" s="29">
        <v>1</v>
      </c>
      <c r="BZ33" s="29">
        <v>0</v>
      </c>
      <c r="CA33" s="29">
        <v>0</v>
      </c>
      <c r="CB33" s="29">
        <v>1</v>
      </c>
      <c r="CC33" s="29">
        <v>0</v>
      </c>
      <c r="CD33" s="29">
        <v>0</v>
      </c>
      <c r="CE33" s="29">
        <v>0</v>
      </c>
      <c r="CG33" s="29">
        <f>(CC33*15)+(CD33*0.8)+(CE33*0.3)+((AW33+AZ33)*15)</f>
        <v>15</v>
      </c>
      <c r="CH33" s="29" t="s">
        <v>2219</v>
      </c>
      <c r="CI33" s="29">
        <f>(BL33*1)+(BN33*0.1)+(BP33*0.01)+(BR33*0.1)+(BT33*0.3)+(BV33*0.4)+(CC33*15)+(CD33*0.8)+(CE33*0.3)+((AW33+AZ33)*15)</f>
        <v>15.04</v>
      </c>
      <c r="CJ33" s="29" t="s">
        <v>548</v>
      </c>
      <c r="CK33" s="29" t="s">
        <v>1027</v>
      </c>
      <c r="CL33" s="29" t="s">
        <v>548</v>
      </c>
      <c r="CM33" s="29" t="s">
        <v>1028</v>
      </c>
      <c r="CN33" s="29">
        <v>0.5</v>
      </c>
      <c r="CO33" s="29">
        <v>1.5</v>
      </c>
      <c r="CP33" s="29">
        <v>0</v>
      </c>
      <c r="CQ33" s="29" t="s">
        <v>548</v>
      </c>
      <c r="CR33" s="29">
        <v>1</v>
      </c>
      <c r="CS33" s="29">
        <v>10</v>
      </c>
      <c r="CT33" s="29" t="s">
        <v>551</v>
      </c>
      <c r="CU33" s="30">
        <v>2.4</v>
      </c>
      <c r="CV33" s="29">
        <v>1</v>
      </c>
      <c r="CW33" s="29">
        <v>1</v>
      </c>
      <c r="CX33" s="29" t="s">
        <v>551</v>
      </c>
      <c r="CY33" s="62">
        <v>0.24</v>
      </c>
      <c r="DA33" s="29">
        <v>999</v>
      </c>
      <c r="DB33" s="29" t="s">
        <v>551</v>
      </c>
      <c r="DC33" s="62"/>
      <c r="DD33" s="29" t="s">
        <v>546</v>
      </c>
      <c r="DE33" s="29" t="s">
        <v>546</v>
      </c>
      <c r="DF33" s="29" t="s">
        <v>546</v>
      </c>
      <c r="DG33" s="29" t="s">
        <v>548</v>
      </c>
      <c r="DH33" s="29" t="s">
        <v>546</v>
      </c>
      <c r="DI33" s="29">
        <v>1</v>
      </c>
      <c r="DJ33" s="29">
        <v>4</v>
      </c>
      <c r="DK33" s="29" t="s">
        <v>1029</v>
      </c>
      <c r="DL33" s="29" t="s">
        <v>1030</v>
      </c>
      <c r="DM33" s="29">
        <v>-4.3320112228393555</v>
      </c>
      <c r="DN33" s="29">
        <v>35.442691802978516</v>
      </c>
      <c r="DO33" s="29">
        <v>1564</v>
      </c>
      <c r="DP33" s="29">
        <v>5</v>
      </c>
      <c r="DQ33" s="29">
        <v>1705231439</v>
      </c>
      <c r="DR33" s="29" t="s">
        <v>1031</v>
      </c>
      <c r="DS33" s="31">
        <v>42923.387152777781</v>
      </c>
      <c r="DT33" s="31">
        <v>42907.545219907406</v>
      </c>
      <c r="DU33" s="31">
        <v>42923.382268518515</v>
      </c>
      <c r="DV33" s="32">
        <v>42789</v>
      </c>
      <c r="DX33" s="44">
        <v>4.8893333333333331</v>
      </c>
      <c r="DY33" s="44">
        <v>2.7663333333333329</v>
      </c>
      <c r="DZ33" s="44">
        <v>1.1749382716049384</v>
      </c>
      <c r="EA33" s="44">
        <v>1.3265432098765431</v>
      </c>
      <c r="EC33" s="29">
        <f>IF(EQ33&lt;EP33,"FALSEE",1)</f>
        <v>1</v>
      </c>
      <c r="EE33" s="29" t="s">
        <v>2171</v>
      </c>
      <c r="EF33" s="29">
        <v>0.65533638000500005</v>
      </c>
      <c r="EG33" s="29" t="str">
        <f>IF(EF33&lt;0.5,"Depression",IF(EF33&lt;2,"Very gentle",IF(EF33&lt;5,"Gentle",IF(EF33&lt;9,"Moderate",IF(EF33&lt;15,"Strong",IF(EF33&lt;30,"Steep",IF(EF33&lt;1,"Very steep")))))))</f>
        <v>Very gentle</v>
      </c>
      <c r="EH33" s="29" t="s">
        <v>2173</v>
      </c>
      <c r="EI33" s="29">
        <v>8.4776775111099995E-6</v>
      </c>
      <c r="EJ33" s="43">
        <v>11.811529159499999</v>
      </c>
      <c r="EK33" s="43">
        <f>VLOOKUP(D33,[1]SoilData!$G$15:$K$237,5,FALSE)</f>
        <v>256.84934752251172</v>
      </c>
      <c r="EL33" s="43">
        <f>VLOOKUP(D33,[1]SoilData!$G$245:$K$451,5,FALSE)</f>
        <v>62.776520441084614</v>
      </c>
      <c r="EM33" s="43">
        <f>VLOOKUP(D33,[1]SoilData!$G$15:$M$238,7,FALSE)</f>
        <v>1.329</v>
      </c>
      <c r="EN33" s="43">
        <f>VLOOKUP(D33,[1]SoilData!$G$245:$M$454,7,FALSE)</f>
        <v>1.0049999999999999</v>
      </c>
      <c r="EO33" s="60">
        <f>EM33-EN33</f>
        <v>0.32400000000000007</v>
      </c>
      <c r="EP33" s="44">
        <f>AVERAGE(DZ33:EA33)</f>
        <v>1.2507407407407407</v>
      </c>
      <c r="EQ33" s="44">
        <f>AVERAGE(DX33:DY33)</f>
        <v>3.827833333333333</v>
      </c>
      <c r="ER33" s="43">
        <f>EQ33-EP33</f>
        <v>2.5770925925925923</v>
      </c>
      <c r="ES33" s="64">
        <f>IF(CU33&gt;0.000001,CU33*352,0)</f>
        <v>844.8</v>
      </c>
      <c r="ET33" s="64">
        <f>IF(DC33&gt;0.0001,DC33*682,0)</f>
        <v>0</v>
      </c>
      <c r="EU33" s="64">
        <f>CY33*795</f>
        <v>190.79999999999998</v>
      </c>
      <c r="EV33" s="64">
        <f>ES33+ET33+EU33</f>
        <v>1035.5999999999999</v>
      </c>
      <c r="EW33" s="64">
        <f>IF(AA33="YES",3.5*18.2,0)</f>
        <v>63.699999999999996</v>
      </c>
      <c r="EX33" s="64">
        <f>EV33-EW33</f>
        <v>971.89999999999986</v>
      </c>
    </row>
    <row r="34" spans="1:154" ht="15" x14ac:dyDescent="0.2">
      <c r="A34" s="29" t="s">
        <v>789</v>
      </c>
      <c r="B34" s="29">
        <v>81</v>
      </c>
      <c r="C34" s="29" t="s">
        <v>199</v>
      </c>
      <c r="D34" s="29" t="s">
        <v>199</v>
      </c>
      <c r="E34" s="29" t="str">
        <f>VLOOKUP(D34,Harvest_2017_Formulae!$C$2:$D$968,2,FALSE)</f>
        <v>MANDI</v>
      </c>
      <c r="F34" s="29" t="s">
        <v>1014</v>
      </c>
      <c r="G34" s="29">
        <v>1</v>
      </c>
      <c r="H34" s="61" t="str">
        <f>IF(G34&lt;0.05,"Homefield",IF(G34&lt;0.5,"Midfield","outfield"))</f>
        <v>outfield</v>
      </c>
      <c r="I34" s="29" t="s">
        <v>805</v>
      </c>
      <c r="J34" s="61" t="s">
        <v>2233</v>
      </c>
      <c r="K34" s="61" t="s">
        <v>2233</v>
      </c>
      <c r="L34" s="67">
        <v>1</v>
      </c>
      <c r="M34" s="29">
        <v>2</v>
      </c>
      <c r="O34" s="29" t="s">
        <v>1032</v>
      </c>
      <c r="P34" s="29">
        <v>0.20000000298023224</v>
      </c>
      <c r="Q34" s="67">
        <v>0</v>
      </c>
      <c r="R34" s="29" t="s">
        <v>547</v>
      </c>
      <c r="T34" s="29" t="s">
        <v>559</v>
      </c>
      <c r="U34" s="29" t="s">
        <v>560</v>
      </c>
      <c r="W34" s="41" t="s">
        <v>635</v>
      </c>
      <c r="Z34" s="29" t="s">
        <v>547</v>
      </c>
      <c r="AA34" s="61" t="s">
        <v>548</v>
      </c>
      <c r="AB34" s="29" t="s">
        <v>1033</v>
      </c>
      <c r="AC34" s="67">
        <v>0</v>
      </c>
      <c r="AD34" s="29" t="s">
        <v>547</v>
      </c>
      <c r="AF34" s="29" t="s">
        <v>547</v>
      </c>
      <c r="AG34" s="29" t="s">
        <v>547</v>
      </c>
      <c r="AH34" s="29" t="s">
        <v>548</v>
      </c>
      <c r="AI34" s="29" t="s">
        <v>546</v>
      </c>
      <c r="AK34" s="67">
        <v>1</v>
      </c>
      <c r="AL34" s="29">
        <v>2</v>
      </c>
      <c r="AM34" s="29">
        <v>1</v>
      </c>
      <c r="AN34" s="29">
        <v>10</v>
      </c>
      <c r="AO34" s="29" t="s">
        <v>547</v>
      </c>
      <c r="AP34" s="29" t="s">
        <v>825</v>
      </c>
      <c r="AQ34" s="4">
        <f>Q34+AK34</f>
        <v>1</v>
      </c>
      <c r="AR34" s="4">
        <f>L34+AC34</f>
        <v>1</v>
      </c>
      <c r="AS34" t="str">
        <f>AQ34&amp;AR34</f>
        <v>11</v>
      </c>
      <c r="AT34" s="49">
        <f>AQ34-AR34</f>
        <v>0</v>
      </c>
      <c r="AU34">
        <v>1</v>
      </c>
      <c r="AV34" s="29" t="s">
        <v>548</v>
      </c>
      <c r="AW34" s="29">
        <v>1</v>
      </c>
      <c r="AX34" s="29" t="s">
        <v>548</v>
      </c>
      <c r="AY34" s="29">
        <v>1</v>
      </c>
      <c r="AZ34" s="29">
        <v>0.25</v>
      </c>
      <c r="BA34" s="29" t="s">
        <v>548</v>
      </c>
      <c r="BB34" s="29" t="s">
        <v>1034</v>
      </c>
      <c r="BC34" s="29">
        <v>1.75</v>
      </c>
      <c r="BD34" s="29">
        <f>AW34+AZ34</f>
        <v>1.25</v>
      </c>
      <c r="BE34" s="29">
        <f>BD34+BC34</f>
        <v>3</v>
      </c>
      <c r="BF34" s="29" t="s">
        <v>546</v>
      </c>
      <c r="BG34" s="29" t="s">
        <v>546</v>
      </c>
      <c r="BH34" s="29" t="s">
        <v>548</v>
      </c>
      <c r="BI34" s="29" t="s">
        <v>546</v>
      </c>
      <c r="BJ34" s="29" t="s">
        <v>546</v>
      </c>
      <c r="BK34" s="29" t="s">
        <v>546</v>
      </c>
      <c r="BM34" s="29" t="s">
        <v>547</v>
      </c>
      <c r="BO34" s="29" t="s">
        <v>547</v>
      </c>
      <c r="BP34" s="29">
        <v>5</v>
      </c>
      <c r="BQ34" s="29" t="s">
        <v>580</v>
      </c>
      <c r="BS34" s="29" t="s">
        <v>547</v>
      </c>
      <c r="BU34" s="29" t="s">
        <v>547</v>
      </c>
      <c r="BW34" s="29">
        <f>(BL34*1)+(BN34*0.1)+(BP34*0.01)+(BR34*0.1)+(BT34*0.3)+(BV34*0.4)</f>
        <v>0.05</v>
      </c>
      <c r="BX34" s="29" t="s">
        <v>2223</v>
      </c>
      <c r="BY34" s="29">
        <v>1</v>
      </c>
      <c r="BZ34" s="29">
        <v>1</v>
      </c>
      <c r="CA34" s="29">
        <v>2</v>
      </c>
      <c r="CB34" s="29">
        <v>4</v>
      </c>
      <c r="CC34" s="29">
        <v>0</v>
      </c>
      <c r="CD34" s="29">
        <v>0</v>
      </c>
      <c r="CE34" s="29">
        <v>0</v>
      </c>
      <c r="CG34" s="29">
        <f>(CC34*15)+(CD34*0.8)+(CE34*0.3)+((AW34+AZ34)*15)</f>
        <v>18.75</v>
      </c>
      <c r="CH34" s="29" t="s">
        <v>2220</v>
      </c>
      <c r="CI34" s="29">
        <f>(BL34*1)+(BN34*0.1)+(BP34*0.01)+(BR34*0.1)+(BT34*0.3)+(BV34*0.4)+(CC34*15)+(CD34*0.8)+(CE34*0.3)+((AW34+AZ34)*15)</f>
        <v>18.8</v>
      </c>
      <c r="CJ34" s="29" t="s">
        <v>548</v>
      </c>
      <c r="CK34" s="29" t="s">
        <v>1035</v>
      </c>
      <c r="CL34" s="29" t="s">
        <v>548</v>
      </c>
      <c r="CM34" s="29" t="s">
        <v>1028</v>
      </c>
      <c r="CN34" s="29">
        <v>0.5</v>
      </c>
      <c r="CO34" s="29">
        <v>1</v>
      </c>
      <c r="CP34" s="29">
        <v>0</v>
      </c>
      <c r="CQ34" s="29" t="s">
        <v>548</v>
      </c>
      <c r="CS34" s="29">
        <v>999</v>
      </c>
      <c r="CT34" s="29" t="s">
        <v>551</v>
      </c>
      <c r="CW34" s="29">
        <v>999</v>
      </c>
      <c r="CX34" s="29" t="s">
        <v>551</v>
      </c>
      <c r="CY34" s="62"/>
      <c r="DA34" s="29">
        <v>999</v>
      </c>
      <c r="DB34" s="29" t="s">
        <v>551</v>
      </c>
      <c r="DC34" s="62"/>
      <c r="DD34" s="29" t="s">
        <v>548</v>
      </c>
      <c r="DE34" s="29" t="s">
        <v>546</v>
      </c>
      <c r="DF34" s="29" t="s">
        <v>546</v>
      </c>
      <c r="DG34" s="29" t="s">
        <v>548</v>
      </c>
      <c r="DH34" s="29" t="s">
        <v>546</v>
      </c>
      <c r="DI34" s="29">
        <v>2</v>
      </c>
      <c r="DJ34" s="29">
        <v>5</v>
      </c>
      <c r="DK34" s="29" t="s">
        <v>1036</v>
      </c>
      <c r="DL34" s="29" t="s">
        <v>1037</v>
      </c>
      <c r="DM34" s="29">
        <v>-4.3300871849060059</v>
      </c>
      <c r="DN34" s="29">
        <v>35.443668365478516</v>
      </c>
      <c r="DO34" s="29">
        <v>1549.699951171875</v>
      </c>
      <c r="DP34" s="29">
        <v>5</v>
      </c>
      <c r="DQ34" s="29">
        <v>1705231439</v>
      </c>
      <c r="DR34" s="29" t="s">
        <v>1038</v>
      </c>
      <c r="DS34" s="31">
        <v>42923.387141203704</v>
      </c>
      <c r="DT34" s="31">
        <v>42907.510914351849</v>
      </c>
      <c r="DU34" s="31">
        <v>42923.3825</v>
      </c>
      <c r="DV34" s="32">
        <v>42781</v>
      </c>
      <c r="DX34" s="44">
        <v>3.9555000000000002</v>
      </c>
      <c r="DY34" s="44">
        <v>4.4749090909090903</v>
      </c>
      <c r="DZ34" s="44">
        <v>4.5749360613810746</v>
      </c>
      <c r="EA34" s="44">
        <v>4.8368880455407979</v>
      </c>
      <c r="EC34" s="29" t="str">
        <f>IF(EQ34&lt;EP34,"FALSEE",1)</f>
        <v>FALSEE</v>
      </c>
      <c r="EE34" s="29" t="s">
        <v>2171</v>
      </c>
      <c r="EF34" s="29">
        <v>0</v>
      </c>
      <c r="EG34" s="29" t="str">
        <f>IF(EF34&lt;0.5,"Depression",IF(EF34&lt;2,"Very gentle",IF(EF34&lt;5,"Gentle",IF(EF34&lt;9,"Moderate",IF(EF34&lt;15,"Strong",IF(EF34&lt;30,"Steep",IF(EF34&lt;1,"Very steep")))))))</f>
        <v>Depression</v>
      </c>
      <c r="EH34" s="29" t="s">
        <v>2173</v>
      </c>
      <c r="EI34" s="29">
        <v>8.4776775111099995E-6</v>
      </c>
      <c r="EJ34" s="43">
        <v>11.4374370575</v>
      </c>
      <c r="EK34" s="43">
        <f>VLOOKUP(D34,[1]SoilData!$G$15:$K$237,5,FALSE)</f>
        <v>407.51114749361983</v>
      </c>
      <c r="EL34" s="43"/>
      <c r="EM34" s="43">
        <f>VLOOKUP(D34,[1]SoilData!$G$15:$M$238,7,FALSE)</f>
        <v>1.6459999999999999</v>
      </c>
      <c r="EN34" s="43"/>
      <c r="EO34" s="60"/>
      <c r="EP34" s="44">
        <f>AVERAGE(DZ34:EA34)</f>
        <v>4.7059120534609367</v>
      </c>
      <c r="EQ34" s="44">
        <f>AVERAGE(DX34:DY34)</f>
        <v>4.2152045454545455</v>
      </c>
      <c r="ER34" s="43">
        <f>EQ34-EP34</f>
        <v>-0.49070750800639118</v>
      </c>
      <c r="ES34" s="64">
        <f>IF(CU34&gt;0.000001,CU34*352,0)</f>
        <v>0</v>
      </c>
      <c r="ET34" s="64">
        <f>IF(DC34&gt;0.0001,DC34*682,0)</f>
        <v>0</v>
      </c>
      <c r="EU34" s="64">
        <f>CY34*795</f>
        <v>0</v>
      </c>
      <c r="EV34" s="64">
        <f>ES34+ET34+EU34</f>
        <v>0</v>
      </c>
      <c r="EW34" s="64">
        <f>IF(AA34="YES",3.5*18.2,0)</f>
        <v>63.699999999999996</v>
      </c>
      <c r="EX34" s="64">
        <f>EV34-EW34</f>
        <v>-63.699999999999996</v>
      </c>
    </row>
    <row r="35" spans="1:154" ht="15" x14ac:dyDescent="0.2">
      <c r="A35" s="29" t="s">
        <v>556</v>
      </c>
      <c r="B35" s="29">
        <v>179</v>
      </c>
      <c r="C35" s="29" t="s">
        <v>660</v>
      </c>
      <c r="D35" s="29" t="s">
        <v>96</v>
      </c>
      <c r="E35" s="29" t="str">
        <f>VLOOKUP(D35,Harvest_2017_Formulae!$C$2:$D$968,2,FALSE)</f>
        <v>DURU</v>
      </c>
      <c r="F35" s="29" t="s">
        <v>645</v>
      </c>
      <c r="G35" s="29">
        <v>2</v>
      </c>
      <c r="H35" s="61" t="str">
        <f>IF(G35&lt;0.05,"Homefield",IF(G35&lt;0.5,"Midfield","outfield"))</f>
        <v>outfield</v>
      </c>
      <c r="I35" s="29" t="s">
        <v>557</v>
      </c>
      <c r="J35" s="61" t="s">
        <v>2233</v>
      </c>
      <c r="K35" s="61" t="s">
        <v>2233</v>
      </c>
      <c r="L35" s="67">
        <v>0</v>
      </c>
      <c r="O35" s="29" t="s">
        <v>547</v>
      </c>
      <c r="Q35" s="67">
        <v>0</v>
      </c>
      <c r="R35" s="29" t="s">
        <v>547</v>
      </c>
      <c r="U35" s="29" t="s">
        <v>547</v>
      </c>
      <c r="W35" s="29" t="s">
        <v>547</v>
      </c>
      <c r="Z35" s="29" t="s">
        <v>547</v>
      </c>
      <c r="AA35" s="61" t="s">
        <v>546</v>
      </c>
      <c r="AB35" s="29" t="s">
        <v>547</v>
      </c>
      <c r="AC35" s="67">
        <v>0</v>
      </c>
      <c r="AD35" s="29" t="s">
        <v>547</v>
      </c>
      <c r="AF35" s="29" t="s">
        <v>547</v>
      </c>
      <c r="AG35" s="29" t="s">
        <v>547</v>
      </c>
      <c r="AH35" s="29" t="s">
        <v>546</v>
      </c>
      <c r="AI35" s="29" t="s">
        <v>546</v>
      </c>
      <c r="AJ35" s="29" t="s">
        <v>547</v>
      </c>
      <c r="AK35" s="67">
        <v>0</v>
      </c>
      <c r="AL35" s="29" t="s">
        <v>547</v>
      </c>
      <c r="AO35" s="29" t="s">
        <v>547</v>
      </c>
      <c r="AP35" s="29" t="s">
        <v>547</v>
      </c>
      <c r="AQ35" s="4">
        <f>Q35+AK35</f>
        <v>0</v>
      </c>
      <c r="AR35" s="4">
        <f>L35+AC35</f>
        <v>0</v>
      </c>
      <c r="AS35" t="str">
        <f>AQ35&amp;AR35</f>
        <v>00</v>
      </c>
      <c r="AT35" s="49">
        <f>AQ35-AR35</f>
        <v>0</v>
      </c>
      <c r="AU35">
        <v>1</v>
      </c>
      <c r="AV35" s="29" t="s">
        <v>546</v>
      </c>
      <c r="AX35" s="29" t="s">
        <v>546</v>
      </c>
      <c r="BA35" s="29" t="s">
        <v>548</v>
      </c>
      <c r="BB35" s="29" t="s">
        <v>569</v>
      </c>
      <c r="BC35" s="29">
        <v>2</v>
      </c>
      <c r="BD35" s="29">
        <f>AW35+AZ35</f>
        <v>0</v>
      </c>
      <c r="BE35" s="29">
        <f>BD35+BC35</f>
        <v>2</v>
      </c>
      <c r="BF35" s="29" t="s">
        <v>546</v>
      </c>
      <c r="BG35" s="29" t="s">
        <v>546</v>
      </c>
      <c r="BH35" s="29" t="s">
        <v>546</v>
      </c>
      <c r="BI35" s="29" t="s">
        <v>546</v>
      </c>
      <c r="BJ35" s="29" t="s">
        <v>546</v>
      </c>
      <c r="BK35" s="29" t="s">
        <v>546</v>
      </c>
      <c r="BM35" s="29" t="s">
        <v>547</v>
      </c>
      <c r="BO35" s="29" t="s">
        <v>547</v>
      </c>
      <c r="BQ35" s="29" t="s">
        <v>547</v>
      </c>
      <c r="BS35" s="29" t="s">
        <v>547</v>
      </c>
      <c r="BU35" s="29" t="s">
        <v>547</v>
      </c>
      <c r="BW35" s="29">
        <f>(BL35*1)+(BN35*0.1)+(BP35*0.01)+(BR35*0.1)+(BT35*0.3)+(BV35*0.4)</f>
        <v>0</v>
      </c>
      <c r="BX35" s="29" t="s">
        <v>2223</v>
      </c>
      <c r="BY35" s="29">
        <v>1</v>
      </c>
      <c r="BZ35" s="29">
        <v>0</v>
      </c>
      <c r="CA35" s="29">
        <v>0</v>
      </c>
      <c r="CB35" s="29">
        <v>1</v>
      </c>
      <c r="CC35" s="29">
        <v>0</v>
      </c>
      <c r="CD35" s="29">
        <v>0</v>
      </c>
      <c r="CE35" s="29">
        <v>0</v>
      </c>
      <c r="CF35" s="29" t="s">
        <v>547</v>
      </c>
      <c r="CG35" s="29">
        <f>(CC35*15)+(CD35*0.8)+(CE35*0.3)+((AW35+AZ35)*15)</f>
        <v>0</v>
      </c>
      <c r="CH35" s="29" t="s">
        <v>2219</v>
      </c>
      <c r="CI35" s="29">
        <f>(BL35*1)+(BN35*0.1)+(BP35*0.01)+(BR35*0.1)+(BT35*0.3)+(BV35*0.4)+(CC35*15)+(CD35*0.8)+(CE35*0.3)+((AW35+AZ35)*15)</f>
        <v>0</v>
      </c>
      <c r="CJ35" s="29" t="s">
        <v>546</v>
      </c>
      <c r="CK35" s="29" t="s">
        <v>547</v>
      </c>
      <c r="CL35" s="29" t="s">
        <v>548</v>
      </c>
      <c r="CM35" s="29" t="s">
        <v>550</v>
      </c>
      <c r="CN35" s="29">
        <v>0.25</v>
      </c>
      <c r="CO35" s="29">
        <v>0.25</v>
      </c>
      <c r="CQ35" s="29" t="s">
        <v>548</v>
      </c>
      <c r="CR35" s="29">
        <v>0.25</v>
      </c>
      <c r="CS35" s="29">
        <v>3</v>
      </c>
      <c r="CT35" s="29" t="s">
        <v>551</v>
      </c>
      <c r="CU35" s="30">
        <v>2.8800000000000003</v>
      </c>
      <c r="CW35" s="29">
        <v>999</v>
      </c>
      <c r="CX35" s="29" t="s">
        <v>551</v>
      </c>
      <c r="CY35" s="62"/>
      <c r="CZ35" s="29">
        <v>0.5</v>
      </c>
      <c r="DA35" s="29">
        <v>1</v>
      </c>
      <c r="DB35" s="29" t="s">
        <v>551</v>
      </c>
      <c r="DC35" s="62">
        <v>0.48</v>
      </c>
      <c r="DD35" s="29" t="s">
        <v>546</v>
      </c>
      <c r="DE35" s="29" t="s">
        <v>546</v>
      </c>
      <c r="DF35" s="29" t="s">
        <v>546</v>
      </c>
      <c r="DG35" s="29" t="s">
        <v>546</v>
      </c>
      <c r="DH35" s="29" t="s">
        <v>546</v>
      </c>
      <c r="DI35" s="29">
        <v>0</v>
      </c>
      <c r="DJ35" s="29">
        <v>2</v>
      </c>
      <c r="DK35" s="29" t="s">
        <v>661</v>
      </c>
      <c r="DL35" s="29" t="s">
        <v>662</v>
      </c>
      <c r="DM35" s="29">
        <v>-4.310173511505127</v>
      </c>
      <c r="DN35" s="29">
        <v>35.596302032470703</v>
      </c>
      <c r="DO35" s="29">
        <v>1637.5</v>
      </c>
      <c r="DP35" s="29">
        <v>5</v>
      </c>
      <c r="DQ35" s="29">
        <v>1706031849</v>
      </c>
      <c r="DR35" s="29" t="s">
        <v>663</v>
      </c>
      <c r="DS35" s="31">
        <v>42926.575868055559</v>
      </c>
      <c r="DT35" s="31">
        <v>42921.485393518524</v>
      </c>
      <c r="DU35" s="31">
        <v>42921.729143518518</v>
      </c>
      <c r="DV35" s="32">
        <v>42770</v>
      </c>
      <c r="DX35" s="44">
        <v>4.1811188271604935</v>
      </c>
      <c r="DY35" s="44">
        <v>10.020370370370371</v>
      </c>
      <c r="DZ35" s="44">
        <v>2.1583970856102006</v>
      </c>
      <c r="EA35" s="44">
        <v>0.89821493624772331</v>
      </c>
      <c r="EC35" s="29">
        <f>IF(EQ35&lt;EP35,"FALSEE",1)</f>
        <v>1</v>
      </c>
      <c r="EE35" s="29" t="s">
        <v>2180</v>
      </c>
      <c r="EF35" s="29">
        <v>4.7960176467900002</v>
      </c>
      <c r="EG35" s="29" t="str">
        <f>IF(EF35&lt;0.5,"Depression",IF(EF35&lt;2,"Very gentle",IF(EF35&lt;5,"Gentle",IF(EF35&lt;9,"Moderate",IF(EF35&lt;15,"Strong",IF(EF35&lt;30,"Steep",IF(EF35&lt;1,"Very steep")))))))</f>
        <v>Gentle</v>
      </c>
      <c r="EH35" s="29" t="s">
        <v>2173</v>
      </c>
      <c r="EI35" s="29">
        <v>0.18129228055499999</v>
      </c>
      <c r="EJ35" s="43">
        <v>7.3213319778399999</v>
      </c>
      <c r="EK35" s="43">
        <f>VLOOKUP(D35,[1]SoilData!$G$15:$K$237,5,FALSE)</f>
        <v>145.62949034461792</v>
      </c>
      <c r="EL35" s="43">
        <f>VLOOKUP(D35,[1]SoilData!$G$245:$K$451,5,FALSE)</f>
        <v>598.45102641279732</v>
      </c>
      <c r="EM35" s="43">
        <f>VLOOKUP(D35,[1]SoilData!$G$15:$M$238,7,FALSE)</f>
        <v>0.88</v>
      </c>
      <c r="EN35" s="43">
        <f>VLOOKUP(D35,[1]SoilData!$G$245:$M$454,7,FALSE)</f>
        <v>1.5820000000000001</v>
      </c>
      <c r="EO35" s="60">
        <f>EM35-EN35</f>
        <v>-0.70200000000000007</v>
      </c>
      <c r="EP35" s="44">
        <f>AVERAGE(DZ35:EA35)</f>
        <v>1.5283060109289619</v>
      </c>
      <c r="EQ35" s="44">
        <f>AVERAGE(DX35:DY35)</f>
        <v>7.1007445987654325</v>
      </c>
      <c r="ER35" s="43">
        <f>EQ35-EP35</f>
        <v>5.5724385878364711</v>
      </c>
      <c r="ES35" s="64">
        <f>IF(CU35&gt;0.000001,CU35*352,0)</f>
        <v>1013.7600000000001</v>
      </c>
      <c r="ET35" s="64">
        <f>IF(DC35&gt;0.0001,DC35*682,0)</f>
        <v>327.36</v>
      </c>
      <c r="EU35" s="64">
        <f>CY35*795</f>
        <v>0</v>
      </c>
      <c r="EV35" s="64">
        <f>ES35+ET35+EU35</f>
        <v>1341.1200000000001</v>
      </c>
      <c r="EW35" s="64">
        <f>IF(AA35="YES",3.5*18.2,0)</f>
        <v>0</v>
      </c>
      <c r="EX35" s="64">
        <f>EV35-EW35</f>
        <v>1341.1200000000001</v>
      </c>
    </row>
    <row r="36" spans="1:154" ht="15" x14ac:dyDescent="0.2">
      <c r="A36" s="29" t="s">
        <v>556</v>
      </c>
      <c r="B36" s="29">
        <v>177</v>
      </c>
      <c r="C36" s="29" t="s">
        <v>329</v>
      </c>
      <c r="D36" s="29" t="s">
        <v>329</v>
      </c>
      <c r="E36" s="29" t="str">
        <f>VLOOKUP(D36,Harvest_2017_Formulae!$C$2:$D$968,2,FALSE)</f>
        <v>DURU</v>
      </c>
      <c r="F36" s="29" t="s">
        <v>645</v>
      </c>
      <c r="G36" s="29">
        <v>3</v>
      </c>
      <c r="H36" s="61" t="str">
        <f>IF(G36&lt;0.05,"Homefield",IF(G36&lt;0.5,"Midfield","outfield"))</f>
        <v>outfield</v>
      </c>
      <c r="I36" s="29" t="s">
        <v>557</v>
      </c>
      <c r="J36" s="61" t="s">
        <v>2233</v>
      </c>
      <c r="K36" s="61" t="s">
        <v>2233</v>
      </c>
      <c r="L36" s="67">
        <v>0</v>
      </c>
      <c r="O36" s="29" t="s">
        <v>547</v>
      </c>
      <c r="Q36" s="67">
        <v>0</v>
      </c>
      <c r="R36" s="29" t="s">
        <v>547</v>
      </c>
      <c r="U36" s="29" t="s">
        <v>547</v>
      </c>
      <c r="W36" s="29" t="s">
        <v>547</v>
      </c>
      <c r="Z36" s="29" t="s">
        <v>547</v>
      </c>
      <c r="AA36" s="61" t="s">
        <v>546</v>
      </c>
      <c r="AB36" s="29" t="s">
        <v>547</v>
      </c>
      <c r="AC36" s="67">
        <v>0</v>
      </c>
      <c r="AD36" s="29" t="s">
        <v>547</v>
      </c>
      <c r="AF36" s="29" t="s">
        <v>547</v>
      </c>
      <c r="AG36" s="29" t="s">
        <v>547</v>
      </c>
      <c r="AH36" s="29" t="s">
        <v>546</v>
      </c>
      <c r="AI36" s="29" t="s">
        <v>546</v>
      </c>
      <c r="AJ36" s="29" t="s">
        <v>547</v>
      </c>
      <c r="AK36" s="67">
        <v>0</v>
      </c>
      <c r="AL36" s="29" t="s">
        <v>547</v>
      </c>
      <c r="AO36" s="29" t="s">
        <v>547</v>
      </c>
      <c r="AP36" s="29" t="s">
        <v>547</v>
      </c>
      <c r="AQ36" s="4">
        <f>Q36+AK36</f>
        <v>0</v>
      </c>
      <c r="AR36" s="4">
        <f>L36+AC36</f>
        <v>0</v>
      </c>
      <c r="AS36" t="str">
        <f>AQ36&amp;AR36</f>
        <v>00</v>
      </c>
      <c r="AT36" s="49">
        <f>AQ36-AR36</f>
        <v>0</v>
      </c>
      <c r="AU36">
        <v>1</v>
      </c>
      <c r="AV36" s="29" t="s">
        <v>546</v>
      </c>
      <c r="AX36" s="29" t="s">
        <v>546</v>
      </c>
      <c r="BA36" s="29" t="s">
        <v>548</v>
      </c>
      <c r="BB36" s="29" t="s">
        <v>569</v>
      </c>
      <c r="BC36" s="29">
        <v>0.5</v>
      </c>
      <c r="BD36" s="29">
        <f>AW36+AZ36</f>
        <v>0</v>
      </c>
      <c r="BE36" s="29">
        <f>BD36+BC36</f>
        <v>0.5</v>
      </c>
      <c r="BF36" s="29" t="s">
        <v>546</v>
      </c>
      <c r="BG36" s="29" t="s">
        <v>546</v>
      </c>
      <c r="BH36" s="29" t="s">
        <v>546</v>
      </c>
      <c r="BI36" s="29" t="s">
        <v>546</v>
      </c>
      <c r="BJ36" s="29" t="s">
        <v>546</v>
      </c>
      <c r="BK36" s="29" t="s">
        <v>546</v>
      </c>
      <c r="BM36" s="29" t="s">
        <v>547</v>
      </c>
      <c r="BO36" s="29" t="s">
        <v>547</v>
      </c>
      <c r="BQ36" s="29" t="s">
        <v>547</v>
      </c>
      <c r="BS36" s="29" t="s">
        <v>547</v>
      </c>
      <c r="BU36" s="29" t="s">
        <v>547</v>
      </c>
      <c r="BW36" s="29">
        <f>(BL36*1)+(BN36*0.1)+(BP36*0.01)+(BR36*0.1)+(BT36*0.3)+(BV36*0.4)</f>
        <v>0</v>
      </c>
      <c r="BX36" s="29" t="s">
        <v>2223</v>
      </c>
      <c r="BY36" s="29">
        <v>1</v>
      </c>
      <c r="BZ36" s="29">
        <v>0</v>
      </c>
      <c r="CA36" s="29">
        <v>0</v>
      </c>
      <c r="CB36" s="29">
        <v>1</v>
      </c>
      <c r="CC36" s="29">
        <v>0</v>
      </c>
      <c r="CD36" s="29">
        <v>0</v>
      </c>
      <c r="CE36" s="29">
        <v>0</v>
      </c>
      <c r="CF36" s="29" t="s">
        <v>547</v>
      </c>
      <c r="CG36" s="29">
        <f>(CC36*15)+(CD36*0.8)+(CE36*0.3)+((AW36+AZ36)*15)</f>
        <v>0</v>
      </c>
      <c r="CH36" s="29" t="s">
        <v>2219</v>
      </c>
      <c r="CI36" s="29">
        <f>(BL36*1)+(BN36*0.1)+(BP36*0.01)+(BR36*0.1)+(BT36*0.3)+(BV36*0.4)+(CC36*15)+(CD36*0.8)+(CE36*0.3)+((AW36+AZ36)*15)</f>
        <v>0</v>
      </c>
      <c r="CJ36" s="29" t="s">
        <v>546</v>
      </c>
      <c r="CK36" s="29" t="s">
        <v>547</v>
      </c>
      <c r="CL36" s="29" t="s">
        <v>548</v>
      </c>
      <c r="CM36" s="29" t="s">
        <v>550</v>
      </c>
      <c r="CN36" s="29">
        <v>0.25</v>
      </c>
      <c r="CO36" s="29">
        <v>0.5</v>
      </c>
      <c r="CQ36" s="29" t="s">
        <v>548</v>
      </c>
      <c r="CR36" s="29">
        <v>0.5</v>
      </c>
      <c r="CS36" s="29">
        <v>4</v>
      </c>
      <c r="CT36" s="29" t="s">
        <v>551</v>
      </c>
      <c r="CU36" s="30">
        <v>1.92</v>
      </c>
      <c r="CW36" s="29">
        <v>999</v>
      </c>
      <c r="CX36" s="29" t="s">
        <v>551</v>
      </c>
      <c r="CY36" s="62"/>
      <c r="CZ36" s="29">
        <v>0.5</v>
      </c>
      <c r="DA36" s="29">
        <v>4</v>
      </c>
      <c r="DB36" s="29" t="s">
        <v>551</v>
      </c>
      <c r="DC36" s="62">
        <v>1.92</v>
      </c>
      <c r="DD36" s="29" t="s">
        <v>546</v>
      </c>
      <c r="DE36" s="29" t="s">
        <v>546</v>
      </c>
      <c r="DF36" s="29" t="s">
        <v>546</v>
      </c>
      <c r="DG36" s="29" t="s">
        <v>546</v>
      </c>
      <c r="DH36" s="29" t="s">
        <v>546</v>
      </c>
      <c r="DI36" s="29">
        <v>0</v>
      </c>
      <c r="DJ36" s="29">
        <v>2</v>
      </c>
      <c r="DK36" s="29" t="s">
        <v>667</v>
      </c>
      <c r="DL36" s="29" t="s">
        <v>668</v>
      </c>
      <c r="DM36" s="29">
        <v>-4.3098268508911133</v>
      </c>
      <c r="DN36" s="29">
        <v>35.596477508544922</v>
      </c>
      <c r="DO36" s="29">
        <v>1644.199951171875</v>
      </c>
      <c r="DP36" s="29">
        <v>5</v>
      </c>
      <c r="DQ36" s="29">
        <v>1706031849</v>
      </c>
      <c r="DR36" s="29" t="s">
        <v>669</v>
      </c>
      <c r="DS36" s="31">
        <v>42926.575798611113</v>
      </c>
      <c r="DT36" s="31">
        <v>42921.480393518519</v>
      </c>
      <c r="DU36" s="31">
        <v>42921.734722222223</v>
      </c>
      <c r="DV36" s="32">
        <v>42762</v>
      </c>
      <c r="DX36" s="44">
        <v>5.128579234972678</v>
      </c>
      <c r="DY36" s="44">
        <v>4.8093442622950819</v>
      </c>
      <c r="DZ36" s="44">
        <v>4.7427160493827163</v>
      </c>
      <c r="EA36" s="44">
        <v>1.8320987654320988</v>
      </c>
      <c r="EC36" s="29">
        <f>IF(EQ36&lt;EP36,"FALSEE",1)</f>
        <v>1</v>
      </c>
      <c r="EE36" s="29" t="s">
        <v>2181</v>
      </c>
      <c r="EF36" s="29">
        <v>2.5552546978000001</v>
      </c>
      <c r="EG36" s="29" t="str">
        <f>IF(EF36&lt;0.5,"Depression",IF(EF36&lt;2,"Very gentle",IF(EF36&lt;5,"Gentle",IF(EF36&lt;9,"Moderate",IF(EF36&lt;15,"Strong",IF(EF36&lt;30,"Steep",IF(EF36&lt;1,"Very steep")))))))</f>
        <v>Gentle</v>
      </c>
      <c r="EH36" s="29" t="s">
        <v>2182</v>
      </c>
      <c r="EI36" s="29">
        <v>1.35963702202</v>
      </c>
      <c r="EJ36" s="43">
        <v>7.52337741852</v>
      </c>
      <c r="EK36" s="43">
        <f>VLOOKUP(D36,[1]SoilData!$G$15:$K$237,5,FALSE)</f>
        <v>424.28889715580522</v>
      </c>
      <c r="EL36" s="43">
        <f>VLOOKUP(D36,[1]SoilData!$G$245:$K$451,5,FALSE)</f>
        <v>427.07549122391703</v>
      </c>
      <c r="EM36" s="43">
        <f>VLOOKUP(D36,[1]SoilData!$G$15:$M$238,7,FALSE)</f>
        <v>1.488</v>
      </c>
      <c r="EN36" s="43">
        <f>VLOOKUP(D36,[1]SoilData!$G$245:$M$454,7,FALSE)</f>
        <v>1.4910000000000001</v>
      </c>
      <c r="EO36" s="60">
        <f>EM36-EN36</f>
        <v>-3.0000000000001137E-3</v>
      </c>
      <c r="EP36" s="44">
        <f>AVERAGE(DZ36:EA36)</f>
        <v>3.2874074074074073</v>
      </c>
      <c r="EQ36" s="44">
        <f>AVERAGE(DX36:DY36)</f>
        <v>4.9689617486338804</v>
      </c>
      <c r="ER36" s="43">
        <f>EQ36-EP36</f>
        <v>1.6815543412264731</v>
      </c>
      <c r="ES36" s="64">
        <f>IF(CU36&gt;0.000001,CU36*352,0)</f>
        <v>675.83999999999992</v>
      </c>
      <c r="ET36" s="64">
        <f>IF(DC36&gt;0.0001,DC36*682,0)</f>
        <v>1309.44</v>
      </c>
      <c r="EU36" s="64">
        <f>CY36*795</f>
        <v>0</v>
      </c>
      <c r="EV36" s="64">
        <f>ES36+ET36+EU36</f>
        <v>1985.28</v>
      </c>
      <c r="EW36" s="64">
        <f>IF(AA36="YES",3.5*18.2,0)</f>
        <v>0</v>
      </c>
      <c r="EX36" s="64">
        <f>EV36-EW36</f>
        <v>1985.28</v>
      </c>
    </row>
    <row r="37" spans="1:154" ht="15" x14ac:dyDescent="0.2">
      <c r="A37" s="29" t="s">
        <v>556</v>
      </c>
      <c r="B37" s="29">
        <v>228</v>
      </c>
      <c r="C37" s="29" t="s">
        <v>119</v>
      </c>
      <c r="D37" s="29" t="s">
        <v>119</v>
      </c>
      <c r="E37" s="29" t="str">
        <f>VLOOKUP(D37,Harvest_2017_Formulae!$C$2:$D$968,2,FALSE)</f>
        <v>ENDAGWE</v>
      </c>
      <c r="F37" s="29" t="s">
        <v>732</v>
      </c>
      <c r="G37" s="29">
        <v>3</v>
      </c>
      <c r="H37" s="61" t="str">
        <f>IF(G37&lt;0.05,"Homefield",IF(G37&lt;0.5,"Midfield","outfield"))</f>
        <v>outfield</v>
      </c>
      <c r="I37" s="29" t="s">
        <v>557</v>
      </c>
      <c r="J37" s="61" t="s">
        <v>2234</v>
      </c>
      <c r="K37" s="61" t="s">
        <v>2234</v>
      </c>
      <c r="L37" s="67">
        <v>0</v>
      </c>
      <c r="O37" s="29" t="s">
        <v>547</v>
      </c>
      <c r="Q37" s="67">
        <v>0</v>
      </c>
      <c r="R37" s="29" t="s">
        <v>547</v>
      </c>
      <c r="U37" s="29" t="s">
        <v>547</v>
      </c>
      <c r="W37" s="29" t="s">
        <v>547</v>
      </c>
      <c r="Z37" s="29" t="s">
        <v>547</v>
      </c>
      <c r="AA37" s="61" t="s">
        <v>546</v>
      </c>
      <c r="AB37" s="29" t="s">
        <v>547</v>
      </c>
      <c r="AC37" s="67">
        <v>0</v>
      </c>
      <c r="AD37" s="29" t="s">
        <v>547</v>
      </c>
      <c r="AF37" s="29" t="s">
        <v>547</v>
      </c>
      <c r="AG37" s="29" t="s">
        <v>547</v>
      </c>
      <c r="AH37" s="29" t="s">
        <v>546</v>
      </c>
      <c r="AI37" s="29" t="s">
        <v>546</v>
      </c>
      <c r="AJ37" s="29" t="s">
        <v>547</v>
      </c>
      <c r="AK37" s="67">
        <v>0</v>
      </c>
      <c r="AL37" s="29" t="s">
        <v>547</v>
      </c>
      <c r="AO37" s="29" t="s">
        <v>547</v>
      </c>
      <c r="AP37" s="29" t="s">
        <v>547</v>
      </c>
      <c r="AQ37" s="4">
        <f>Q37+AK37</f>
        <v>0</v>
      </c>
      <c r="AR37" s="4">
        <f>L37+AC37</f>
        <v>0</v>
      </c>
      <c r="AS37" t="str">
        <f>AQ37&amp;AR37</f>
        <v>00</v>
      </c>
      <c r="AT37" s="49">
        <f>AQ37-AR37</f>
        <v>0</v>
      </c>
      <c r="AU37">
        <v>1</v>
      </c>
      <c r="AV37" s="29" t="s">
        <v>546</v>
      </c>
      <c r="AX37" s="29" t="s">
        <v>546</v>
      </c>
      <c r="BA37" s="29" t="s">
        <v>548</v>
      </c>
      <c r="BB37" s="29" t="s">
        <v>584</v>
      </c>
      <c r="BC37" s="29">
        <v>2</v>
      </c>
      <c r="BD37" s="29">
        <f>AW37+AZ37</f>
        <v>0</v>
      </c>
      <c r="BE37" s="29">
        <f>BD37+BC37</f>
        <v>2</v>
      </c>
      <c r="BF37" s="29" t="s">
        <v>546</v>
      </c>
      <c r="BG37" s="29" t="s">
        <v>546</v>
      </c>
      <c r="BH37" s="29" t="s">
        <v>546</v>
      </c>
      <c r="BI37" s="29" t="s">
        <v>546</v>
      </c>
      <c r="BJ37" s="29" t="s">
        <v>546</v>
      </c>
      <c r="BK37" s="29" t="s">
        <v>546</v>
      </c>
      <c r="BM37" s="29" t="s">
        <v>547</v>
      </c>
      <c r="BO37" s="29" t="s">
        <v>547</v>
      </c>
      <c r="BQ37" s="29" t="s">
        <v>547</v>
      </c>
      <c r="BS37" s="29" t="s">
        <v>547</v>
      </c>
      <c r="BU37" s="29" t="s">
        <v>547</v>
      </c>
      <c r="BW37" s="29">
        <f>(BL37*1)+(BN37*0.1)+(BP37*0.01)+(BR37*0.1)+(BT37*0.3)+(BV37*0.4)</f>
        <v>0</v>
      </c>
      <c r="BX37" s="29" t="s">
        <v>2223</v>
      </c>
      <c r="BY37" s="29">
        <v>1</v>
      </c>
      <c r="BZ37" s="29">
        <v>1</v>
      </c>
      <c r="CA37" s="29">
        <v>0</v>
      </c>
      <c r="CB37" s="29">
        <v>2</v>
      </c>
      <c r="CC37" s="29">
        <v>0</v>
      </c>
      <c r="CD37" s="29">
        <v>0</v>
      </c>
      <c r="CE37" s="29">
        <v>0</v>
      </c>
      <c r="CF37" s="29" t="s">
        <v>547</v>
      </c>
      <c r="CG37" s="29">
        <f>(CC37*15)+(CD37*0.8)+(CE37*0.3)+((AW37+AZ37)*15)</f>
        <v>0</v>
      </c>
      <c r="CH37" s="29" t="s">
        <v>2219</v>
      </c>
      <c r="CI37" s="29">
        <f>(BL37*1)+(BN37*0.1)+(BP37*0.01)+(BR37*0.1)+(BT37*0.3)+(BV37*0.4)+(CC37*15)+(CD37*0.8)+(CE37*0.3)+((AW37+AZ37)*15)</f>
        <v>0</v>
      </c>
      <c r="CJ37" s="29" t="s">
        <v>546</v>
      </c>
      <c r="CK37" s="29" t="s">
        <v>547</v>
      </c>
      <c r="CL37" s="29" t="s">
        <v>546</v>
      </c>
      <c r="CM37" s="29" t="s">
        <v>547</v>
      </c>
      <c r="CN37" s="29">
        <v>0</v>
      </c>
      <c r="CO37" s="29">
        <v>0.25</v>
      </c>
      <c r="CP37" s="29">
        <v>1.75</v>
      </c>
      <c r="CQ37" s="29" t="s">
        <v>548</v>
      </c>
      <c r="CR37" s="29">
        <v>2</v>
      </c>
      <c r="CS37" s="29">
        <v>12</v>
      </c>
      <c r="CT37" s="29" t="s">
        <v>551</v>
      </c>
      <c r="CU37" s="30">
        <v>1.4400000000000002</v>
      </c>
      <c r="CW37" s="29">
        <v>999</v>
      </c>
      <c r="CX37" s="29" t="s">
        <v>551</v>
      </c>
      <c r="CY37" s="62"/>
      <c r="CZ37" s="29">
        <v>2</v>
      </c>
      <c r="DA37" s="29">
        <v>5</v>
      </c>
      <c r="DB37" s="29" t="s">
        <v>551</v>
      </c>
      <c r="DC37" s="62">
        <v>0.6</v>
      </c>
      <c r="DD37" s="29" t="s">
        <v>546</v>
      </c>
      <c r="DE37" s="29" t="s">
        <v>546</v>
      </c>
      <c r="DF37" s="29" t="s">
        <v>546</v>
      </c>
      <c r="DG37" s="29" t="s">
        <v>546</v>
      </c>
      <c r="DH37" s="29" t="s">
        <v>546</v>
      </c>
      <c r="DI37" s="29">
        <v>0</v>
      </c>
      <c r="DJ37" s="29">
        <v>2</v>
      </c>
      <c r="DK37" s="29" t="s">
        <v>737</v>
      </c>
      <c r="DL37" s="29" t="s">
        <v>738</v>
      </c>
      <c r="DM37" s="29">
        <v>-4.3860979080200195</v>
      </c>
      <c r="DN37" s="29">
        <v>35.655014038085938</v>
      </c>
      <c r="DO37" s="29">
        <v>1659.4000244140625</v>
      </c>
      <c r="DP37" s="29">
        <v>5</v>
      </c>
      <c r="DQ37" s="29">
        <v>1706031849</v>
      </c>
      <c r="DR37" s="29" t="s">
        <v>739</v>
      </c>
      <c r="DS37" s="31">
        <v>42951.014282407406</v>
      </c>
      <c r="DT37" s="31">
        <v>42935.514340277776</v>
      </c>
      <c r="DU37" s="31">
        <v>42951.00881944444</v>
      </c>
      <c r="DV37" s="32">
        <v>42796</v>
      </c>
      <c r="DX37" s="44">
        <v>3.0666666666666664</v>
      </c>
      <c r="DY37" s="44">
        <v>4.673976608187135</v>
      </c>
      <c r="DZ37" s="44">
        <v>2.0523076923076919</v>
      </c>
      <c r="EA37" s="44">
        <v>1.5003076923076921</v>
      </c>
      <c r="EC37" s="29">
        <f>IF(EQ37&lt;EP37,"FALSEE",1)</f>
        <v>1</v>
      </c>
      <c r="EE37" s="29" t="s">
        <v>2180</v>
      </c>
      <c r="EF37" s="29">
        <v>8.3536539077800001</v>
      </c>
      <c r="EG37" s="29" t="str">
        <f>IF(EF37&lt;0.5,"Depression",IF(EF37&lt;2,"Very gentle",IF(EF37&lt;5,"Gentle",IF(EF37&lt;9,"Moderate",IF(EF37&lt;15,"Strong",IF(EF37&lt;30,"Steep",IF(EF37&lt;1,"Very steep")))))))</f>
        <v>Moderate</v>
      </c>
      <c r="EH37" s="29" t="s">
        <v>2178</v>
      </c>
      <c r="EI37" s="29">
        <v>-9.0633422136300004E-2</v>
      </c>
      <c r="EJ37" s="43">
        <v>7.43101072311</v>
      </c>
      <c r="EK37" s="43">
        <f>VLOOKUP(D37,[1]SoilData!$G$15:$K$237,5,FALSE)</f>
        <v>293.45036204599444</v>
      </c>
      <c r="EL37" s="43">
        <f>VLOOKUP(D37,[1]SoilData!$G$245:$K$451,5,FALSE)</f>
        <v>46.728885009081537</v>
      </c>
      <c r="EM37" s="43">
        <f>VLOOKUP(D37,[1]SoilData!$G$15:$M$238,7,FALSE)</f>
        <v>0.89700000000000002</v>
      </c>
      <c r="EN37" s="43">
        <f>VLOOKUP(D37,[1]SoilData!$G$245:$M$454,7,FALSE)</f>
        <v>0.81499999999999995</v>
      </c>
      <c r="EO37" s="60">
        <f>EM37-EN37</f>
        <v>8.2000000000000073E-2</v>
      </c>
      <c r="EP37" s="44">
        <f>AVERAGE(DZ37:EA37)</f>
        <v>1.7763076923076921</v>
      </c>
      <c r="EQ37" s="44">
        <f>AVERAGE(DX37:DY37)</f>
        <v>3.8703216374269007</v>
      </c>
      <c r="ER37" s="43">
        <f>EQ37-EP37</f>
        <v>2.0940139451192086</v>
      </c>
      <c r="ES37" s="64">
        <f>IF(CU37&gt;0.000001,CU37*352,0)</f>
        <v>506.88000000000005</v>
      </c>
      <c r="ET37" s="64">
        <f>IF(DC37&gt;0.0001,DC37*682,0)</f>
        <v>409.2</v>
      </c>
      <c r="EU37" s="64">
        <f>CY37*795</f>
        <v>0</v>
      </c>
      <c r="EV37" s="64">
        <f>ES37+ET37+EU37</f>
        <v>916.08</v>
      </c>
      <c r="EW37" s="64">
        <f>IF(AA37="YES",3.5*18.2,0)</f>
        <v>0</v>
      </c>
      <c r="EX37" s="64">
        <f>EV37-EW37</f>
        <v>916.08</v>
      </c>
    </row>
    <row r="38" spans="1:154" ht="15" x14ac:dyDescent="0.2">
      <c r="A38" s="29" t="s">
        <v>556</v>
      </c>
      <c r="B38" s="29">
        <v>229</v>
      </c>
      <c r="C38" s="29" t="s">
        <v>752</v>
      </c>
      <c r="D38" s="33" t="s">
        <v>126</v>
      </c>
      <c r="E38" s="29" t="str">
        <f>VLOOKUP(D38,Harvest_2017_Formulae!$C$2:$D$968,2,FALSE)</f>
        <v>ENDAGWE</v>
      </c>
      <c r="F38" s="29" t="s">
        <v>732</v>
      </c>
      <c r="G38" s="29">
        <v>0</v>
      </c>
      <c r="H38" s="61" t="str">
        <f>IF(G38&lt;0.05,"Homefield",IF(G38&lt;0.5,"Midfield","outfield"))</f>
        <v>Homefield</v>
      </c>
      <c r="I38" s="29" t="s">
        <v>557</v>
      </c>
      <c r="J38" s="61" t="s">
        <v>2234</v>
      </c>
      <c r="K38" s="61" t="s">
        <v>2234</v>
      </c>
      <c r="L38" s="67">
        <v>0</v>
      </c>
      <c r="O38" s="29" t="s">
        <v>547</v>
      </c>
      <c r="Q38" s="67">
        <v>0</v>
      </c>
      <c r="R38" s="29" t="s">
        <v>547</v>
      </c>
      <c r="U38" s="29" t="s">
        <v>547</v>
      </c>
      <c r="W38" s="29" t="s">
        <v>547</v>
      </c>
      <c r="Z38" s="29" t="s">
        <v>547</v>
      </c>
      <c r="AA38" s="61" t="s">
        <v>546</v>
      </c>
      <c r="AB38" s="29" t="s">
        <v>547</v>
      </c>
      <c r="AC38" s="67">
        <v>0</v>
      </c>
      <c r="AD38" s="29" t="s">
        <v>547</v>
      </c>
      <c r="AF38" s="29" t="s">
        <v>547</v>
      </c>
      <c r="AG38" s="29" t="s">
        <v>547</v>
      </c>
      <c r="AH38" s="29" t="s">
        <v>546</v>
      </c>
      <c r="AI38" s="29" t="s">
        <v>546</v>
      </c>
      <c r="AJ38" s="29" t="s">
        <v>547</v>
      </c>
      <c r="AK38" s="67">
        <v>0</v>
      </c>
      <c r="AL38" s="29" t="s">
        <v>547</v>
      </c>
      <c r="AO38" s="29" t="s">
        <v>547</v>
      </c>
      <c r="AP38" s="29" t="s">
        <v>547</v>
      </c>
      <c r="AQ38" s="4">
        <f>Q38+AK38</f>
        <v>0</v>
      </c>
      <c r="AR38" s="4">
        <f>L38+AC38</f>
        <v>0</v>
      </c>
      <c r="AS38" t="str">
        <f>AQ38&amp;AR38</f>
        <v>00</v>
      </c>
      <c r="AT38" s="49">
        <f>AQ38-AR38</f>
        <v>0</v>
      </c>
      <c r="AU38">
        <v>1</v>
      </c>
      <c r="AV38" s="29" t="s">
        <v>546</v>
      </c>
      <c r="AX38" s="29" t="s">
        <v>546</v>
      </c>
      <c r="BA38" s="29" t="s">
        <v>546</v>
      </c>
      <c r="BB38" s="29" t="s">
        <v>547</v>
      </c>
      <c r="BD38" s="29">
        <f>AW38+AZ38</f>
        <v>0</v>
      </c>
      <c r="BE38" s="29">
        <f>BD38+BC38</f>
        <v>0</v>
      </c>
      <c r="BF38" s="29" t="s">
        <v>546</v>
      </c>
      <c r="BG38" s="29" t="s">
        <v>546</v>
      </c>
      <c r="BH38" s="29" t="s">
        <v>546</v>
      </c>
      <c r="BI38" s="29" t="s">
        <v>546</v>
      </c>
      <c r="BJ38" s="29" t="s">
        <v>546</v>
      </c>
      <c r="BK38" s="29" t="s">
        <v>546</v>
      </c>
      <c r="BM38" s="29" t="s">
        <v>547</v>
      </c>
      <c r="BO38" s="29" t="s">
        <v>547</v>
      </c>
      <c r="BQ38" s="29" t="s">
        <v>547</v>
      </c>
      <c r="BS38" s="29" t="s">
        <v>547</v>
      </c>
      <c r="BU38" s="29" t="s">
        <v>547</v>
      </c>
      <c r="BW38" s="29">
        <f>(BL38*1)+(BN38*0.1)+(BP38*0.01)+(BR38*0.1)+(BT38*0.3)+(BV38*0.4)</f>
        <v>0</v>
      </c>
      <c r="BX38" s="29" t="s">
        <v>2223</v>
      </c>
      <c r="BY38" s="29">
        <v>0</v>
      </c>
      <c r="BZ38" s="29">
        <v>2</v>
      </c>
      <c r="CA38" s="29">
        <v>3</v>
      </c>
      <c r="CB38" s="29">
        <v>5</v>
      </c>
      <c r="CC38" s="29">
        <v>0</v>
      </c>
      <c r="CD38" s="29">
        <v>0</v>
      </c>
      <c r="CE38" s="29">
        <v>0</v>
      </c>
      <c r="CF38" s="29" t="s">
        <v>547</v>
      </c>
      <c r="CG38" s="29">
        <f>(CC38*15)+(CD38*0.8)+(CE38*0.3)+((AW38+AZ38)*15)</f>
        <v>0</v>
      </c>
      <c r="CH38" s="29" t="s">
        <v>2219</v>
      </c>
      <c r="CI38" s="29">
        <f>(BL38*1)+(BN38*0.1)+(BP38*0.01)+(BR38*0.1)+(BT38*0.3)+(BV38*0.4)+(CC38*15)+(CD38*0.8)+(CE38*0.3)+((AW38+AZ38)*15)</f>
        <v>0</v>
      </c>
      <c r="CJ38" s="29" t="s">
        <v>546</v>
      </c>
      <c r="CK38" s="29" t="s">
        <v>547</v>
      </c>
      <c r="CL38" s="29" t="s">
        <v>546</v>
      </c>
      <c r="CM38" s="29" t="s">
        <v>547</v>
      </c>
      <c r="CN38" s="29">
        <v>0.25</v>
      </c>
      <c r="CO38" s="29">
        <v>0.75</v>
      </c>
      <c r="CQ38" s="29" t="s">
        <v>548</v>
      </c>
      <c r="CR38" s="29">
        <v>1.5</v>
      </c>
      <c r="CS38" s="29">
        <v>12</v>
      </c>
      <c r="CT38" s="29" t="s">
        <v>551</v>
      </c>
      <c r="CU38" s="30">
        <v>1.9200000000000002</v>
      </c>
      <c r="CW38" s="29">
        <v>999</v>
      </c>
      <c r="CX38" s="29" t="s">
        <v>551</v>
      </c>
      <c r="CY38" s="62"/>
      <c r="CZ38" s="29">
        <v>1.5</v>
      </c>
      <c r="DA38" s="29">
        <v>2</v>
      </c>
      <c r="DB38" s="29" t="s">
        <v>551</v>
      </c>
      <c r="DC38" s="62">
        <v>0.32</v>
      </c>
      <c r="DD38" s="29" t="s">
        <v>546</v>
      </c>
      <c r="DE38" s="29" t="s">
        <v>546</v>
      </c>
      <c r="DF38" s="29" t="s">
        <v>546</v>
      </c>
      <c r="DG38" s="29" t="s">
        <v>546</v>
      </c>
      <c r="DH38" s="29" t="s">
        <v>546</v>
      </c>
      <c r="DI38" s="29">
        <v>0</v>
      </c>
      <c r="DJ38" s="29">
        <v>2</v>
      </c>
      <c r="DK38" s="29" t="s">
        <v>753</v>
      </c>
      <c r="DL38" s="29" t="s">
        <v>754</v>
      </c>
      <c r="DM38" s="29">
        <v>-4.3854074478149414</v>
      </c>
      <c r="DN38" s="29">
        <v>35.653667449951172</v>
      </c>
      <c r="DO38" s="29">
        <v>1661</v>
      </c>
      <c r="DP38" s="29">
        <v>5</v>
      </c>
      <c r="DQ38" s="29">
        <v>1706031849</v>
      </c>
      <c r="DR38" s="29" t="s">
        <v>755</v>
      </c>
      <c r="DS38" s="31">
        <v>42951.01427083333</v>
      </c>
      <c r="DT38" s="31">
        <v>42935.498159722221</v>
      </c>
      <c r="DU38" s="31">
        <v>42951.014097222222</v>
      </c>
      <c r="DV38" s="32">
        <v>42773</v>
      </c>
      <c r="DX38" s="44">
        <v>3.1124007936507936</v>
      </c>
      <c r="DY38" s="44">
        <v>3.5065476190476188</v>
      </c>
      <c r="DZ38" s="44">
        <v>1.7349382716049384</v>
      </c>
      <c r="EA38" s="44">
        <v>0.79979423868312749</v>
      </c>
      <c r="EC38" s="29">
        <f>IF(EQ38&lt;EP38,"FALSEE",1)</f>
        <v>1</v>
      </c>
      <c r="EE38" s="29" t="s">
        <v>2174</v>
      </c>
      <c r="EF38" s="29">
        <v>6.4429926872300003</v>
      </c>
      <c r="EG38" s="29" t="str">
        <f>IF(EF38&lt;0.5,"Depression",IF(EF38&lt;2,"Very gentle",IF(EF38&lt;5,"Gentle",IF(EF38&lt;9,"Moderate",IF(EF38&lt;15,"Strong",IF(EF38&lt;30,"Steep",IF(EF38&lt;1,"Very steep")))))))</f>
        <v>Moderate</v>
      </c>
      <c r="EH38" s="29" t="s">
        <v>2177</v>
      </c>
      <c r="EI38" s="29">
        <v>0.99706941842999997</v>
      </c>
      <c r="EJ38" s="43">
        <v>7.3048858642600001</v>
      </c>
      <c r="EK38" s="43">
        <f>VLOOKUP(D38,[1]SoilData!$G$15:$K$237,5,FALSE)</f>
        <v>328.42423259977534</v>
      </c>
      <c r="EL38" s="43">
        <f>VLOOKUP(D38,[1]SoilData!$G$245:$K$451,5,FALSE)</f>
        <v>122.06806408810331</v>
      </c>
      <c r="EM38" s="43">
        <f>VLOOKUP(D38,[1]SoilData!$G$15:$M$238,7,FALSE)</f>
        <v>1.236</v>
      </c>
      <c r="EN38" s="43">
        <f>VLOOKUP(D38,[1]SoilData!$G$245:$M$454,7,FALSE)</f>
        <v>1.0509999999999999</v>
      </c>
      <c r="EO38" s="60">
        <f>EM38-EN38</f>
        <v>0.18500000000000005</v>
      </c>
      <c r="EP38" s="44">
        <f>AVERAGE(DZ38:EA38)</f>
        <v>1.267366255144033</v>
      </c>
      <c r="EQ38" s="44">
        <f>AVERAGE(DX38:DY38)</f>
        <v>3.309474206349206</v>
      </c>
      <c r="ER38" s="43">
        <f>EQ38-EP38</f>
        <v>2.042107951205173</v>
      </c>
      <c r="ES38" s="64">
        <f>IF(CU38&gt;0.000001,CU38*352,0)</f>
        <v>675.84</v>
      </c>
      <c r="ET38" s="64">
        <f>IF(DC38&gt;0.0001,DC38*682,0)</f>
        <v>218.24</v>
      </c>
      <c r="EU38" s="64">
        <f>CY38*795</f>
        <v>0</v>
      </c>
      <c r="EV38" s="64">
        <f>ES38+ET38+EU38</f>
        <v>894.08</v>
      </c>
      <c r="EW38" s="64">
        <f>IF(AA38="YES",3.5*18.2,0)</f>
        <v>0</v>
      </c>
      <c r="EX38" s="64">
        <f>EV38-EW38</f>
        <v>894.08</v>
      </c>
    </row>
    <row r="39" spans="1:154" ht="15" x14ac:dyDescent="0.2">
      <c r="A39" s="29" t="s">
        <v>556</v>
      </c>
      <c r="B39" s="29">
        <v>215</v>
      </c>
      <c r="C39" s="29" t="s">
        <v>345</v>
      </c>
      <c r="D39" s="29" t="s">
        <v>345</v>
      </c>
      <c r="E39" s="29" t="str">
        <f>VLOOKUP(D39,Harvest_2017_Formulae!$C$2:$D$968,2,FALSE)</f>
        <v>ENDAGWE</v>
      </c>
      <c r="F39" s="29" t="s">
        <v>732</v>
      </c>
      <c r="G39" s="29">
        <v>4</v>
      </c>
      <c r="H39" s="61" t="str">
        <f>IF(G39&lt;0.05,"Homefield",IF(G39&lt;0.5,"Midfield","outfield"))</f>
        <v>outfield</v>
      </c>
      <c r="I39" s="29" t="s">
        <v>557</v>
      </c>
      <c r="J39" s="61" t="s">
        <v>2234</v>
      </c>
      <c r="K39" s="61" t="s">
        <v>2234</v>
      </c>
      <c r="L39" s="67">
        <v>0</v>
      </c>
      <c r="O39" s="29" t="s">
        <v>547</v>
      </c>
      <c r="Q39" s="67">
        <v>0</v>
      </c>
      <c r="R39" s="29" t="s">
        <v>547</v>
      </c>
      <c r="U39" s="29" t="s">
        <v>547</v>
      </c>
      <c r="W39" s="29" t="s">
        <v>547</v>
      </c>
      <c r="Z39" s="29" t="s">
        <v>547</v>
      </c>
      <c r="AA39" s="61" t="s">
        <v>546</v>
      </c>
      <c r="AB39" s="29" t="s">
        <v>547</v>
      </c>
      <c r="AC39" s="67">
        <v>0</v>
      </c>
      <c r="AD39" s="29" t="s">
        <v>547</v>
      </c>
      <c r="AF39" s="29" t="s">
        <v>547</v>
      </c>
      <c r="AG39" s="29" t="s">
        <v>547</v>
      </c>
      <c r="AH39" s="29" t="s">
        <v>546</v>
      </c>
      <c r="AI39" s="29" t="s">
        <v>546</v>
      </c>
      <c r="AJ39" s="29" t="s">
        <v>547</v>
      </c>
      <c r="AK39" s="67">
        <v>0</v>
      </c>
      <c r="AL39" s="29" t="s">
        <v>547</v>
      </c>
      <c r="AO39" s="29" t="s">
        <v>547</v>
      </c>
      <c r="AP39" s="29" t="s">
        <v>547</v>
      </c>
      <c r="AQ39" s="4">
        <f>Q39+AK39</f>
        <v>0</v>
      </c>
      <c r="AR39" s="4">
        <f>L39+AC39</f>
        <v>0</v>
      </c>
      <c r="AS39" t="str">
        <f>AQ39&amp;AR39</f>
        <v>00</v>
      </c>
      <c r="AT39" s="49">
        <f>AQ39-AR39</f>
        <v>0</v>
      </c>
      <c r="AU39">
        <v>1</v>
      </c>
      <c r="AV39" s="29" t="s">
        <v>546</v>
      </c>
      <c r="AX39" s="29" t="s">
        <v>546</v>
      </c>
      <c r="BA39" s="29" t="s">
        <v>548</v>
      </c>
      <c r="BB39" s="29" t="s">
        <v>584</v>
      </c>
      <c r="BC39" s="29">
        <v>1</v>
      </c>
      <c r="BD39" s="29">
        <f>AW39+AZ39</f>
        <v>0</v>
      </c>
      <c r="BE39" s="29">
        <f>BD39+BC39</f>
        <v>1</v>
      </c>
      <c r="BF39" s="29" t="s">
        <v>546</v>
      </c>
      <c r="BG39" s="29" t="s">
        <v>546</v>
      </c>
      <c r="BH39" s="29" t="s">
        <v>546</v>
      </c>
      <c r="BI39" s="29" t="s">
        <v>546</v>
      </c>
      <c r="BJ39" s="29" t="s">
        <v>546</v>
      </c>
      <c r="BK39" s="29" t="s">
        <v>546</v>
      </c>
      <c r="BM39" s="29" t="s">
        <v>547</v>
      </c>
      <c r="BO39" s="29" t="s">
        <v>547</v>
      </c>
      <c r="BQ39" s="29" t="s">
        <v>547</v>
      </c>
      <c r="BS39" s="29" t="s">
        <v>547</v>
      </c>
      <c r="BU39" s="29" t="s">
        <v>547</v>
      </c>
      <c r="BW39" s="29">
        <f>(BL39*1)+(BN39*0.1)+(BP39*0.01)+(BR39*0.1)+(BT39*0.3)+(BV39*0.4)</f>
        <v>0</v>
      </c>
      <c r="BX39" s="29" t="s">
        <v>2223</v>
      </c>
      <c r="BY39" s="29">
        <v>1</v>
      </c>
      <c r="BZ39" s="29">
        <v>0</v>
      </c>
      <c r="CA39" s="29">
        <v>0</v>
      </c>
      <c r="CB39" s="29">
        <v>1</v>
      </c>
      <c r="CC39" s="29">
        <v>0</v>
      </c>
      <c r="CD39" s="29">
        <v>0</v>
      </c>
      <c r="CE39" s="29">
        <v>0</v>
      </c>
      <c r="CF39" s="29" t="s">
        <v>547</v>
      </c>
      <c r="CG39" s="29">
        <f>(CC39*15)+(CD39*0.8)+(CE39*0.3)+((AW39+AZ39)*15)</f>
        <v>0</v>
      </c>
      <c r="CH39" s="29" t="s">
        <v>2219</v>
      </c>
      <c r="CI39" s="29">
        <f>(BL39*1)+(BN39*0.1)+(BP39*0.01)+(BR39*0.1)+(BT39*0.3)+(BV39*0.4)+(CC39*15)+(CD39*0.8)+(CE39*0.3)+((AW39+AZ39)*15)</f>
        <v>0</v>
      </c>
      <c r="CJ39" s="29" t="s">
        <v>546</v>
      </c>
      <c r="CK39" s="29" t="s">
        <v>547</v>
      </c>
      <c r="CL39" s="29" t="s">
        <v>546</v>
      </c>
      <c r="CM39" s="29" t="s">
        <v>547</v>
      </c>
      <c r="CN39" s="29">
        <v>0.25</v>
      </c>
      <c r="CO39" s="29">
        <v>0.75</v>
      </c>
      <c r="CQ39" s="29" t="s">
        <v>546</v>
      </c>
      <c r="CR39" s="29">
        <v>1</v>
      </c>
      <c r="CS39" s="29">
        <v>3</v>
      </c>
      <c r="CT39" s="29" t="s">
        <v>551</v>
      </c>
      <c r="CU39" s="30">
        <v>0.72000000000000008</v>
      </c>
      <c r="CW39" s="29">
        <v>999</v>
      </c>
      <c r="CX39" s="29" t="s">
        <v>551</v>
      </c>
      <c r="CY39" s="62"/>
      <c r="CZ39" s="29">
        <v>1</v>
      </c>
      <c r="DA39" s="29">
        <v>2</v>
      </c>
      <c r="DB39" s="29" t="s">
        <v>551</v>
      </c>
      <c r="DC39" s="62">
        <v>0.48</v>
      </c>
      <c r="DD39" s="29" t="s">
        <v>546</v>
      </c>
      <c r="DE39" s="29" t="s">
        <v>546</v>
      </c>
      <c r="DF39" s="29" t="s">
        <v>546</v>
      </c>
      <c r="DG39" s="29" t="s">
        <v>546</v>
      </c>
      <c r="DH39" s="29" t="s">
        <v>546</v>
      </c>
      <c r="DI39" s="29">
        <v>0</v>
      </c>
      <c r="DJ39" s="29">
        <v>2</v>
      </c>
      <c r="DK39" s="29" t="s">
        <v>782</v>
      </c>
      <c r="DL39" s="29" t="s">
        <v>783</v>
      </c>
      <c r="DM39" s="29">
        <v>-4.3547134399414062</v>
      </c>
      <c r="DN39" s="29">
        <v>35.649200439453125</v>
      </c>
      <c r="DO39" s="29">
        <v>1602.9000244140625</v>
      </c>
      <c r="DP39" s="29">
        <v>5</v>
      </c>
      <c r="DQ39" s="29">
        <v>1706031849</v>
      </c>
      <c r="DR39" s="29" t="s">
        <v>784</v>
      </c>
      <c r="DS39" s="31">
        <v>42950.967442129629</v>
      </c>
      <c r="DT39" s="31">
        <v>42934.52643518518</v>
      </c>
      <c r="DU39" s="31">
        <v>42950.903541666667</v>
      </c>
      <c r="DV39" s="32">
        <v>42770</v>
      </c>
      <c r="DX39" s="44">
        <v>3.6637681159420294</v>
      </c>
      <c r="DY39" s="44">
        <v>5.0682125603864741</v>
      </c>
      <c r="DZ39" s="44">
        <v>2.12780193236715</v>
      </c>
      <c r="EA39" s="44">
        <v>2.9897946859903386</v>
      </c>
      <c r="EC39" s="29">
        <f>IF(EQ39&lt;EP39,"FALSEE",1)</f>
        <v>1</v>
      </c>
      <c r="EE39" s="29" t="s">
        <v>2174</v>
      </c>
      <c r="EF39" s="29">
        <v>5.1887135505700002</v>
      </c>
      <c r="EG39" s="29" t="str">
        <f>IF(EF39&lt;0.5,"Depression",IF(EF39&lt;2,"Very gentle",IF(EF39&lt;5,"Gentle",IF(EF39&lt;9,"Moderate",IF(EF39&lt;15,"Strong",IF(EF39&lt;30,"Steep",IF(EF39&lt;1,"Very steep")))))))</f>
        <v>Moderate</v>
      </c>
      <c r="EH39" s="29" t="s">
        <v>2178</v>
      </c>
      <c r="EI39" s="29">
        <v>0.45321798324599999</v>
      </c>
      <c r="EJ39" s="43">
        <v>7.4710698127699997</v>
      </c>
      <c r="EK39" s="43">
        <f>VLOOKUP(D39,[1]SoilData!$G$15:$K$237,5,FALSE)</f>
        <v>661.59333558048854</v>
      </c>
      <c r="EL39" s="43">
        <f>VLOOKUP(D39,[1]SoilData!$G$245:$K$451,5,FALSE)</f>
        <v>373.03768478836628</v>
      </c>
      <c r="EM39" s="43">
        <f>VLOOKUP(D39,[1]SoilData!$G$15:$M$238,7,FALSE)</f>
        <v>2.198</v>
      </c>
      <c r="EN39" s="43">
        <f>VLOOKUP(D39,[1]SoilData!$G$245:$M$454,7,FALSE)</f>
        <v>1.6970000000000001</v>
      </c>
      <c r="EO39" s="60">
        <f>EM39-EN39</f>
        <v>0.50099999999999989</v>
      </c>
      <c r="EP39" s="44">
        <f>AVERAGE(DZ39:EA39)</f>
        <v>2.5587983091787443</v>
      </c>
      <c r="EQ39" s="44">
        <f>AVERAGE(DX39:DY39)</f>
        <v>4.3659903381642522</v>
      </c>
      <c r="ER39" s="43">
        <f>EQ39-EP39</f>
        <v>1.8071920289855079</v>
      </c>
      <c r="ES39" s="64">
        <f>IF(CU39&gt;0.000001,CU39*352,0)</f>
        <v>253.44000000000003</v>
      </c>
      <c r="ET39" s="64">
        <f>IF(DC39&gt;0.0001,DC39*682,0)</f>
        <v>327.36</v>
      </c>
      <c r="EU39" s="64">
        <f>CY39*795</f>
        <v>0</v>
      </c>
      <c r="EV39" s="64">
        <f>ES39+ET39+EU39</f>
        <v>580.80000000000007</v>
      </c>
      <c r="EW39" s="64">
        <f>IF(AA39="YES",3.5*18.2,0)</f>
        <v>0</v>
      </c>
      <c r="EX39" s="64">
        <f>EV39-EW39</f>
        <v>580.80000000000007</v>
      </c>
    </row>
    <row r="40" spans="1:154" ht="15" x14ac:dyDescent="0.2">
      <c r="A40" s="29" t="s">
        <v>556</v>
      </c>
      <c r="B40" s="29">
        <v>230</v>
      </c>
      <c r="C40" s="29" t="s">
        <v>403</v>
      </c>
      <c r="D40" s="29" t="s">
        <v>403</v>
      </c>
      <c r="E40" s="29" t="str">
        <f>VLOOKUP(D40,Harvest_2017_Formulae!$C$2:$D$968,2,FALSE)</f>
        <v>TSAMASI</v>
      </c>
      <c r="F40" s="29" t="s">
        <v>1014</v>
      </c>
      <c r="G40" s="29">
        <v>1.5</v>
      </c>
      <c r="H40" s="61" t="str">
        <f>IF(G40&lt;0.05,"Homefield",IF(G40&lt;0.5,"Midfield","outfield"))</f>
        <v>outfield</v>
      </c>
      <c r="I40" s="29" t="s">
        <v>557</v>
      </c>
      <c r="J40" s="61" t="s">
        <v>2233</v>
      </c>
      <c r="K40" s="61" t="s">
        <v>2233</v>
      </c>
      <c r="L40" s="67">
        <v>0</v>
      </c>
      <c r="O40" s="29" t="s">
        <v>547</v>
      </c>
      <c r="Q40" s="67">
        <v>0</v>
      </c>
      <c r="R40" s="29" t="s">
        <v>547</v>
      </c>
      <c r="U40" s="29" t="s">
        <v>547</v>
      </c>
      <c r="W40" s="29" t="s">
        <v>547</v>
      </c>
      <c r="Z40" s="29" t="s">
        <v>547</v>
      </c>
      <c r="AA40" s="61" t="s">
        <v>546</v>
      </c>
      <c r="AB40" s="29" t="s">
        <v>547</v>
      </c>
      <c r="AC40" s="67">
        <v>0</v>
      </c>
      <c r="AD40" s="29" t="s">
        <v>547</v>
      </c>
      <c r="AF40" s="29" t="s">
        <v>547</v>
      </c>
      <c r="AG40" s="29" t="s">
        <v>547</v>
      </c>
      <c r="AH40" s="29" t="s">
        <v>546</v>
      </c>
      <c r="AI40" s="29" t="s">
        <v>546</v>
      </c>
      <c r="AJ40" s="29" t="s">
        <v>547</v>
      </c>
      <c r="AK40" s="67">
        <v>0</v>
      </c>
      <c r="AL40" s="29" t="s">
        <v>547</v>
      </c>
      <c r="AO40" s="29" t="s">
        <v>547</v>
      </c>
      <c r="AP40" s="29" t="s">
        <v>547</v>
      </c>
      <c r="AQ40" s="4">
        <f>Q40+AK40</f>
        <v>0</v>
      </c>
      <c r="AR40" s="4">
        <f>L40+AC40</f>
        <v>0</v>
      </c>
      <c r="AS40" t="str">
        <f>AQ40&amp;AR40</f>
        <v>00</v>
      </c>
      <c r="AT40" s="49">
        <f>AQ40-AR40</f>
        <v>0</v>
      </c>
      <c r="AU40">
        <v>1</v>
      </c>
      <c r="AV40" s="29" t="s">
        <v>546</v>
      </c>
      <c r="AX40" s="29" t="s">
        <v>546</v>
      </c>
      <c r="BA40" s="29" t="s">
        <v>546</v>
      </c>
      <c r="BB40" s="29" t="s">
        <v>547</v>
      </c>
      <c r="BD40" s="29">
        <f>AW40+AZ40</f>
        <v>0</v>
      </c>
      <c r="BE40" s="29">
        <f>BD40+BC40</f>
        <v>0</v>
      </c>
      <c r="BF40" s="29" t="s">
        <v>546</v>
      </c>
      <c r="BG40" s="29" t="s">
        <v>546</v>
      </c>
      <c r="BH40" s="29" t="s">
        <v>546</v>
      </c>
      <c r="BI40" s="29" t="s">
        <v>546</v>
      </c>
      <c r="BJ40" s="29" t="s">
        <v>546</v>
      </c>
      <c r="BK40" s="29" t="s">
        <v>546</v>
      </c>
      <c r="BM40" s="29" t="s">
        <v>547</v>
      </c>
      <c r="BO40" s="29" t="s">
        <v>547</v>
      </c>
      <c r="BQ40" s="29" t="s">
        <v>547</v>
      </c>
      <c r="BS40" s="29" t="s">
        <v>547</v>
      </c>
      <c r="BU40" s="29" t="s">
        <v>547</v>
      </c>
      <c r="BW40" s="29">
        <f>(BL40*1)+(BN40*0.1)+(BP40*0.01)+(BR40*0.1)+(BT40*0.3)+(BV40*0.4)</f>
        <v>0</v>
      </c>
      <c r="BX40" s="29" t="s">
        <v>2223</v>
      </c>
      <c r="BY40" s="29">
        <v>1</v>
      </c>
      <c r="BZ40" s="29">
        <v>1</v>
      </c>
      <c r="CA40" s="29">
        <v>0</v>
      </c>
      <c r="CB40" s="29">
        <v>2</v>
      </c>
      <c r="CC40" s="29">
        <v>0</v>
      </c>
      <c r="CD40" s="29">
        <v>0</v>
      </c>
      <c r="CE40" s="29">
        <v>0</v>
      </c>
      <c r="CF40" s="29" t="s">
        <v>547</v>
      </c>
      <c r="CG40" s="29">
        <f>(CC40*15)+(CD40*0.8)+(CE40*0.3)+((AW40+AZ40)*15)</f>
        <v>0</v>
      </c>
      <c r="CH40" s="29" t="s">
        <v>2219</v>
      </c>
      <c r="CI40" s="29">
        <f>(BL40*1)+(BN40*0.1)+(BP40*0.01)+(BR40*0.1)+(BT40*0.3)+(BV40*0.4)+(CC40*15)+(CD40*0.8)+(CE40*0.3)+((AW40+AZ40)*15)</f>
        <v>0</v>
      </c>
      <c r="CJ40" s="29" t="s">
        <v>546</v>
      </c>
      <c r="CK40" s="29" t="s">
        <v>547</v>
      </c>
      <c r="CL40" s="29" t="s">
        <v>546</v>
      </c>
      <c r="CM40" s="29" t="s">
        <v>547</v>
      </c>
      <c r="CN40" s="29">
        <v>0.25</v>
      </c>
      <c r="CO40" s="29">
        <v>0.75</v>
      </c>
      <c r="CQ40" s="29" t="s">
        <v>548</v>
      </c>
      <c r="CR40" s="29">
        <v>1</v>
      </c>
      <c r="CS40" s="29">
        <v>4</v>
      </c>
      <c r="CT40" s="29" t="s">
        <v>551</v>
      </c>
      <c r="CU40" s="30">
        <v>0.96</v>
      </c>
      <c r="CW40" s="29">
        <v>999</v>
      </c>
      <c r="CX40" s="29" t="s">
        <v>551</v>
      </c>
      <c r="CY40" s="62"/>
      <c r="CZ40" s="29">
        <v>1</v>
      </c>
      <c r="DA40" s="29">
        <v>4</v>
      </c>
      <c r="DB40" s="29" t="s">
        <v>552</v>
      </c>
      <c r="DC40" s="62">
        <v>0.16031999999999999</v>
      </c>
      <c r="DD40" s="29" t="s">
        <v>546</v>
      </c>
      <c r="DE40" s="29" t="s">
        <v>546</v>
      </c>
      <c r="DF40" s="29" t="s">
        <v>546</v>
      </c>
      <c r="DG40" s="29" t="s">
        <v>546</v>
      </c>
      <c r="DH40" s="29" t="s">
        <v>546</v>
      </c>
      <c r="DI40" s="29">
        <v>0</v>
      </c>
      <c r="DJ40" s="29">
        <v>2</v>
      </c>
      <c r="DK40" s="29" t="s">
        <v>1365</v>
      </c>
      <c r="DL40" s="29" t="s">
        <v>1366</v>
      </c>
      <c r="DM40" s="29">
        <v>-4.294283390045166</v>
      </c>
      <c r="DN40" s="29">
        <v>35.813655853271484</v>
      </c>
      <c r="DO40" s="29">
        <v>1377.0999755859375</v>
      </c>
      <c r="DP40" s="29">
        <v>5</v>
      </c>
      <c r="DQ40" s="29">
        <v>1706031849</v>
      </c>
      <c r="DR40" s="29" t="s">
        <v>1367</v>
      </c>
      <c r="DS40" s="31">
        <v>42951.014293981483</v>
      </c>
      <c r="DT40" s="31">
        <v>42938.556921296295</v>
      </c>
      <c r="DU40" s="31">
        <v>42951.011446759258</v>
      </c>
      <c r="DV40" s="32">
        <v>42774</v>
      </c>
      <c r="DX40" s="44">
        <v>0.72891975308641976</v>
      </c>
      <c r="DY40" s="44">
        <v>0.74665895061728393</v>
      </c>
      <c r="DZ40" s="44">
        <v>1.8089954337899545</v>
      </c>
      <c r="EA40" s="44">
        <v>1.8455936073059362</v>
      </c>
      <c r="EC40" s="29" t="str">
        <f>IF(EQ40&lt;EP40,"FALSEE",1)</f>
        <v>FALSEE</v>
      </c>
      <c r="EE40" s="29" t="s">
        <v>2174</v>
      </c>
      <c r="EF40" s="29">
        <v>10.450006484999999</v>
      </c>
      <c r="EG40" s="29" t="str">
        <f>IF(EF40&lt;0.5,"Depression",IF(EF40&lt;2,"Very gentle",IF(EF40&lt;5,"Gentle",IF(EF40&lt;9,"Moderate",IF(EF40&lt;15,"Strong",IF(EF40&lt;30,"Steep",IF(EF40&lt;1,"Very steep")))))))</f>
        <v>Strong</v>
      </c>
      <c r="EH40" s="29" t="s">
        <v>2177</v>
      </c>
      <c r="EI40" s="29">
        <v>0.815785527229</v>
      </c>
      <c r="EJ40" s="43">
        <v>6.82558727264</v>
      </c>
      <c r="EK40" s="43">
        <f>VLOOKUP(D40,[1]SoilData!$G$15:$K$237,5,FALSE)</f>
        <v>6.3412939092600542</v>
      </c>
      <c r="EL40" s="43">
        <f>VLOOKUP(D40,[1]SoilData!$G$245:$K$451,5,FALSE)</f>
        <v>281.01808577952613</v>
      </c>
      <c r="EM40" s="43">
        <f>VLOOKUP(D40,[1]SoilData!$G$15:$M$238,7,FALSE)</f>
        <v>0.81499999999999995</v>
      </c>
      <c r="EN40" s="43">
        <f>VLOOKUP(D40,[1]SoilData!$G$245:$M$454,7,FALSE)</f>
        <v>1.1679999999999999</v>
      </c>
      <c r="EO40" s="60">
        <f>EM40-EN40</f>
        <v>-0.35299999999999998</v>
      </c>
      <c r="EP40" s="44">
        <f>AVERAGE(DZ40:EA40)</f>
        <v>1.8272945205479454</v>
      </c>
      <c r="EQ40" s="44">
        <f>AVERAGE(DX40:DY40)</f>
        <v>0.7377893518518519</v>
      </c>
      <c r="ER40" s="43">
        <f>EQ40-EP40</f>
        <v>-1.0895051686960935</v>
      </c>
      <c r="ES40" s="64">
        <f>IF(CU40&gt;0.000001,CU40*352,0)</f>
        <v>337.91999999999996</v>
      </c>
      <c r="ET40" s="64">
        <f>IF(DC40&gt;0.0001,DC40*682,0)</f>
        <v>109.33824</v>
      </c>
      <c r="EU40" s="64">
        <f>CY40*795</f>
        <v>0</v>
      </c>
      <c r="EV40" s="64">
        <f>ES40+ET40+EU40</f>
        <v>447.25823999999994</v>
      </c>
      <c r="EW40" s="64">
        <f>IF(AA40="YES",3.5*18.2,0)</f>
        <v>0</v>
      </c>
      <c r="EX40" s="64">
        <f>EV40-EW40</f>
        <v>447.25823999999994</v>
      </c>
    </row>
    <row r="41" spans="1:154" ht="15" x14ac:dyDescent="0.2">
      <c r="A41" s="29" t="s">
        <v>556</v>
      </c>
      <c r="B41" s="29">
        <v>178</v>
      </c>
      <c r="C41" s="29" t="s">
        <v>656</v>
      </c>
      <c r="D41" s="29" t="s">
        <v>327</v>
      </c>
      <c r="E41" s="29" t="str">
        <f>VLOOKUP(D41,Harvest_2017_Formulae!$C$2:$D$968,2,FALSE)</f>
        <v>DURU</v>
      </c>
      <c r="F41" s="29" t="s">
        <v>645</v>
      </c>
      <c r="G41" s="29">
        <v>2</v>
      </c>
      <c r="H41" s="61" t="str">
        <f>IF(G41&lt;0.05,"Homefield",IF(G41&lt;0.5,"Midfield","outfield"))</f>
        <v>outfield</v>
      </c>
      <c r="I41" s="29" t="s">
        <v>557</v>
      </c>
      <c r="J41" s="61" t="s">
        <v>2233</v>
      </c>
      <c r="K41" s="61" t="s">
        <v>2233</v>
      </c>
      <c r="L41" s="67">
        <v>0</v>
      </c>
      <c r="O41" s="29" t="s">
        <v>547</v>
      </c>
      <c r="Q41" s="67">
        <v>0</v>
      </c>
      <c r="R41" s="29" t="s">
        <v>547</v>
      </c>
      <c r="U41" s="29" t="s">
        <v>547</v>
      </c>
      <c r="W41" s="29" t="s">
        <v>547</v>
      </c>
      <c r="Z41" s="29" t="s">
        <v>547</v>
      </c>
      <c r="AA41" s="61" t="s">
        <v>548</v>
      </c>
      <c r="AB41" s="29" t="s">
        <v>614</v>
      </c>
      <c r="AC41" s="67">
        <v>0</v>
      </c>
      <c r="AD41" s="29" t="s">
        <v>547</v>
      </c>
      <c r="AF41" s="29" t="s">
        <v>547</v>
      </c>
      <c r="AG41" s="29" t="s">
        <v>547</v>
      </c>
      <c r="AH41" s="29" t="s">
        <v>546</v>
      </c>
      <c r="AI41" s="29" t="s">
        <v>546</v>
      </c>
      <c r="AJ41" s="29" t="s">
        <v>547</v>
      </c>
      <c r="AK41" s="67">
        <v>0</v>
      </c>
      <c r="AL41" s="29" t="s">
        <v>547</v>
      </c>
      <c r="AO41" s="29" t="s">
        <v>547</v>
      </c>
      <c r="AP41" s="29" t="s">
        <v>547</v>
      </c>
      <c r="AQ41" s="4">
        <f>Q41+AK41</f>
        <v>0</v>
      </c>
      <c r="AR41" s="4">
        <f>L41+AC41</f>
        <v>0</v>
      </c>
      <c r="AS41" t="str">
        <f>AQ41&amp;AR41</f>
        <v>00</v>
      </c>
      <c r="AT41" s="49">
        <f>AQ41-AR41</f>
        <v>0</v>
      </c>
      <c r="AU41">
        <v>1</v>
      </c>
      <c r="AV41" s="29" t="s">
        <v>546</v>
      </c>
      <c r="AX41" s="29" t="s">
        <v>546</v>
      </c>
      <c r="BA41" s="29" t="s">
        <v>548</v>
      </c>
      <c r="BB41" s="29" t="s">
        <v>569</v>
      </c>
      <c r="BC41" s="29">
        <v>0.5</v>
      </c>
      <c r="BD41" s="29">
        <f>AW41+AZ41</f>
        <v>0</v>
      </c>
      <c r="BE41" s="29">
        <f>BD41+BC41</f>
        <v>0.5</v>
      </c>
      <c r="BF41" s="29" t="s">
        <v>546</v>
      </c>
      <c r="BG41" s="29" t="s">
        <v>546</v>
      </c>
      <c r="BH41" s="29" t="s">
        <v>546</v>
      </c>
      <c r="BI41" s="29" t="s">
        <v>546</v>
      </c>
      <c r="BJ41" s="29" t="s">
        <v>546</v>
      </c>
      <c r="BK41" s="29" t="s">
        <v>546</v>
      </c>
      <c r="BM41" s="29" t="s">
        <v>547</v>
      </c>
      <c r="BO41" s="29" t="s">
        <v>547</v>
      </c>
      <c r="BQ41" s="29" t="s">
        <v>547</v>
      </c>
      <c r="BS41" s="29" t="s">
        <v>547</v>
      </c>
      <c r="BU41" s="29" t="s">
        <v>547</v>
      </c>
      <c r="BW41" s="29">
        <f>(BL41*1)+(BN41*0.1)+(BP41*0.01)+(BR41*0.1)+(BT41*0.3)+(BV41*0.4)</f>
        <v>0</v>
      </c>
      <c r="BX41" s="29" t="s">
        <v>2223</v>
      </c>
      <c r="BY41" s="29">
        <v>1</v>
      </c>
      <c r="BZ41" s="29">
        <v>0</v>
      </c>
      <c r="CA41" s="29">
        <v>0</v>
      </c>
      <c r="CB41" s="29">
        <v>1</v>
      </c>
      <c r="CC41" s="29">
        <v>0</v>
      </c>
      <c r="CD41" s="29">
        <v>0</v>
      </c>
      <c r="CE41" s="29">
        <v>0</v>
      </c>
      <c r="CF41" s="29" t="s">
        <v>547</v>
      </c>
      <c r="CG41" s="29">
        <f>(CC41*15)+(CD41*0.8)+(CE41*0.3)+((AW41+AZ41)*15)</f>
        <v>0</v>
      </c>
      <c r="CH41" s="29" t="s">
        <v>2219</v>
      </c>
      <c r="CI41" s="29">
        <f>(BL41*1)+(BN41*0.1)+(BP41*0.01)+(BR41*0.1)+(BT41*0.3)+(BV41*0.4)+(CC41*15)+(CD41*0.8)+(CE41*0.3)+((AW41+AZ41)*15)</f>
        <v>0</v>
      </c>
      <c r="CJ41" s="29" t="s">
        <v>546</v>
      </c>
      <c r="CK41" s="29" t="s">
        <v>547</v>
      </c>
      <c r="CL41" s="29" t="s">
        <v>548</v>
      </c>
      <c r="CM41" s="29" t="s">
        <v>550</v>
      </c>
      <c r="CN41" s="29">
        <v>0.25</v>
      </c>
      <c r="CO41" s="29">
        <v>0.25</v>
      </c>
      <c r="CQ41" s="29" t="s">
        <v>548</v>
      </c>
      <c r="CR41" s="29">
        <v>0.25</v>
      </c>
      <c r="CS41" s="29">
        <v>3</v>
      </c>
      <c r="CT41" s="29" t="s">
        <v>551</v>
      </c>
      <c r="CU41" s="30">
        <v>2.8800000000000003</v>
      </c>
      <c r="CW41" s="29">
        <v>999</v>
      </c>
      <c r="CX41" s="29" t="s">
        <v>551</v>
      </c>
      <c r="CY41" s="62"/>
      <c r="CZ41" s="29">
        <v>0.25</v>
      </c>
      <c r="DA41" s="29">
        <v>5</v>
      </c>
      <c r="DB41" s="29" t="s">
        <v>552</v>
      </c>
      <c r="DC41" s="62">
        <v>0.80159999999999998</v>
      </c>
      <c r="DD41" s="29" t="s">
        <v>546</v>
      </c>
      <c r="DE41" s="29" t="s">
        <v>546</v>
      </c>
      <c r="DF41" s="29" t="s">
        <v>546</v>
      </c>
      <c r="DG41" s="29" t="s">
        <v>546</v>
      </c>
      <c r="DH41" s="29" t="s">
        <v>546</v>
      </c>
      <c r="DI41" s="29">
        <v>0</v>
      </c>
      <c r="DJ41" s="29">
        <v>3</v>
      </c>
      <c r="DK41" s="29" t="s">
        <v>657</v>
      </c>
      <c r="DL41" s="29" t="s">
        <v>658</v>
      </c>
      <c r="DM41" s="29">
        <v>-4.3101954460144043</v>
      </c>
      <c r="DN41" s="29">
        <v>35.596420288085938</v>
      </c>
      <c r="DO41" s="29">
        <v>1636.4000244140625</v>
      </c>
      <c r="DP41" s="29">
        <v>5</v>
      </c>
      <c r="DQ41" s="29">
        <v>1706031849</v>
      </c>
      <c r="DR41" s="29" t="s">
        <v>659</v>
      </c>
      <c r="DS41" s="31">
        <v>42926.575833333336</v>
      </c>
      <c r="DT41" s="31">
        <v>42921.482060185182</v>
      </c>
      <c r="DU41" s="31">
        <v>42921.713842592595</v>
      </c>
      <c r="DV41" s="32">
        <v>42770</v>
      </c>
      <c r="DX41" s="44">
        <v>3.0334697855750496</v>
      </c>
      <c r="DY41" s="44">
        <v>2.3793177387914239</v>
      </c>
      <c r="DZ41" s="44">
        <v>3.1139412997903562</v>
      </c>
      <c r="EA41" s="44">
        <v>3.4406498951781974</v>
      </c>
      <c r="EC41" s="29" t="str">
        <f>IF(EQ41&lt;EP41,"FALSEE",1)</f>
        <v>FALSEE</v>
      </c>
      <c r="EE41" s="29" t="s">
        <v>2180</v>
      </c>
      <c r="EF41" s="29">
        <v>4.7960176467900002</v>
      </c>
      <c r="EG41" s="29" t="str">
        <f>IF(EF41&lt;0.5,"Depression",IF(EF41&lt;2,"Very gentle",IF(EF41&lt;5,"Gentle",IF(EF41&lt;9,"Moderate",IF(EF41&lt;15,"Strong",IF(EF41&lt;30,"Steep",IF(EF41&lt;1,"Very steep")))))))</f>
        <v>Gentle</v>
      </c>
      <c r="EH41" s="29" t="s">
        <v>2173</v>
      </c>
      <c r="EI41" s="29">
        <v>0.18129228055499999</v>
      </c>
      <c r="EJ41" s="43">
        <v>7.3213319778399999</v>
      </c>
      <c r="EK41" s="43">
        <f>VLOOKUP(D41,[1]SoilData!$G$15:$K$237,5,FALSE)</f>
        <v>449.36824376881202</v>
      </c>
      <c r="EL41" s="43">
        <f>VLOOKUP(D41,[1]SoilData!$G$245:$K$451,5,FALSE)</f>
        <v>414.53581791741368</v>
      </c>
      <c r="EM41" s="43">
        <f>VLOOKUP(D41,[1]SoilData!$G$15:$M$238,7,FALSE)</f>
        <v>1.262</v>
      </c>
      <c r="EN41" s="43">
        <f>VLOOKUP(D41,[1]SoilData!$G$245:$M$454,7,FALSE)</f>
        <v>1.542</v>
      </c>
      <c r="EO41" s="60">
        <f>EM41-EN41</f>
        <v>-0.28000000000000003</v>
      </c>
      <c r="EP41" s="44">
        <f>AVERAGE(DZ41:EA41)</f>
        <v>3.2772955974842768</v>
      </c>
      <c r="EQ41" s="44">
        <f>AVERAGE(DX41:DY41)</f>
        <v>2.7063937621832368</v>
      </c>
      <c r="ER41" s="43">
        <f>EQ41-EP41</f>
        <v>-0.57090183530103999</v>
      </c>
      <c r="ES41" s="64">
        <f>IF(CU41&gt;0.000001,CU41*352,0)</f>
        <v>1013.7600000000001</v>
      </c>
      <c r="ET41" s="64">
        <f>IF(DC41&gt;0.0001,DC41*682,0)</f>
        <v>546.69119999999998</v>
      </c>
      <c r="EU41" s="64">
        <f>CY41*795</f>
        <v>0</v>
      </c>
      <c r="EV41" s="64">
        <f>ES41+ET41+EU41</f>
        <v>1560.4512</v>
      </c>
      <c r="EW41" s="64">
        <f>IF(AA41="YES",3.5*18.2,0)</f>
        <v>63.699999999999996</v>
      </c>
      <c r="EX41" s="64">
        <f>EV41-EW41</f>
        <v>1496.7511999999999</v>
      </c>
    </row>
    <row r="42" spans="1:154" ht="15" x14ac:dyDescent="0.2">
      <c r="A42" s="29" t="s">
        <v>1182</v>
      </c>
      <c r="B42" s="29">
        <v>86</v>
      </c>
      <c r="C42" s="29" t="s">
        <v>1462</v>
      </c>
      <c r="D42" s="29" t="s">
        <v>1462</v>
      </c>
      <c r="E42" s="29" t="e">
        <f>VLOOKUP(D42,Harvest_2017_Formulae!$C$2:$D$968,2,FALSE)</f>
        <v>#N/A</v>
      </c>
      <c r="F42" s="29" t="s">
        <v>1175</v>
      </c>
      <c r="G42" s="29">
        <v>0</v>
      </c>
      <c r="H42" s="61" t="str">
        <f>IF(G42&lt;0.05,"Homefield",IF(G42&lt;0.5,"Midfield","outfield"))</f>
        <v>Homefield</v>
      </c>
      <c r="I42" s="29" t="s">
        <v>557</v>
      </c>
      <c r="J42" s="61" t="s">
        <v>2233</v>
      </c>
      <c r="K42" s="61" t="s">
        <v>2233</v>
      </c>
      <c r="L42" s="67">
        <v>0</v>
      </c>
      <c r="O42" s="29" t="s">
        <v>547</v>
      </c>
      <c r="Q42" s="67">
        <v>0</v>
      </c>
      <c r="R42" s="29" t="s">
        <v>547</v>
      </c>
      <c r="T42" s="29">
        <v>0</v>
      </c>
      <c r="U42" s="29" t="s">
        <v>560</v>
      </c>
      <c r="W42" s="29" t="s">
        <v>635</v>
      </c>
      <c r="Z42" s="29" t="s">
        <v>547</v>
      </c>
      <c r="AA42" s="61" t="s">
        <v>548</v>
      </c>
      <c r="AB42" s="29" t="s">
        <v>568</v>
      </c>
      <c r="AC42" s="67">
        <v>0</v>
      </c>
      <c r="AD42" s="29" t="s">
        <v>547</v>
      </c>
      <c r="AF42" s="29" t="s">
        <v>547</v>
      </c>
      <c r="AG42" s="29" t="s">
        <v>547</v>
      </c>
      <c r="AH42" s="29" t="s">
        <v>548</v>
      </c>
      <c r="AI42" s="29" t="s">
        <v>546</v>
      </c>
      <c r="AJ42" s="29" t="s">
        <v>547</v>
      </c>
      <c r="AK42" s="67">
        <v>0</v>
      </c>
      <c r="AL42" s="29" t="s">
        <v>547</v>
      </c>
      <c r="AO42" s="29" t="s">
        <v>547</v>
      </c>
      <c r="AP42" s="29" t="s">
        <v>547</v>
      </c>
      <c r="AQ42" s="4">
        <f>Q42+AK42</f>
        <v>0</v>
      </c>
      <c r="AR42" s="4">
        <f>L42+AC42</f>
        <v>0</v>
      </c>
      <c r="AS42" t="str">
        <f>AQ42&amp;AR42</f>
        <v>00</v>
      </c>
      <c r="AT42" s="49">
        <f>AQ42-AR42</f>
        <v>0</v>
      </c>
      <c r="AU42">
        <v>1</v>
      </c>
      <c r="AV42" s="29" t="s">
        <v>546</v>
      </c>
      <c r="AX42" s="29" t="s">
        <v>546</v>
      </c>
      <c r="BA42" s="29" t="s">
        <v>548</v>
      </c>
      <c r="BB42" s="29" t="s">
        <v>1034</v>
      </c>
      <c r="BC42" s="29">
        <v>1</v>
      </c>
      <c r="BD42" s="29">
        <f>AW42+AZ42</f>
        <v>0</v>
      </c>
      <c r="BE42" s="29">
        <f>BD42+BC42</f>
        <v>1</v>
      </c>
      <c r="BF42" s="29" t="s">
        <v>546</v>
      </c>
      <c r="BG42" s="29" t="s">
        <v>546</v>
      </c>
      <c r="BH42" s="29" t="s">
        <v>546</v>
      </c>
      <c r="BI42" s="29" t="s">
        <v>546</v>
      </c>
      <c r="BJ42" s="29" t="s">
        <v>546</v>
      </c>
      <c r="BK42" s="29" t="s">
        <v>546</v>
      </c>
      <c r="BM42" s="29" t="s">
        <v>547</v>
      </c>
      <c r="BO42" s="29" t="s">
        <v>547</v>
      </c>
      <c r="BQ42" s="29" t="s">
        <v>547</v>
      </c>
      <c r="BS42" s="29" t="s">
        <v>547</v>
      </c>
      <c r="BU42" s="29" t="s">
        <v>547</v>
      </c>
      <c r="BW42" s="29">
        <f>(BL42*1)+(BN42*0.1)+(BP42*0.01)+(BR42*0.1)+(BT42*0.3)+(BV42*0.4)</f>
        <v>0</v>
      </c>
      <c r="BX42" s="29" t="s">
        <v>2223</v>
      </c>
      <c r="BY42" s="29">
        <v>5</v>
      </c>
      <c r="BZ42" s="29">
        <v>3</v>
      </c>
      <c r="CA42" s="29">
        <v>4</v>
      </c>
      <c r="CB42" s="29">
        <v>12</v>
      </c>
      <c r="CC42" s="29">
        <v>0</v>
      </c>
      <c r="CD42" s="29">
        <v>0</v>
      </c>
      <c r="CE42" s="29">
        <v>0</v>
      </c>
      <c r="CG42" s="29">
        <f>(CC42*15)+(CD42*0.8)+(CE42*0.3)+((AW42+AZ42)*15)</f>
        <v>0</v>
      </c>
      <c r="CH42" s="29" t="s">
        <v>2219</v>
      </c>
      <c r="CI42" s="29">
        <f>(BL42*1)+(BN42*0.1)+(BP42*0.01)+(BR42*0.1)+(BT42*0.3)+(BV42*0.4)+(CC42*15)+(CD42*0.8)+(CE42*0.3)+((AW42+AZ42)*15)</f>
        <v>0</v>
      </c>
      <c r="CJ42" s="29" t="s">
        <v>546</v>
      </c>
      <c r="CK42" s="29" t="s">
        <v>547</v>
      </c>
      <c r="CL42" s="29" t="s">
        <v>546</v>
      </c>
      <c r="CM42" s="29" t="s">
        <v>547</v>
      </c>
      <c r="CN42" s="29">
        <v>0</v>
      </c>
      <c r="CO42" s="29">
        <v>0.75</v>
      </c>
      <c r="CP42" s="29">
        <v>0</v>
      </c>
      <c r="CQ42" s="29" t="s">
        <v>546</v>
      </c>
      <c r="CR42" s="29">
        <v>1</v>
      </c>
      <c r="CS42" s="29">
        <v>2</v>
      </c>
      <c r="CT42" s="29" t="s">
        <v>551</v>
      </c>
      <c r="CU42" s="30">
        <v>0.48</v>
      </c>
      <c r="CV42" s="29">
        <v>1</v>
      </c>
      <c r="CW42" s="29">
        <v>0.20000000298023224</v>
      </c>
      <c r="CX42" s="29" t="s">
        <v>551</v>
      </c>
      <c r="CY42" s="62">
        <v>4.8000000715255738E-2</v>
      </c>
      <c r="CZ42" s="29">
        <v>1</v>
      </c>
      <c r="DA42" s="29">
        <v>0.20000000298023224</v>
      </c>
      <c r="DB42" s="29" t="s">
        <v>551</v>
      </c>
      <c r="DC42" s="62">
        <v>4.8000000715255738E-2</v>
      </c>
      <c r="DD42" s="29" t="s">
        <v>546</v>
      </c>
      <c r="DE42" s="29" t="s">
        <v>546</v>
      </c>
      <c r="DF42" s="29" t="s">
        <v>546</v>
      </c>
      <c r="DG42" s="29" t="s">
        <v>548</v>
      </c>
      <c r="DH42" s="29" t="s">
        <v>548</v>
      </c>
      <c r="DI42" s="29">
        <v>2</v>
      </c>
      <c r="DJ42" s="29">
        <v>3</v>
      </c>
      <c r="DK42" s="29" t="s">
        <v>1463</v>
      </c>
      <c r="DL42" s="29" t="s">
        <v>1464</v>
      </c>
      <c r="DM42" s="29">
        <v>-4.3513932228088379</v>
      </c>
      <c r="DN42" s="29">
        <v>35.466178894042969</v>
      </c>
      <c r="DO42" s="29">
        <v>1658.4000244140625</v>
      </c>
      <c r="DP42" s="29">
        <v>15</v>
      </c>
      <c r="DQ42" s="29">
        <v>1705231439</v>
      </c>
      <c r="DR42" s="29" t="s">
        <v>1465</v>
      </c>
      <c r="DS42" s="31">
        <v>42927.345266203702</v>
      </c>
      <c r="DT42" s="31">
        <v>42894.533541666664</v>
      </c>
      <c r="DU42" s="31">
        <v>42927.344236111108</v>
      </c>
      <c r="DV42" s="32">
        <v>42762</v>
      </c>
      <c r="EC42" s="29">
        <f>IF(EQ42&lt;EP42,"FALSEE",1)</f>
        <v>1</v>
      </c>
      <c r="EE42" s="29" t="s">
        <v>2171</v>
      </c>
      <c r="EF42" s="29">
        <v>3.5062229633299999</v>
      </c>
      <c r="EG42" s="29" t="str">
        <f>IF(EF42&lt;0.5,"Depression",IF(EF42&lt;2,"Very gentle",IF(EF42&lt;5,"Gentle",IF(EF42&lt;9,"Moderate",IF(EF42&lt;15,"Strong",IF(EF42&lt;30,"Steep",IF(EF42&lt;1,"Very steep")))))))</f>
        <v>Gentle</v>
      </c>
      <c r="EH42" s="29" t="s">
        <v>2173</v>
      </c>
      <c r="EI42" s="29">
        <v>8.4776775111099995E-6</v>
      </c>
      <c r="EJ42" s="43">
        <v>8.4191064834600002</v>
      </c>
      <c r="EK42" s="43"/>
      <c r="EL42" s="43"/>
      <c r="EM42" s="43"/>
      <c r="EN42" s="43"/>
      <c r="EO42" s="60"/>
      <c r="EP42" s="43"/>
      <c r="EQ42" s="43"/>
      <c r="ER42" s="43"/>
      <c r="ES42" s="64">
        <f>IF(CU42&gt;0.000001,CU42*352,0)</f>
        <v>168.95999999999998</v>
      </c>
      <c r="ET42" s="64">
        <f>IF(DC42&gt;0.0001,DC42*682,0)</f>
        <v>32.736000487804411</v>
      </c>
      <c r="EU42" s="64">
        <f>CY42*795</f>
        <v>38.160000568628313</v>
      </c>
      <c r="EV42" s="64">
        <f>ES42+ET42+EU42</f>
        <v>239.85600105643269</v>
      </c>
      <c r="EW42" s="64">
        <f>IF(AA42="YES",3.5*18.2,0)</f>
        <v>63.699999999999996</v>
      </c>
      <c r="EX42" s="64">
        <f>EV42-EW42</f>
        <v>176.1560010564327</v>
      </c>
    </row>
    <row r="43" spans="1:154" ht="15" x14ac:dyDescent="0.2">
      <c r="A43" s="29" t="s">
        <v>573</v>
      </c>
      <c r="B43" s="29">
        <v>233</v>
      </c>
      <c r="C43" s="29" t="s">
        <v>574</v>
      </c>
      <c r="D43" s="33" t="s">
        <v>69</v>
      </c>
      <c r="E43" s="29" t="str">
        <f>VLOOKUP(D43,Harvest_2017_Formulae!$C$2:$D$968,2,FALSE)</f>
        <v>AYAMANGO</v>
      </c>
      <c r="F43" s="29" t="s">
        <v>196</v>
      </c>
      <c r="G43" s="29">
        <v>0</v>
      </c>
      <c r="H43" s="61" t="str">
        <f>IF(G43&lt;0.05,"Homefield",IF(G43&lt;0.5,"Midfield","outfield"))</f>
        <v>Homefield</v>
      </c>
      <c r="I43" s="29" t="s">
        <v>575</v>
      </c>
      <c r="J43" s="61" t="s">
        <v>545</v>
      </c>
      <c r="K43" s="61" t="s">
        <v>2234</v>
      </c>
      <c r="L43" s="67">
        <v>0</v>
      </c>
      <c r="O43" s="29" t="s">
        <v>547</v>
      </c>
      <c r="Q43" s="67">
        <v>0</v>
      </c>
      <c r="R43" s="29" t="s">
        <v>547</v>
      </c>
      <c r="U43" s="29" t="s">
        <v>547</v>
      </c>
      <c r="W43" s="29" t="s">
        <v>547</v>
      </c>
      <c r="Z43" s="29" t="s">
        <v>547</v>
      </c>
      <c r="AA43" s="61" t="s">
        <v>546</v>
      </c>
      <c r="AB43" s="29" t="s">
        <v>547</v>
      </c>
      <c r="AC43" s="67">
        <v>0</v>
      </c>
      <c r="AD43" s="29" t="s">
        <v>547</v>
      </c>
      <c r="AF43" s="29" t="s">
        <v>547</v>
      </c>
      <c r="AG43" s="29" t="s">
        <v>547</v>
      </c>
      <c r="AH43" s="29" t="s">
        <v>546</v>
      </c>
      <c r="AI43" s="29" t="s">
        <v>546</v>
      </c>
      <c r="AJ43" s="29" t="s">
        <v>547</v>
      </c>
      <c r="AK43" s="67">
        <v>0</v>
      </c>
      <c r="AL43" s="29" t="s">
        <v>547</v>
      </c>
      <c r="AO43" s="29" t="s">
        <v>547</v>
      </c>
      <c r="AP43" s="29" t="s">
        <v>547</v>
      </c>
      <c r="AQ43" s="4">
        <f>Q43+AK43</f>
        <v>0</v>
      </c>
      <c r="AR43" s="4">
        <f>L43+AC43</f>
        <v>0</v>
      </c>
      <c r="AS43" t="str">
        <f>AQ43&amp;AR43</f>
        <v>00</v>
      </c>
      <c r="AT43" s="49">
        <f>AQ43-AR43</f>
        <v>0</v>
      </c>
      <c r="AU43">
        <v>1</v>
      </c>
      <c r="AV43" s="29" t="s">
        <v>546</v>
      </c>
      <c r="AX43" s="29" t="s">
        <v>546</v>
      </c>
      <c r="BA43" s="29" t="s">
        <v>546</v>
      </c>
      <c r="BB43" s="29" t="s">
        <v>547</v>
      </c>
      <c r="BD43" s="29">
        <f>AW43+AZ43</f>
        <v>0</v>
      </c>
      <c r="BE43" s="29">
        <f>BD43+BC43</f>
        <v>0</v>
      </c>
      <c r="BF43" s="29" t="s">
        <v>546</v>
      </c>
      <c r="BG43" s="29" t="s">
        <v>546</v>
      </c>
      <c r="BH43" s="29" t="s">
        <v>546</v>
      </c>
      <c r="BI43" s="29" t="s">
        <v>546</v>
      </c>
      <c r="BJ43" s="29" t="s">
        <v>546</v>
      </c>
      <c r="BK43" s="29" t="s">
        <v>546</v>
      </c>
      <c r="BM43" s="29" t="s">
        <v>547</v>
      </c>
      <c r="BO43" s="29" t="s">
        <v>547</v>
      </c>
      <c r="BQ43" s="29" t="s">
        <v>547</v>
      </c>
      <c r="BS43" s="29" t="s">
        <v>547</v>
      </c>
      <c r="BU43" s="29" t="s">
        <v>547</v>
      </c>
      <c r="BW43" s="29">
        <f>(BL43*1)+(BN43*0.1)+(BP43*0.01)+(BR43*0.1)+(BT43*0.3)+(BV43*0.4)</f>
        <v>0</v>
      </c>
      <c r="BX43" s="29" t="s">
        <v>2223</v>
      </c>
      <c r="BY43" s="29">
        <v>2</v>
      </c>
      <c r="BZ43" s="29">
        <v>1</v>
      </c>
      <c r="CA43" s="29">
        <v>3</v>
      </c>
      <c r="CB43" s="29">
        <v>6</v>
      </c>
      <c r="CC43" s="29">
        <v>0</v>
      </c>
      <c r="CD43" s="29">
        <v>1</v>
      </c>
      <c r="CE43" s="29">
        <v>1</v>
      </c>
      <c r="CF43" s="29" t="s">
        <v>547</v>
      </c>
      <c r="CG43" s="29">
        <f>(CC43*15)+(CD43*0.8)+(CE43*0.3)+((AW43+AZ43)*15)</f>
        <v>1.1000000000000001</v>
      </c>
      <c r="CH43" s="29" t="s">
        <v>2219</v>
      </c>
      <c r="CI43" s="29">
        <f>(BL43*1)+(BN43*0.1)+(BP43*0.01)+(BR43*0.1)+(BT43*0.3)+(BV43*0.4)+(CC43*15)+(CD43*0.8)+(CE43*0.3)+((AW43+AZ43)*15)</f>
        <v>1.1000000000000001</v>
      </c>
      <c r="CJ43" s="29" t="s">
        <v>546</v>
      </c>
      <c r="CK43" s="29" t="s">
        <v>547</v>
      </c>
      <c r="CL43" s="29" t="s">
        <v>546</v>
      </c>
      <c r="CM43" s="29" t="s">
        <v>547</v>
      </c>
      <c r="CN43" s="29">
        <v>0.25</v>
      </c>
      <c r="CO43" s="29">
        <v>2.25</v>
      </c>
      <c r="CQ43" s="29" t="s">
        <v>548</v>
      </c>
      <c r="CR43" s="29">
        <v>1.5</v>
      </c>
      <c r="CS43" s="29">
        <v>12</v>
      </c>
      <c r="CT43" s="29" t="s">
        <v>551</v>
      </c>
      <c r="CU43" s="30">
        <v>1.9200000000000002</v>
      </c>
      <c r="CW43" s="29">
        <v>999</v>
      </c>
      <c r="CX43" s="29" t="s">
        <v>551</v>
      </c>
      <c r="CY43" s="62"/>
      <c r="CZ43" s="29">
        <v>0.5</v>
      </c>
      <c r="DA43" s="29">
        <v>1</v>
      </c>
      <c r="DB43" s="29" t="s">
        <v>551</v>
      </c>
      <c r="DC43" s="62">
        <v>0.48</v>
      </c>
      <c r="DD43" s="29" t="s">
        <v>546</v>
      </c>
      <c r="DE43" s="29" t="s">
        <v>546</v>
      </c>
      <c r="DF43" s="29" t="s">
        <v>546</v>
      </c>
      <c r="DG43" s="29" t="s">
        <v>546</v>
      </c>
      <c r="DH43" s="29" t="s">
        <v>546</v>
      </c>
      <c r="DI43" s="29">
        <v>0</v>
      </c>
      <c r="DJ43" s="29">
        <v>1</v>
      </c>
      <c r="DK43" s="29" t="s">
        <v>576</v>
      </c>
      <c r="DL43" s="29" t="s">
        <v>577</v>
      </c>
      <c r="DM43" s="29">
        <v>-4.3398313522338867</v>
      </c>
      <c r="DN43" s="29">
        <v>35.44287109375</v>
      </c>
      <c r="DO43" s="29">
        <v>1590.5999755859375</v>
      </c>
      <c r="DP43" s="29">
        <v>5</v>
      </c>
      <c r="DQ43" s="29">
        <v>1706031849</v>
      </c>
      <c r="DR43" s="29" t="s">
        <v>578</v>
      </c>
      <c r="DS43" s="31">
        <v>42951.125902777778</v>
      </c>
      <c r="DT43" s="31">
        <v>42928.60802083333</v>
      </c>
      <c r="DU43" s="31">
        <v>42951.120011574079</v>
      </c>
      <c r="DV43" s="32">
        <v>42951</v>
      </c>
      <c r="DX43" s="44">
        <v>0.6656293222683265</v>
      </c>
      <c r="DY43" s="44">
        <v>0.53884278469340718</v>
      </c>
      <c r="DZ43" s="44">
        <v>1.14741816505302</v>
      </c>
      <c r="EA43" s="44">
        <v>1.6165283540802216</v>
      </c>
      <c r="EB43" s="29">
        <v>3</v>
      </c>
      <c r="EC43" s="29" t="str">
        <f>IF(EQ43&lt;EP43,"FALSEE",1)</f>
        <v>FALSEE</v>
      </c>
      <c r="EE43" s="29" t="s">
        <v>2171</v>
      </c>
      <c r="EF43" s="29">
        <v>3.3609845638300002</v>
      </c>
      <c r="EG43" s="29" t="str">
        <f>IF(EF43&lt;0.5,"Depression",IF(EF43&lt;2,"Very gentle",IF(EF43&lt;5,"Gentle",IF(EF43&lt;9,"Moderate",IF(EF43&lt;15,"Strong",IF(EF43&lt;30,"Steep",IF(EF43&lt;1,"Very steep")))))))</f>
        <v>Gentle</v>
      </c>
      <c r="EH43" s="29" t="s">
        <v>2173</v>
      </c>
      <c r="EI43" s="29">
        <v>-9.0633422136300004E-2</v>
      </c>
      <c r="EJ43" s="43">
        <v>9.3972558975199991</v>
      </c>
      <c r="EK43" s="43"/>
      <c r="EL43" s="43"/>
      <c r="EM43" s="43"/>
      <c r="EN43" s="43"/>
      <c r="EO43" s="60"/>
      <c r="EP43" s="44">
        <f>AVERAGE(DZ43:EA43)</f>
        <v>1.3819732595666208</v>
      </c>
      <c r="EQ43" s="44">
        <f>AVERAGE(DX43:DY43)</f>
        <v>0.60223605348086684</v>
      </c>
      <c r="ER43" s="43">
        <f>EQ43-EP43</f>
        <v>-0.77973720608575392</v>
      </c>
      <c r="ES43" s="64">
        <f>IF(CU43&gt;0.000001,CU43*352,0)</f>
        <v>675.84</v>
      </c>
      <c r="ET43" s="64">
        <f>IF(DC43&gt;0.0001,DC43*682,0)</f>
        <v>327.36</v>
      </c>
      <c r="EU43" s="64">
        <f>CY43*795</f>
        <v>0</v>
      </c>
      <c r="EV43" s="64">
        <f>ES43+ET43+EU43</f>
        <v>1003.2</v>
      </c>
      <c r="EW43" s="64">
        <f>IF(AA43="YES",3.5*18.2,0)</f>
        <v>0</v>
      </c>
      <c r="EX43" s="64">
        <f>EV43-EW43</f>
        <v>1003.2</v>
      </c>
    </row>
    <row r="44" spans="1:154" ht="15" x14ac:dyDescent="0.2">
      <c r="A44" s="29" t="s">
        <v>544</v>
      </c>
      <c r="B44" s="29">
        <v>238</v>
      </c>
      <c r="C44" s="29" t="s">
        <v>573</v>
      </c>
      <c r="D44" s="29" t="s">
        <v>200</v>
      </c>
      <c r="E44" s="29" t="str">
        <f>VLOOKUP(D44,Harvest_2017_Formulae!$C$2:$D$968,2,FALSE)</f>
        <v>MANDI</v>
      </c>
      <c r="F44" s="29" t="s">
        <v>1042</v>
      </c>
      <c r="G44" s="29">
        <v>2</v>
      </c>
      <c r="H44" s="61" t="str">
        <f>IF(G44&lt;0.05,"Homefield",IF(G44&lt;0.5,"Midfield","outfield"))</f>
        <v>outfield</v>
      </c>
      <c r="I44" s="29" t="s">
        <v>557</v>
      </c>
      <c r="J44" s="61" t="s">
        <v>2233</v>
      </c>
      <c r="K44" s="61" t="s">
        <v>2233</v>
      </c>
      <c r="L44" s="67">
        <v>0</v>
      </c>
      <c r="O44" s="29" t="s">
        <v>547</v>
      </c>
      <c r="Q44" s="67">
        <v>0</v>
      </c>
      <c r="R44" s="29" t="s">
        <v>547</v>
      </c>
      <c r="U44" s="29" t="s">
        <v>547</v>
      </c>
      <c r="W44" s="29" t="s">
        <v>547</v>
      </c>
      <c r="Z44" s="29" t="s">
        <v>547</v>
      </c>
      <c r="AA44" s="61" t="s">
        <v>546</v>
      </c>
      <c r="AB44" s="29" t="s">
        <v>547</v>
      </c>
      <c r="AC44" s="67">
        <v>0</v>
      </c>
      <c r="AD44" s="29" t="s">
        <v>547</v>
      </c>
      <c r="AF44" s="29" t="s">
        <v>547</v>
      </c>
      <c r="AG44" s="29" t="s">
        <v>547</v>
      </c>
      <c r="AH44" s="29" t="s">
        <v>546</v>
      </c>
      <c r="AI44" s="29" t="s">
        <v>546</v>
      </c>
      <c r="AJ44" s="29" t="s">
        <v>547</v>
      </c>
      <c r="AK44" s="67">
        <v>0</v>
      </c>
      <c r="AL44" s="29" t="s">
        <v>547</v>
      </c>
      <c r="AO44" s="29" t="s">
        <v>547</v>
      </c>
      <c r="AP44" s="29" t="s">
        <v>547</v>
      </c>
      <c r="AQ44" s="4">
        <f>Q44+AK44</f>
        <v>0</v>
      </c>
      <c r="AR44" s="4">
        <f>L44+AC44</f>
        <v>0</v>
      </c>
      <c r="AS44" t="str">
        <f>AQ44&amp;AR44</f>
        <v>00</v>
      </c>
      <c r="AT44" s="49">
        <f>AQ44-AR44</f>
        <v>0</v>
      </c>
      <c r="AU44">
        <v>1</v>
      </c>
      <c r="AV44" s="29" t="s">
        <v>546</v>
      </c>
      <c r="AX44" s="29" t="s">
        <v>546</v>
      </c>
      <c r="BA44" s="29" t="s">
        <v>546</v>
      </c>
      <c r="BB44" s="29" t="s">
        <v>547</v>
      </c>
      <c r="BD44" s="29">
        <f>AW44+AZ44</f>
        <v>0</v>
      </c>
      <c r="BE44" s="29">
        <f>BD44+BC44</f>
        <v>0</v>
      </c>
      <c r="BF44" s="29" t="s">
        <v>546</v>
      </c>
      <c r="BG44" s="29" t="s">
        <v>546</v>
      </c>
      <c r="BH44" s="29" t="s">
        <v>546</v>
      </c>
      <c r="BI44" s="29" t="s">
        <v>546</v>
      </c>
      <c r="BJ44" s="29" t="s">
        <v>546</v>
      </c>
      <c r="BK44" s="29" t="s">
        <v>546</v>
      </c>
      <c r="BM44" s="29" t="s">
        <v>547</v>
      </c>
      <c r="BO44" s="29" t="s">
        <v>547</v>
      </c>
      <c r="BQ44" s="29" t="s">
        <v>547</v>
      </c>
      <c r="BS44" s="29" t="s">
        <v>547</v>
      </c>
      <c r="BU44" s="29" t="s">
        <v>547</v>
      </c>
      <c r="BW44" s="29">
        <f>(BL44*1)+(BN44*0.1)+(BP44*0.01)+(BR44*0.1)+(BT44*0.3)+(BV44*0.4)</f>
        <v>0</v>
      </c>
      <c r="BX44" s="29" t="s">
        <v>2223</v>
      </c>
      <c r="BY44" s="29">
        <v>1</v>
      </c>
      <c r="BZ44" s="29">
        <v>1</v>
      </c>
      <c r="CA44" s="29">
        <v>1</v>
      </c>
      <c r="CB44" s="29">
        <v>3</v>
      </c>
      <c r="CC44" s="29">
        <v>0</v>
      </c>
      <c r="CD44" s="29">
        <v>1</v>
      </c>
      <c r="CE44" s="29">
        <v>1</v>
      </c>
      <c r="CF44" s="29" t="s">
        <v>547</v>
      </c>
      <c r="CG44" s="29">
        <f>(CC44*15)+(CD44*0.8)+(CE44*0.3)+((AW44+AZ44)*15)</f>
        <v>1.1000000000000001</v>
      </c>
      <c r="CH44" s="29" t="s">
        <v>2219</v>
      </c>
      <c r="CI44" s="29">
        <f>(BL44*1)+(BN44*0.1)+(BP44*0.01)+(BR44*0.1)+(BT44*0.3)+(BV44*0.4)+(CC44*15)+(CD44*0.8)+(CE44*0.3)+((AW44+AZ44)*15)</f>
        <v>1.1000000000000001</v>
      </c>
      <c r="CJ44" s="29" t="s">
        <v>546</v>
      </c>
      <c r="CK44" s="29" t="s">
        <v>547</v>
      </c>
      <c r="CL44" s="29" t="s">
        <v>546</v>
      </c>
      <c r="CM44" s="29" t="s">
        <v>547</v>
      </c>
      <c r="CN44" s="29">
        <v>0.25</v>
      </c>
      <c r="CQ44" s="29" t="s">
        <v>546</v>
      </c>
      <c r="CR44" s="29">
        <v>2</v>
      </c>
      <c r="CS44" s="29">
        <v>14</v>
      </c>
      <c r="CT44" s="29" t="s">
        <v>551</v>
      </c>
      <c r="CU44" s="30">
        <v>1.6800000000000002</v>
      </c>
      <c r="CW44" s="29">
        <v>999</v>
      </c>
      <c r="CX44" s="29" t="s">
        <v>551</v>
      </c>
      <c r="CY44" s="62"/>
      <c r="CZ44" s="29">
        <v>999</v>
      </c>
      <c r="DA44" s="29">
        <v>999</v>
      </c>
      <c r="DB44" s="29" t="s">
        <v>551</v>
      </c>
      <c r="DC44" s="62"/>
      <c r="DD44" s="29" t="s">
        <v>546</v>
      </c>
      <c r="DE44" s="29" t="s">
        <v>546</v>
      </c>
      <c r="DF44" s="29" t="s">
        <v>546</v>
      </c>
      <c r="DG44" s="29" t="s">
        <v>546</v>
      </c>
      <c r="DH44" s="29" t="s">
        <v>546</v>
      </c>
      <c r="DI44" s="29">
        <v>0</v>
      </c>
      <c r="DJ44" s="29">
        <v>2</v>
      </c>
      <c r="DK44" s="29" t="s">
        <v>1074</v>
      </c>
      <c r="DL44" s="29" t="s">
        <v>1075</v>
      </c>
      <c r="DM44" s="29">
        <v>-4.2970261573791504</v>
      </c>
      <c r="DN44" s="29">
        <v>35.864570617675781</v>
      </c>
      <c r="DO44" s="29">
        <v>1262.4000244140625</v>
      </c>
      <c r="DP44" s="29">
        <v>5</v>
      </c>
      <c r="DQ44" s="29">
        <v>1706031849</v>
      </c>
      <c r="DR44" s="29" t="s">
        <v>1076</v>
      </c>
      <c r="DS44" s="31">
        <v>42951.125937500001</v>
      </c>
      <c r="DT44" s="31">
        <v>42949.562291666662</v>
      </c>
      <c r="DU44" s="31">
        <v>42951.125740740739</v>
      </c>
      <c r="DV44" s="32">
        <v>42798</v>
      </c>
      <c r="DX44" s="44"/>
      <c r="DY44" s="44">
        <v>3.710984848484848</v>
      </c>
      <c r="DZ44" s="44">
        <v>1.8542592592592591</v>
      </c>
      <c r="EA44" s="44">
        <v>1.7088271604938272</v>
      </c>
      <c r="EC44" s="29">
        <f>IF(EQ44&lt;EP44,"FALSEE",1)</f>
        <v>1</v>
      </c>
      <c r="EE44" s="29" t="s">
        <v>2171</v>
      </c>
      <c r="EF44" s="29">
        <v>0.900638759136</v>
      </c>
      <c r="EG44" s="29" t="str">
        <f>IF(EF44&lt;0.5,"Depression",IF(EF44&lt;2,"Very gentle",IF(EF44&lt;5,"Gentle",IF(EF44&lt;9,"Moderate",IF(EF44&lt;15,"Strong",IF(EF44&lt;30,"Steep",IF(EF44&lt;1,"Very steep")))))))</f>
        <v>Very gentle</v>
      </c>
      <c r="EH44" s="29" t="s">
        <v>2173</v>
      </c>
      <c r="EI44" s="29">
        <v>0.18129228055499999</v>
      </c>
      <c r="EJ44" s="43">
        <v>8.7377004623399994</v>
      </c>
      <c r="EK44" s="56">
        <f>VLOOKUP(D44,[1]SoilData!$G$15:$K$237,5,FALSE)</f>
        <v>24.412648381751445</v>
      </c>
      <c r="EL44" s="43">
        <f>VLOOKUP(D44,[1]SoilData!$G$245:$K$451,5,FALSE)</f>
        <v>439.61516453042049</v>
      </c>
      <c r="EM44" s="43">
        <f>VLOOKUP(D44,[1]SoilData!$G$15:$M$238,7,FALSE)</f>
        <v>1.486</v>
      </c>
      <c r="EN44" s="43">
        <f>VLOOKUP(D44,[1]SoilData!$G$245:$M$454,7,FALSE)</f>
        <v>1.65</v>
      </c>
      <c r="EO44" s="60">
        <f>EM44-EN44</f>
        <v>-0.16399999999999992</v>
      </c>
      <c r="EP44" s="44">
        <f>AVERAGE(DZ44:EA44)</f>
        <v>1.7815432098765431</v>
      </c>
      <c r="EQ44" s="44">
        <f>AVERAGE(DX44:DY44)</f>
        <v>3.710984848484848</v>
      </c>
      <c r="ER44" s="43">
        <f>EQ44-EP44</f>
        <v>1.9294416386083049</v>
      </c>
      <c r="ES44" s="64">
        <f>IF(CU44&gt;0.000001,CU44*352,0)</f>
        <v>591.36</v>
      </c>
      <c r="ET44" s="64">
        <f>IF(DC44&gt;0.0001,DC44*682,0)</f>
        <v>0</v>
      </c>
      <c r="EU44" s="64">
        <f>CY44*795</f>
        <v>0</v>
      </c>
      <c r="EV44" s="64">
        <f>ES44+ET44+EU44</f>
        <v>591.36</v>
      </c>
      <c r="EW44" s="64">
        <f>IF(AA44="YES",3.5*18.2,0)</f>
        <v>0</v>
      </c>
      <c r="EX44" s="64">
        <f>EV44-EW44</f>
        <v>591.36</v>
      </c>
    </row>
    <row r="45" spans="1:154" ht="15" x14ac:dyDescent="0.2">
      <c r="A45" s="29" t="s">
        <v>556</v>
      </c>
      <c r="B45" s="29">
        <v>163</v>
      </c>
      <c r="C45" s="29" t="s">
        <v>691</v>
      </c>
      <c r="D45" s="29" t="s">
        <v>336</v>
      </c>
      <c r="E45" s="29" t="str">
        <f>VLOOKUP(D45,Harvest_2017_Formulae!$C$2:$D$968,2,FALSE)</f>
        <v>DURU</v>
      </c>
      <c r="F45" s="29" t="s">
        <v>645</v>
      </c>
      <c r="G45" s="29">
        <v>1</v>
      </c>
      <c r="H45" s="61" t="str">
        <f>IF(G45&lt;0.05,"Homefield",IF(G45&lt;0.5,"Midfield","outfield"))</f>
        <v>outfield</v>
      </c>
      <c r="I45" s="29" t="s">
        <v>557</v>
      </c>
      <c r="J45" s="61" t="s">
        <v>2233</v>
      </c>
      <c r="K45" s="61" t="s">
        <v>2233</v>
      </c>
      <c r="L45" s="67">
        <v>0</v>
      </c>
      <c r="O45" s="29" t="s">
        <v>547</v>
      </c>
      <c r="Q45" s="67">
        <v>0</v>
      </c>
      <c r="R45" s="29" t="s">
        <v>547</v>
      </c>
      <c r="U45" s="29" t="s">
        <v>547</v>
      </c>
      <c r="W45" s="29" t="s">
        <v>547</v>
      </c>
      <c r="Z45" s="29" t="s">
        <v>547</v>
      </c>
      <c r="AA45" s="61" t="s">
        <v>548</v>
      </c>
      <c r="AB45" s="29" t="s">
        <v>568</v>
      </c>
      <c r="AC45" s="67">
        <v>0</v>
      </c>
      <c r="AD45" s="29" t="s">
        <v>547</v>
      </c>
      <c r="AF45" s="29" t="s">
        <v>547</v>
      </c>
      <c r="AG45" s="29" t="s">
        <v>547</v>
      </c>
      <c r="AH45" s="29" t="s">
        <v>546</v>
      </c>
      <c r="AI45" s="29" t="s">
        <v>546</v>
      </c>
      <c r="AJ45" s="29" t="s">
        <v>547</v>
      </c>
      <c r="AK45" s="67">
        <v>0</v>
      </c>
      <c r="AL45" s="29" t="s">
        <v>547</v>
      </c>
      <c r="AO45" s="29" t="s">
        <v>547</v>
      </c>
      <c r="AP45" s="29" t="s">
        <v>547</v>
      </c>
      <c r="AQ45" s="4">
        <f>Q45+AK45</f>
        <v>0</v>
      </c>
      <c r="AR45" s="4">
        <f>L45+AC45</f>
        <v>0</v>
      </c>
      <c r="AS45" t="str">
        <f>AQ45&amp;AR45</f>
        <v>00</v>
      </c>
      <c r="AT45" s="49">
        <f>AQ45-AR45</f>
        <v>0</v>
      </c>
      <c r="AU45">
        <v>1</v>
      </c>
      <c r="AV45" s="29" t="s">
        <v>548</v>
      </c>
      <c r="AW45" s="29">
        <v>0.125</v>
      </c>
      <c r="AX45" s="29" t="s">
        <v>546</v>
      </c>
      <c r="BA45" s="29" t="s">
        <v>548</v>
      </c>
      <c r="BB45" s="29" t="s">
        <v>569</v>
      </c>
      <c r="BC45" s="29">
        <v>1</v>
      </c>
      <c r="BD45" s="29">
        <f>AW45+AZ45</f>
        <v>0.125</v>
      </c>
      <c r="BE45" s="29">
        <f>BD45+BC45</f>
        <v>1.125</v>
      </c>
      <c r="BF45" s="29" t="s">
        <v>546</v>
      </c>
      <c r="BG45" s="29" t="s">
        <v>546</v>
      </c>
      <c r="BH45" s="29" t="s">
        <v>546</v>
      </c>
      <c r="BI45" s="29" t="s">
        <v>546</v>
      </c>
      <c r="BJ45" s="29" t="s">
        <v>546</v>
      </c>
      <c r="BK45" s="29" t="s">
        <v>546</v>
      </c>
      <c r="BM45" s="29" t="s">
        <v>547</v>
      </c>
      <c r="BO45" s="29" t="s">
        <v>547</v>
      </c>
      <c r="BQ45" s="29" t="s">
        <v>547</v>
      </c>
      <c r="BS45" s="29" t="s">
        <v>547</v>
      </c>
      <c r="BU45" s="29" t="s">
        <v>547</v>
      </c>
      <c r="BW45" s="29">
        <f>(BL45*1)+(BN45*0.1)+(BP45*0.01)+(BR45*0.1)+(BT45*0.3)+(BV45*0.4)</f>
        <v>0</v>
      </c>
      <c r="BX45" s="29" t="s">
        <v>2223</v>
      </c>
      <c r="BY45" s="29">
        <v>2</v>
      </c>
      <c r="BZ45" s="29">
        <v>1</v>
      </c>
      <c r="CA45" s="29">
        <v>1</v>
      </c>
      <c r="CB45" s="29">
        <v>4</v>
      </c>
      <c r="CC45" s="29">
        <v>0</v>
      </c>
      <c r="CD45" s="29">
        <v>0</v>
      </c>
      <c r="CE45" s="29">
        <v>0</v>
      </c>
      <c r="CF45" s="29" t="s">
        <v>547</v>
      </c>
      <c r="CG45" s="29">
        <f>(CC45*15)+(CD45*0.8)+(CE45*0.3)+((AW45+AZ45)*15)</f>
        <v>1.875</v>
      </c>
      <c r="CH45" s="29" t="s">
        <v>2219</v>
      </c>
      <c r="CI45" s="29">
        <f>(BL45*1)+(BN45*0.1)+(BP45*0.01)+(BR45*0.1)+(BT45*0.3)+(BV45*0.4)+(CC45*15)+(CD45*0.8)+(CE45*0.3)+((AW45+AZ45)*15)</f>
        <v>1.875</v>
      </c>
      <c r="CJ45" s="29" t="s">
        <v>546</v>
      </c>
      <c r="CK45" s="29" t="s">
        <v>547</v>
      </c>
      <c r="CL45" s="29" t="s">
        <v>546</v>
      </c>
      <c r="CM45" s="29" t="s">
        <v>547</v>
      </c>
      <c r="CN45" s="29">
        <v>0.25</v>
      </c>
      <c r="CO45" s="29">
        <v>1.75</v>
      </c>
      <c r="CQ45" s="29" t="s">
        <v>548</v>
      </c>
      <c r="CR45" s="29">
        <v>2</v>
      </c>
      <c r="CS45" s="29">
        <v>6</v>
      </c>
      <c r="CT45" s="29" t="s">
        <v>551</v>
      </c>
      <c r="CU45" s="30">
        <v>0.72000000000000008</v>
      </c>
      <c r="CW45" s="29">
        <v>999</v>
      </c>
      <c r="CX45" s="29" t="s">
        <v>551</v>
      </c>
      <c r="CY45" s="62"/>
      <c r="CZ45" s="29">
        <v>2</v>
      </c>
      <c r="DA45" s="29">
        <v>2</v>
      </c>
      <c r="DB45" s="29" t="s">
        <v>551</v>
      </c>
      <c r="DC45" s="62">
        <v>0.24</v>
      </c>
      <c r="DD45" s="29" t="s">
        <v>548</v>
      </c>
      <c r="DE45" s="29" t="s">
        <v>548</v>
      </c>
      <c r="DF45" s="29" t="s">
        <v>548</v>
      </c>
      <c r="DG45" s="29" t="s">
        <v>548</v>
      </c>
      <c r="DH45" s="29" t="s">
        <v>548</v>
      </c>
      <c r="DI45" s="29">
        <v>5</v>
      </c>
      <c r="DJ45" s="29">
        <v>2</v>
      </c>
      <c r="DK45" s="29" t="s">
        <v>692</v>
      </c>
      <c r="DL45" s="29" t="s">
        <v>693</v>
      </c>
      <c r="DM45" s="29">
        <v>-4.3193278312683105</v>
      </c>
      <c r="DN45" s="29">
        <v>35.604427337646484</v>
      </c>
      <c r="DO45" s="29">
        <v>1582.5999755859375</v>
      </c>
      <c r="DP45" s="29">
        <v>5</v>
      </c>
      <c r="DQ45" s="29">
        <v>1706031849</v>
      </c>
      <c r="DR45" s="29" t="s">
        <v>694</v>
      </c>
      <c r="DS45" s="31">
        <v>42921.432523148149</v>
      </c>
      <c r="DT45" s="31">
        <v>42919.499236111107</v>
      </c>
      <c r="DU45" s="31">
        <v>42919.51180555555</v>
      </c>
      <c r="DV45" s="32">
        <v>42763</v>
      </c>
      <c r="DX45" s="44">
        <v>4.4800000000000004</v>
      </c>
      <c r="DY45" s="44">
        <v>3.71</v>
      </c>
      <c r="DZ45" s="44">
        <v>3.2060000000000004</v>
      </c>
      <c r="EA45" s="44">
        <v>2.8000000000000003</v>
      </c>
      <c r="EC45" s="29">
        <f>IF(EQ45&lt;EP45,"FALSEE",1)</f>
        <v>1</v>
      </c>
      <c r="EE45" s="29" t="s">
        <v>2175</v>
      </c>
      <c r="EF45" s="29">
        <v>12.7252845764</v>
      </c>
      <c r="EG45" s="29" t="str">
        <f>IF(EF45&lt;0.5,"Depression",IF(EF45&lt;2,"Very gentle",IF(EF45&lt;5,"Gentle",IF(EF45&lt;9,"Moderate",IF(EF45&lt;15,"Strong",IF(EF45&lt;30,"Steep",IF(EF45&lt;1,"Very steep")))))))</f>
        <v>Strong</v>
      </c>
      <c r="EH45" s="29" t="s">
        <v>2176</v>
      </c>
      <c r="EI45" s="29">
        <v>-1.35961997509</v>
      </c>
      <c r="EJ45" s="43">
        <v>7.5343203544600001</v>
      </c>
      <c r="EK45" s="43">
        <f>VLOOKUP(D45,[1]SoilData!$G$15:$K$237,5,FALSE)</f>
        <v>495.68682152580686</v>
      </c>
      <c r="EL45" s="43">
        <f>VLOOKUP(D45,[1]SoilData!$G$245:$K$451,5,FALSE)</f>
        <v>563.09897468574434</v>
      </c>
      <c r="EM45" s="43">
        <f>VLOOKUP(D45,[1]SoilData!$G$15:$M$238,7,FALSE)</f>
        <v>2.4119999999999999</v>
      </c>
      <c r="EN45" s="43">
        <f>VLOOKUP(D45,[1]SoilData!$G$245:$M$454,7,FALSE)</f>
        <v>2.1949999999999998</v>
      </c>
      <c r="EO45" s="60">
        <f>EM45-EN45</f>
        <v>0.21700000000000008</v>
      </c>
      <c r="EP45" s="44">
        <f>AVERAGE(DZ45:EA45)</f>
        <v>3.0030000000000001</v>
      </c>
      <c r="EQ45" s="44">
        <f>AVERAGE(DX45:DY45)</f>
        <v>4.0950000000000006</v>
      </c>
      <c r="ER45" s="43">
        <f>EQ45-EP45</f>
        <v>1.0920000000000005</v>
      </c>
      <c r="ES45" s="64">
        <f>IF(CU45&gt;0.000001,CU45*352,0)</f>
        <v>253.44000000000003</v>
      </c>
      <c r="ET45" s="64">
        <f>IF(DC45&gt;0.0001,DC45*682,0)</f>
        <v>163.68</v>
      </c>
      <c r="EU45" s="64">
        <f>CY45*795</f>
        <v>0</v>
      </c>
      <c r="EV45" s="64">
        <f>ES45+ET45+EU45</f>
        <v>417.12</v>
      </c>
      <c r="EW45" s="64">
        <f>IF(AA45="YES",3.5*18.2,0)</f>
        <v>63.699999999999996</v>
      </c>
      <c r="EX45" s="64">
        <f>EV45-EW45</f>
        <v>353.42</v>
      </c>
    </row>
    <row r="46" spans="1:154" ht="15" x14ac:dyDescent="0.2">
      <c r="A46" s="29" t="s">
        <v>770</v>
      </c>
      <c r="B46" s="29">
        <v>235</v>
      </c>
      <c r="C46" s="29" t="s">
        <v>573</v>
      </c>
      <c r="D46" s="29" t="s">
        <v>125</v>
      </c>
      <c r="E46" s="29" t="str">
        <f>VLOOKUP(D46,Harvest_2017_Formulae!$C$2:$D$968,2,FALSE)</f>
        <v>ENDAGWE</v>
      </c>
      <c r="F46" s="29" t="s">
        <v>732</v>
      </c>
      <c r="G46" s="29">
        <v>0</v>
      </c>
      <c r="H46" s="61" t="str">
        <f>IF(G46&lt;0.05,"Homefield",IF(G46&lt;0.5,"Midfield","outfield"))</f>
        <v>Homefield</v>
      </c>
      <c r="I46" s="29" t="s">
        <v>557</v>
      </c>
      <c r="J46" s="61" t="s">
        <v>2234</v>
      </c>
      <c r="K46" s="61" t="s">
        <v>2234</v>
      </c>
      <c r="L46" s="67">
        <v>0</v>
      </c>
      <c r="O46" s="29" t="s">
        <v>547</v>
      </c>
      <c r="Q46" s="67">
        <v>0</v>
      </c>
      <c r="R46" s="29" t="s">
        <v>547</v>
      </c>
      <c r="U46" s="29" t="s">
        <v>547</v>
      </c>
      <c r="W46" s="29" t="s">
        <v>547</v>
      </c>
      <c r="Z46" s="29" t="s">
        <v>547</v>
      </c>
      <c r="AA46" s="61" t="s">
        <v>546</v>
      </c>
      <c r="AB46" s="29" t="s">
        <v>547</v>
      </c>
      <c r="AC46" s="67">
        <v>0</v>
      </c>
      <c r="AD46" s="29" t="s">
        <v>547</v>
      </c>
      <c r="AF46" s="29" t="s">
        <v>547</v>
      </c>
      <c r="AG46" s="29" t="s">
        <v>547</v>
      </c>
      <c r="AH46" s="29" t="s">
        <v>546</v>
      </c>
      <c r="AI46" s="29" t="s">
        <v>546</v>
      </c>
      <c r="AJ46" s="29" t="s">
        <v>547</v>
      </c>
      <c r="AK46" s="67">
        <v>0</v>
      </c>
      <c r="AL46" s="29" t="s">
        <v>547</v>
      </c>
      <c r="AO46" s="29" t="s">
        <v>547</v>
      </c>
      <c r="AP46" s="29" t="s">
        <v>547</v>
      </c>
      <c r="AQ46" s="4">
        <f>Q46+AK46</f>
        <v>0</v>
      </c>
      <c r="AR46" s="4">
        <f>L46+AC46</f>
        <v>0</v>
      </c>
      <c r="AS46" t="str">
        <f>AQ46&amp;AR46</f>
        <v>00</v>
      </c>
      <c r="AT46" s="49">
        <f>AQ46-AR46</f>
        <v>0</v>
      </c>
      <c r="AU46">
        <v>1</v>
      </c>
      <c r="AV46" s="29" t="s">
        <v>548</v>
      </c>
      <c r="AW46" s="29">
        <v>0.75</v>
      </c>
      <c r="AX46" s="29" t="s">
        <v>546</v>
      </c>
      <c r="BA46" s="29" t="s">
        <v>546</v>
      </c>
      <c r="BB46" s="29" t="s">
        <v>547</v>
      </c>
      <c r="BD46" s="29">
        <f>AW46+AZ46</f>
        <v>0.75</v>
      </c>
      <c r="BE46" s="29">
        <f>BD46+BC46</f>
        <v>0.75</v>
      </c>
      <c r="BF46" s="29" t="s">
        <v>546</v>
      </c>
      <c r="BG46" s="29" t="s">
        <v>546</v>
      </c>
      <c r="BH46" s="29" t="s">
        <v>546</v>
      </c>
      <c r="BI46" s="29" t="s">
        <v>546</v>
      </c>
      <c r="BJ46" s="29" t="s">
        <v>546</v>
      </c>
      <c r="BK46" s="29" t="s">
        <v>546</v>
      </c>
      <c r="BM46" s="29" t="s">
        <v>547</v>
      </c>
      <c r="BO46" s="29" t="s">
        <v>547</v>
      </c>
      <c r="BQ46" s="29" t="s">
        <v>547</v>
      </c>
      <c r="BS46" s="29" t="s">
        <v>547</v>
      </c>
      <c r="BU46" s="29" t="s">
        <v>547</v>
      </c>
      <c r="BW46" s="29">
        <f>(BL46*1)+(BN46*0.1)+(BP46*0.01)+(BR46*0.1)+(BT46*0.3)+(BV46*0.4)</f>
        <v>0</v>
      </c>
      <c r="BX46" s="29" t="s">
        <v>2223</v>
      </c>
      <c r="BY46" s="29">
        <v>1</v>
      </c>
      <c r="BZ46" s="29">
        <v>1</v>
      </c>
      <c r="CA46" s="29">
        <v>2</v>
      </c>
      <c r="CB46" s="29">
        <v>4</v>
      </c>
      <c r="CC46" s="29">
        <v>0</v>
      </c>
      <c r="CD46" s="29">
        <v>0</v>
      </c>
      <c r="CE46" s="29">
        <v>0</v>
      </c>
      <c r="CF46" s="29" t="s">
        <v>547</v>
      </c>
      <c r="CG46" s="29">
        <f>(CC46*15)+(CD46*0.8)+(CE46*0.3)+((AW46+AZ46)*15)</f>
        <v>11.25</v>
      </c>
      <c r="CH46" s="29" t="s">
        <v>2219</v>
      </c>
      <c r="CI46" s="29">
        <f>(BL46*1)+(BN46*0.1)+(BP46*0.01)+(BR46*0.1)+(BT46*0.3)+(BV46*0.4)+(CC46*15)+(CD46*0.8)+(CE46*0.3)+((AW46+AZ46)*15)</f>
        <v>11.25</v>
      </c>
      <c r="CJ46" s="29" t="s">
        <v>546</v>
      </c>
      <c r="CK46" s="29" t="s">
        <v>547</v>
      </c>
      <c r="CL46" s="29" t="s">
        <v>546</v>
      </c>
      <c r="CM46" s="29" t="s">
        <v>547</v>
      </c>
      <c r="CN46" s="29">
        <v>0.25</v>
      </c>
      <c r="CO46" s="29">
        <v>2.75</v>
      </c>
      <c r="CQ46" s="29" t="s">
        <v>548</v>
      </c>
      <c r="CR46" s="29">
        <v>2</v>
      </c>
      <c r="CS46" s="29">
        <v>10</v>
      </c>
      <c r="CT46" s="29" t="s">
        <v>551</v>
      </c>
      <c r="CU46" s="30">
        <v>1.2</v>
      </c>
      <c r="CW46" s="29">
        <v>999</v>
      </c>
      <c r="CX46" s="29" t="s">
        <v>551</v>
      </c>
      <c r="CY46" s="62"/>
      <c r="CZ46" s="29">
        <v>2</v>
      </c>
      <c r="DA46" s="29">
        <v>4</v>
      </c>
      <c r="DB46" s="29" t="s">
        <v>551</v>
      </c>
      <c r="DC46" s="62">
        <v>0.48</v>
      </c>
      <c r="DD46" s="29" t="s">
        <v>546</v>
      </c>
      <c r="DE46" s="29" t="s">
        <v>546</v>
      </c>
      <c r="DF46" s="29" t="s">
        <v>546</v>
      </c>
      <c r="DG46" s="29" t="s">
        <v>546</v>
      </c>
      <c r="DH46" s="29" t="s">
        <v>546</v>
      </c>
      <c r="DI46" s="29">
        <v>0</v>
      </c>
      <c r="DJ46" s="29">
        <v>1</v>
      </c>
      <c r="DK46" s="29" t="s">
        <v>771</v>
      </c>
      <c r="DL46" s="29" t="s">
        <v>772</v>
      </c>
      <c r="DM46" s="29">
        <v>-4.3537940979003906</v>
      </c>
      <c r="DN46" s="29">
        <v>35.646560668945312</v>
      </c>
      <c r="DO46" s="29">
        <v>1611.9000244140625</v>
      </c>
      <c r="DP46" s="29">
        <v>5</v>
      </c>
      <c r="DQ46" s="29">
        <v>1706031849</v>
      </c>
      <c r="DR46" s="29" t="s">
        <v>773</v>
      </c>
      <c r="DS46" s="31">
        <v>42951.125914351855</v>
      </c>
      <c r="DT46" s="31">
        <v>42934.415405092594</v>
      </c>
      <c r="DU46" s="31">
        <v>42951.028831018513</v>
      </c>
      <c r="DV46" s="32">
        <v>42790</v>
      </c>
      <c r="DX46" s="44">
        <v>2.6414141414141419</v>
      </c>
      <c r="DY46" s="44">
        <v>2.5885858585858594</v>
      </c>
      <c r="DZ46" s="44">
        <v>0.97472222222222227</v>
      </c>
      <c r="EA46" s="44">
        <v>0.63861111111111113</v>
      </c>
      <c r="EC46" s="29">
        <f>IF(EQ46&lt;EP46,"FALSEE",1)</f>
        <v>1</v>
      </c>
      <c r="EE46" s="29" t="s">
        <v>2171</v>
      </c>
      <c r="EF46" s="29">
        <v>0.900638759136</v>
      </c>
      <c r="EG46" s="29" t="str">
        <f>IF(EF46&lt;0.5,"Depression",IF(EF46&lt;2,"Very gentle",IF(EF46&lt;5,"Gentle",IF(EF46&lt;9,"Moderate",IF(EF46&lt;15,"Strong",IF(EF46&lt;30,"Steep",IF(EF46&lt;1,"Very steep")))))))</f>
        <v>Very gentle</v>
      </c>
      <c r="EH46" s="29" t="s">
        <v>2173</v>
      </c>
      <c r="EI46" s="29">
        <v>0.18129228055499999</v>
      </c>
      <c r="EJ46" s="43">
        <v>8.7377004623399994</v>
      </c>
      <c r="EK46" s="43">
        <f>VLOOKUP(D46,[1]SoilData!$G$15:$K$237,5,FALSE)</f>
        <v>53.838956036018736</v>
      </c>
      <c r="EL46" s="43">
        <f>VLOOKUP(D46,[1]SoilData!$G$245:$K$451,5,FALSE)</f>
        <v>178.96485770693903</v>
      </c>
      <c r="EM46" s="43">
        <f>VLOOKUP(D46,[1]SoilData!$G$15:$M$238,7,FALSE)</f>
        <v>0.88900000000000001</v>
      </c>
      <c r="EN46" s="43">
        <f>VLOOKUP(D46,[1]SoilData!$G$245:$M$454,7,FALSE)</f>
        <v>0.98299999999999998</v>
      </c>
      <c r="EO46" s="60">
        <f>EM46-EN46</f>
        <v>-9.3999999999999972E-2</v>
      </c>
      <c r="EP46" s="44">
        <f>AVERAGE(DZ46:EA46)</f>
        <v>0.80666666666666664</v>
      </c>
      <c r="EQ46" s="44">
        <f>AVERAGE(DX46:DY46)</f>
        <v>2.6150000000000007</v>
      </c>
      <c r="ER46" s="43">
        <f>EQ46-EP46</f>
        <v>1.808333333333334</v>
      </c>
      <c r="ES46" s="64">
        <f>IF(CU46&gt;0.000001,CU46*352,0)</f>
        <v>422.4</v>
      </c>
      <c r="ET46" s="64">
        <f>IF(DC46&gt;0.0001,DC46*682,0)</f>
        <v>327.36</v>
      </c>
      <c r="EU46" s="64">
        <f>CY46*795</f>
        <v>0</v>
      </c>
      <c r="EV46" s="64">
        <f>ES46+ET46+EU46</f>
        <v>749.76</v>
      </c>
      <c r="EW46" s="64">
        <f>IF(AA46="YES",3.5*18.2,0)</f>
        <v>0</v>
      </c>
      <c r="EX46" s="64">
        <f>EV46-EW46</f>
        <v>749.76</v>
      </c>
    </row>
    <row r="47" spans="1:154" ht="15" x14ac:dyDescent="0.2">
      <c r="A47" s="29" t="s">
        <v>556</v>
      </c>
      <c r="B47" s="29">
        <v>234</v>
      </c>
      <c r="C47" s="29" t="s">
        <v>573</v>
      </c>
      <c r="D47" s="29" t="s">
        <v>418</v>
      </c>
      <c r="E47" s="29" t="str">
        <f>VLOOKUP(D47,Harvest_2017_Formulae!$C$2:$D$968,2,FALSE)</f>
        <v>ENDAGWE</v>
      </c>
      <c r="F47" s="29" t="s">
        <v>732</v>
      </c>
      <c r="G47" s="29">
        <v>0</v>
      </c>
      <c r="H47" s="61" t="str">
        <f>IF(G47&lt;0.05,"Homefield",IF(G47&lt;0.5,"Midfield","outfield"))</f>
        <v>Homefield</v>
      </c>
      <c r="I47" s="29" t="s">
        <v>557</v>
      </c>
      <c r="J47" s="61" t="s">
        <v>2233</v>
      </c>
      <c r="K47" s="61" t="s">
        <v>2233</v>
      </c>
      <c r="L47" s="67">
        <v>0</v>
      </c>
      <c r="O47" s="29" t="s">
        <v>547</v>
      </c>
      <c r="Q47" s="67">
        <v>0</v>
      </c>
      <c r="R47" s="29" t="s">
        <v>547</v>
      </c>
      <c r="U47" s="29" t="s">
        <v>547</v>
      </c>
      <c r="W47" s="29" t="s">
        <v>547</v>
      </c>
      <c r="Z47" s="29" t="s">
        <v>547</v>
      </c>
      <c r="AA47" s="61" t="s">
        <v>546</v>
      </c>
      <c r="AB47" s="29" t="s">
        <v>547</v>
      </c>
      <c r="AC47" s="67">
        <v>0</v>
      </c>
      <c r="AD47" s="29" t="s">
        <v>547</v>
      </c>
      <c r="AF47" s="29" t="s">
        <v>547</v>
      </c>
      <c r="AG47" s="29" t="s">
        <v>547</v>
      </c>
      <c r="AH47" s="29" t="s">
        <v>546</v>
      </c>
      <c r="AI47" s="29" t="s">
        <v>546</v>
      </c>
      <c r="AJ47" s="29" t="s">
        <v>547</v>
      </c>
      <c r="AK47" s="67">
        <v>0</v>
      </c>
      <c r="AL47" s="29" t="s">
        <v>547</v>
      </c>
      <c r="AO47" s="29" t="s">
        <v>547</v>
      </c>
      <c r="AP47" s="29" t="s">
        <v>547</v>
      </c>
      <c r="AQ47" s="4">
        <f>Q47+AK47</f>
        <v>0</v>
      </c>
      <c r="AR47" s="4">
        <f>L47+AC47</f>
        <v>0</v>
      </c>
      <c r="AS47" t="str">
        <f>AQ47&amp;AR47</f>
        <v>00</v>
      </c>
      <c r="AT47" s="49">
        <f>AQ47-AR47</f>
        <v>0</v>
      </c>
      <c r="AU47">
        <v>1</v>
      </c>
      <c r="AV47" s="29" t="s">
        <v>548</v>
      </c>
      <c r="AW47" s="29">
        <v>0.25</v>
      </c>
      <c r="AX47" s="29" t="s">
        <v>546</v>
      </c>
      <c r="BA47" s="29" t="s">
        <v>546</v>
      </c>
      <c r="BB47" s="29" t="s">
        <v>547</v>
      </c>
      <c r="BD47" s="29">
        <f>AW47+AZ47</f>
        <v>0.25</v>
      </c>
      <c r="BE47" s="29">
        <f>BD47+BC47</f>
        <v>0.25</v>
      </c>
      <c r="BF47" s="29" t="s">
        <v>546</v>
      </c>
      <c r="BG47" s="29" t="s">
        <v>546</v>
      </c>
      <c r="BH47" s="29" t="s">
        <v>546</v>
      </c>
      <c r="BI47" s="29" t="s">
        <v>546</v>
      </c>
      <c r="BJ47" s="29" t="s">
        <v>546</v>
      </c>
      <c r="BK47" s="29" t="s">
        <v>546</v>
      </c>
      <c r="BM47" s="29" t="s">
        <v>547</v>
      </c>
      <c r="BO47" s="29" t="s">
        <v>547</v>
      </c>
      <c r="BQ47" s="29" t="s">
        <v>547</v>
      </c>
      <c r="BS47" s="29" t="s">
        <v>547</v>
      </c>
      <c r="BU47" s="29" t="s">
        <v>547</v>
      </c>
      <c r="BW47" s="29">
        <f>(BL47*1)+(BN47*0.1)+(BP47*0.01)+(BR47*0.1)+(BT47*0.3)+(BV47*0.4)</f>
        <v>0</v>
      </c>
      <c r="BX47" s="29" t="s">
        <v>2223</v>
      </c>
      <c r="BY47" s="29">
        <v>1</v>
      </c>
      <c r="BZ47" s="29">
        <v>1</v>
      </c>
      <c r="CA47" s="29">
        <v>5</v>
      </c>
      <c r="CB47" s="29">
        <v>7</v>
      </c>
      <c r="CC47" s="29">
        <v>1</v>
      </c>
      <c r="CD47" s="29">
        <v>0</v>
      </c>
      <c r="CE47" s="29">
        <v>1</v>
      </c>
      <c r="CF47" s="29" t="s">
        <v>547</v>
      </c>
      <c r="CG47" s="29">
        <f>(CC47*15)+(CD47*0.8)+(CE47*0.3)+((AW47+AZ47)*15)</f>
        <v>19.05</v>
      </c>
      <c r="CH47" s="29" t="s">
        <v>2220</v>
      </c>
      <c r="CI47" s="29">
        <f>(BL47*1)+(BN47*0.1)+(BP47*0.01)+(BR47*0.1)+(BT47*0.3)+(BV47*0.4)+(CC47*15)+(CD47*0.8)+(CE47*0.3)+((AW47+AZ47)*15)</f>
        <v>19.05</v>
      </c>
      <c r="CJ47" s="29" t="s">
        <v>546</v>
      </c>
      <c r="CK47" s="29" t="s">
        <v>547</v>
      </c>
      <c r="CL47" s="29" t="s">
        <v>546</v>
      </c>
      <c r="CM47" s="29" t="s">
        <v>547</v>
      </c>
      <c r="CN47" s="29">
        <v>0.25</v>
      </c>
      <c r="CO47" s="29">
        <v>0.75</v>
      </c>
      <c r="CQ47" s="29" t="s">
        <v>546</v>
      </c>
      <c r="CR47" s="29">
        <v>4</v>
      </c>
      <c r="CS47" s="29">
        <v>35</v>
      </c>
      <c r="CT47" s="29" t="s">
        <v>551</v>
      </c>
      <c r="CU47" s="30">
        <v>2.1</v>
      </c>
      <c r="CW47" s="29">
        <v>999</v>
      </c>
      <c r="CX47" s="29" t="s">
        <v>551</v>
      </c>
      <c r="CY47" s="62"/>
      <c r="CZ47" s="29">
        <v>1</v>
      </c>
      <c r="DA47" s="29">
        <v>2.5</v>
      </c>
      <c r="DB47" s="29" t="s">
        <v>551</v>
      </c>
      <c r="DC47" s="62">
        <v>0.6</v>
      </c>
      <c r="DD47" s="29" t="s">
        <v>546</v>
      </c>
      <c r="DE47" s="29" t="s">
        <v>546</v>
      </c>
      <c r="DF47" s="29" t="s">
        <v>546</v>
      </c>
      <c r="DG47" s="29" t="s">
        <v>546</v>
      </c>
      <c r="DH47" s="29" t="s">
        <v>546</v>
      </c>
      <c r="DI47" s="29">
        <v>0</v>
      </c>
      <c r="DJ47" s="29">
        <v>1</v>
      </c>
      <c r="DK47" s="29" t="s">
        <v>764</v>
      </c>
      <c r="DL47" s="29" t="s">
        <v>765</v>
      </c>
      <c r="DM47" s="29">
        <v>-4.2783560752868652</v>
      </c>
      <c r="DN47" s="29">
        <v>35.890415191650391</v>
      </c>
      <c r="DO47" s="29">
        <v>1226.0999755859375</v>
      </c>
      <c r="DP47" s="29">
        <v>5</v>
      </c>
      <c r="DQ47" s="29">
        <v>1706031849</v>
      </c>
      <c r="DR47" s="29" t="s">
        <v>766</v>
      </c>
      <c r="DS47" s="31">
        <v>42951.125891203701</v>
      </c>
      <c r="DT47" s="31">
        <v>42913.427199074074</v>
      </c>
      <c r="DU47" s="31">
        <v>42951.115960648152</v>
      </c>
      <c r="DV47" s="32">
        <v>42790</v>
      </c>
      <c r="DX47" s="44">
        <v>1.3547463768115942</v>
      </c>
      <c r="DY47" s="44">
        <v>1.3094202898550724</v>
      </c>
      <c r="DZ47" s="44">
        <v>0.54986568986568995</v>
      </c>
      <c r="EA47" s="44">
        <v>0.75374847374847387</v>
      </c>
      <c r="EC47" s="29">
        <f>IF(EQ47&lt;EP47,"FALSEE",1)</f>
        <v>1</v>
      </c>
      <c r="EE47" s="29" t="s">
        <v>2171</v>
      </c>
      <c r="EF47" s="29">
        <v>0.900638759136</v>
      </c>
      <c r="EG47" s="29" t="str">
        <f>IF(EF47&lt;0.5,"Depression",IF(EF47&lt;2,"Very gentle",IF(EF47&lt;5,"Gentle",IF(EF47&lt;9,"Moderate",IF(EF47&lt;15,"Strong",IF(EF47&lt;30,"Steep",IF(EF47&lt;1,"Very steep")))))))</f>
        <v>Very gentle</v>
      </c>
      <c r="EH47" s="29" t="s">
        <v>2173</v>
      </c>
      <c r="EI47" s="29">
        <v>0.18129228055499999</v>
      </c>
      <c r="EJ47" s="43">
        <v>8.7377004623399994</v>
      </c>
      <c r="EK47" s="43"/>
      <c r="EL47" s="43">
        <f>VLOOKUP(D47,[1]SoilData!$G$245:$K$451,5,FALSE)</f>
        <v>198.75447806203553</v>
      </c>
      <c r="EM47" s="43"/>
      <c r="EN47" s="43">
        <f>VLOOKUP(D47,[1]SoilData!$G$245:$M$454,7,FALSE)</f>
        <v>1.258</v>
      </c>
      <c r="EO47" s="60"/>
      <c r="EP47" s="44">
        <f>AVERAGE(DZ47:EA47)</f>
        <v>0.65180708180708191</v>
      </c>
      <c r="EQ47" s="44">
        <f>AVERAGE(DX47:DY47)</f>
        <v>1.3320833333333333</v>
      </c>
      <c r="ER47" s="43">
        <f>EQ47-EP47</f>
        <v>0.68027625152625137</v>
      </c>
      <c r="ES47" s="64">
        <f>IF(CU47&gt;0.000001,CU47*352,0)</f>
        <v>739.2</v>
      </c>
      <c r="ET47" s="64">
        <f>IF(DC47&gt;0.0001,DC47*682,0)</f>
        <v>409.2</v>
      </c>
      <c r="EU47" s="64">
        <f>CY47*795</f>
        <v>0</v>
      </c>
      <c r="EV47" s="64">
        <f>ES47+ET47+EU47</f>
        <v>1148.4000000000001</v>
      </c>
      <c r="EW47" s="64">
        <f>IF(AA47="YES",3.5*18.2,0)</f>
        <v>0</v>
      </c>
      <c r="EX47" s="64">
        <f>EV47-EW47</f>
        <v>1148.4000000000001</v>
      </c>
    </row>
    <row r="48" spans="1:154" ht="15" x14ac:dyDescent="0.2">
      <c r="A48" s="29" t="s">
        <v>556</v>
      </c>
      <c r="B48" s="29">
        <v>213</v>
      </c>
      <c r="C48" s="29" t="s">
        <v>341</v>
      </c>
      <c r="D48" s="29" t="s">
        <v>341</v>
      </c>
      <c r="E48" s="29" t="str">
        <f>VLOOKUP(D48,Harvest_2017_Formulae!$C$2:$D$968,2,FALSE)</f>
        <v>ENDAGWE</v>
      </c>
      <c r="F48" s="29" t="s">
        <v>732</v>
      </c>
      <c r="G48" s="29">
        <v>0</v>
      </c>
      <c r="H48" s="61" t="str">
        <f>IF(G48&lt;0.05,"Homefield",IF(G48&lt;0.5,"Midfield","outfield"))</f>
        <v>Homefield</v>
      </c>
      <c r="I48" s="29" t="s">
        <v>557</v>
      </c>
      <c r="J48" s="61" t="s">
        <v>2233</v>
      </c>
      <c r="K48" s="61" t="s">
        <v>2233</v>
      </c>
      <c r="L48" s="67">
        <v>0</v>
      </c>
      <c r="O48" s="29" t="s">
        <v>547</v>
      </c>
      <c r="Q48" s="67">
        <v>0</v>
      </c>
      <c r="R48" s="29" t="s">
        <v>547</v>
      </c>
      <c r="U48" s="29" t="s">
        <v>547</v>
      </c>
      <c r="W48" s="29" t="s">
        <v>547</v>
      </c>
      <c r="Z48" s="29" t="s">
        <v>547</v>
      </c>
      <c r="AA48" s="61" t="s">
        <v>546</v>
      </c>
      <c r="AB48" s="29" t="s">
        <v>547</v>
      </c>
      <c r="AC48" s="67">
        <v>0</v>
      </c>
      <c r="AD48" s="29" t="s">
        <v>547</v>
      </c>
      <c r="AF48" s="29" t="s">
        <v>547</v>
      </c>
      <c r="AG48" s="29" t="s">
        <v>547</v>
      </c>
      <c r="AH48" s="29" t="s">
        <v>546</v>
      </c>
      <c r="AI48" s="29" t="s">
        <v>546</v>
      </c>
      <c r="AJ48" s="29" t="s">
        <v>547</v>
      </c>
      <c r="AK48" s="67">
        <v>0</v>
      </c>
      <c r="AL48" s="29" t="s">
        <v>547</v>
      </c>
      <c r="AO48" s="29" t="s">
        <v>547</v>
      </c>
      <c r="AP48" s="29" t="s">
        <v>547</v>
      </c>
      <c r="AQ48" s="4">
        <f>Q48+AK48</f>
        <v>0</v>
      </c>
      <c r="AR48" s="4">
        <f>L48+AC48</f>
        <v>0</v>
      </c>
      <c r="AS48" t="str">
        <f>AQ48&amp;AR48</f>
        <v>00</v>
      </c>
      <c r="AT48" s="49">
        <f>AQ48-AR48</f>
        <v>0</v>
      </c>
      <c r="AU48">
        <v>1</v>
      </c>
      <c r="AV48" s="29" t="s">
        <v>548</v>
      </c>
      <c r="AW48" s="29">
        <v>0.75</v>
      </c>
      <c r="AX48" s="29" t="s">
        <v>548</v>
      </c>
      <c r="AY48" s="29">
        <v>1</v>
      </c>
      <c r="AZ48" s="29">
        <v>1</v>
      </c>
      <c r="BA48" s="29" t="s">
        <v>546</v>
      </c>
      <c r="BB48" s="29" t="s">
        <v>547</v>
      </c>
      <c r="BD48" s="29">
        <f>AW48+AZ48</f>
        <v>1.75</v>
      </c>
      <c r="BE48" s="29">
        <f>BD48+BC48</f>
        <v>1.75</v>
      </c>
      <c r="BF48" s="29" t="s">
        <v>546</v>
      </c>
      <c r="BG48" s="29" t="s">
        <v>546</v>
      </c>
      <c r="BH48" s="29" t="s">
        <v>546</v>
      </c>
      <c r="BI48" s="29" t="s">
        <v>546</v>
      </c>
      <c r="BJ48" s="29" t="s">
        <v>546</v>
      </c>
      <c r="BK48" s="29" t="s">
        <v>546</v>
      </c>
      <c r="BM48" s="29" t="s">
        <v>547</v>
      </c>
      <c r="BO48" s="29" t="s">
        <v>547</v>
      </c>
      <c r="BQ48" s="29" t="s">
        <v>547</v>
      </c>
      <c r="BS48" s="29" t="s">
        <v>547</v>
      </c>
      <c r="BU48" s="29" t="s">
        <v>547</v>
      </c>
      <c r="BW48" s="29">
        <f>(BL48*1)+(BN48*0.1)+(BP48*0.01)+(BR48*0.1)+(BT48*0.3)+(BV48*0.4)</f>
        <v>0</v>
      </c>
      <c r="BX48" s="29" t="s">
        <v>2223</v>
      </c>
      <c r="BY48" s="29">
        <v>1</v>
      </c>
      <c r="BZ48" s="29">
        <v>0</v>
      </c>
      <c r="CA48" s="29">
        <v>0</v>
      </c>
      <c r="CB48" s="29">
        <v>1</v>
      </c>
      <c r="CC48" s="29">
        <v>0</v>
      </c>
      <c r="CD48" s="29">
        <v>0</v>
      </c>
      <c r="CE48" s="29">
        <v>0</v>
      </c>
      <c r="CF48" s="29" t="s">
        <v>547</v>
      </c>
      <c r="CG48" s="29">
        <f>(CC48*15)+(CD48*0.8)+(CE48*0.3)+((AW48+AZ48)*15)</f>
        <v>26.25</v>
      </c>
      <c r="CH48" s="29" t="s">
        <v>2220</v>
      </c>
      <c r="CI48" s="29">
        <f>(BL48*1)+(BN48*0.1)+(BP48*0.01)+(BR48*0.1)+(BT48*0.3)+(BV48*0.4)+(CC48*15)+(CD48*0.8)+(CE48*0.3)+((AW48+AZ48)*15)</f>
        <v>26.25</v>
      </c>
      <c r="CJ48" s="29" t="s">
        <v>546</v>
      </c>
      <c r="CK48" s="29" t="s">
        <v>547</v>
      </c>
      <c r="CL48" s="29" t="s">
        <v>546</v>
      </c>
      <c r="CM48" s="29" t="s">
        <v>547</v>
      </c>
      <c r="CN48" s="29">
        <v>0.25</v>
      </c>
      <c r="CO48" s="29">
        <v>0.25</v>
      </c>
      <c r="CQ48" s="29" t="s">
        <v>546</v>
      </c>
      <c r="CR48" s="29">
        <v>0.75</v>
      </c>
      <c r="CS48" s="29">
        <v>4</v>
      </c>
      <c r="CT48" s="29" t="s">
        <v>551</v>
      </c>
      <c r="CU48" s="30">
        <v>1.28</v>
      </c>
      <c r="CW48" s="29">
        <v>999</v>
      </c>
      <c r="CX48" s="29" t="s">
        <v>551</v>
      </c>
      <c r="CY48" s="62"/>
      <c r="CZ48" s="29">
        <v>0.75</v>
      </c>
      <c r="DA48" s="29">
        <v>1</v>
      </c>
      <c r="DB48" s="29" t="s">
        <v>551</v>
      </c>
      <c r="DC48" s="62">
        <v>0.32</v>
      </c>
      <c r="DD48" s="29" t="s">
        <v>546</v>
      </c>
      <c r="DE48" s="29" t="s">
        <v>546</v>
      </c>
      <c r="DF48" s="29" t="s">
        <v>546</v>
      </c>
      <c r="DG48" s="29" t="s">
        <v>546</v>
      </c>
      <c r="DH48" s="29" t="s">
        <v>546</v>
      </c>
      <c r="DI48" s="29">
        <v>0</v>
      </c>
      <c r="DJ48" s="29">
        <v>2</v>
      </c>
      <c r="DK48" s="29" t="s">
        <v>740</v>
      </c>
      <c r="DL48" s="29" t="s">
        <v>741</v>
      </c>
      <c r="DM48" s="29">
        <v>-4.3540863990783691</v>
      </c>
      <c r="DN48" s="29">
        <v>35.648262023925781</v>
      </c>
      <c r="DO48" s="29">
        <v>1601.300048828125</v>
      </c>
      <c r="DP48" s="29">
        <v>5</v>
      </c>
      <c r="DQ48" s="29">
        <v>1706031849</v>
      </c>
      <c r="DR48" s="29" t="s">
        <v>742</v>
      </c>
      <c r="DS48" s="31">
        <v>42950.967233796298</v>
      </c>
      <c r="DT48" s="31">
        <v>42934.445150462961</v>
      </c>
      <c r="DU48" s="31">
        <v>42950.950196759259</v>
      </c>
      <c r="DV48" s="32">
        <v>42770</v>
      </c>
      <c r="DX48" s="44">
        <v>1.4793795093795095</v>
      </c>
      <c r="DY48" s="44">
        <v>1.8562914862914865</v>
      </c>
      <c r="DZ48" s="44">
        <v>0.5861333333333334</v>
      </c>
      <c r="EA48" s="44">
        <v>0.65591111111111111</v>
      </c>
      <c r="EC48" s="29">
        <f>IF(EQ48&lt;EP48,"FALSEE",1)</f>
        <v>1</v>
      </c>
      <c r="EE48" s="29" t="s">
        <v>2174</v>
      </c>
      <c r="EF48" s="29">
        <v>6.2356286048899996</v>
      </c>
      <c r="EG48" s="29" t="str">
        <f>IF(EF48&lt;0.5,"Depression",IF(EF48&lt;2,"Very gentle",IF(EF48&lt;5,"Gentle",IF(EF48&lt;9,"Moderate",IF(EF48&lt;15,"Strong",IF(EF48&lt;30,"Steep",IF(EF48&lt;1,"Very steep")))))))</f>
        <v>Moderate</v>
      </c>
      <c r="EH48" s="29" t="s">
        <v>2178</v>
      </c>
      <c r="EI48" s="29">
        <v>-9.0633422136300004E-2</v>
      </c>
      <c r="EJ48" s="43">
        <v>7.4885134697</v>
      </c>
      <c r="EK48" s="43"/>
      <c r="EL48" s="43">
        <f>VLOOKUP(D48,[1]SoilData!$G$245:$K$451,5,FALSE)</f>
        <v>241.52780854239919</v>
      </c>
      <c r="EM48" s="43"/>
      <c r="EN48" s="43">
        <f>VLOOKUP(D48,[1]SoilData!$G$245:$M$454,7,FALSE)</f>
        <v>1.472</v>
      </c>
      <c r="EO48" s="60"/>
      <c r="EP48" s="44">
        <f>AVERAGE(DZ48:EA48)</f>
        <v>0.62102222222222225</v>
      </c>
      <c r="EQ48" s="44">
        <f>AVERAGE(DX48:DY48)</f>
        <v>1.6678354978354979</v>
      </c>
      <c r="ER48" s="43">
        <f>EQ48-EP48</f>
        <v>1.0468132756132755</v>
      </c>
      <c r="ES48" s="64">
        <f>IF(CU48&gt;0.000001,CU48*352,0)</f>
        <v>450.56</v>
      </c>
      <c r="ET48" s="64">
        <f>IF(DC48&gt;0.0001,DC48*682,0)</f>
        <v>218.24</v>
      </c>
      <c r="EU48" s="64">
        <f>CY48*795</f>
        <v>0</v>
      </c>
      <c r="EV48" s="64">
        <f>ES48+ET48+EU48</f>
        <v>668.8</v>
      </c>
      <c r="EW48" s="64">
        <f>IF(AA48="YES",3.5*18.2,0)</f>
        <v>0</v>
      </c>
      <c r="EX48" s="64">
        <f>EV48-EW48</f>
        <v>668.8</v>
      </c>
    </row>
    <row r="49" spans="1:154" ht="15" x14ac:dyDescent="0.2">
      <c r="A49" s="29" t="s">
        <v>556</v>
      </c>
      <c r="B49" s="29">
        <v>175</v>
      </c>
      <c r="C49" s="29" t="s">
        <v>333</v>
      </c>
      <c r="D49" s="29" t="s">
        <v>333</v>
      </c>
      <c r="E49" s="29" t="str">
        <f>VLOOKUP(D49,Harvest_2017_Formulae!$C$2:$D$968,2,FALSE)</f>
        <v>DURU</v>
      </c>
      <c r="F49" s="29" t="s">
        <v>645</v>
      </c>
      <c r="G49" s="29">
        <v>2</v>
      </c>
      <c r="H49" s="61" t="str">
        <f>IF(G49&lt;0.05,"Homefield",IF(G49&lt;0.5,"Midfield","outfield"))</f>
        <v>outfield</v>
      </c>
      <c r="I49" s="29" t="s">
        <v>557</v>
      </c>
      <c r="J49" s="61" t="s">
        <v>2233</v>
      </c>
      <c r="K49" s="61" t="s">
        <v>2233</v>
      </c>
      <c r="L49" s="67">
        <v>0</v>
      </c>
      <c r="O49" s="29" t="s">
        <v>547</v>
      </c>
      <c r="Q49" s="67">
        <v>0</v>
      </c>
      <c r="R49" s="29" t="s">
        <v>547</v>
      </c>
      <c r="U49" s="29" t="s">
        <v>547</v>
      </c>
      <c r="W49" s="29" t="s">
        <v>547</v>
      </c>
      <c r="Z49" s="29" t="s">
        <v>547</v>
      </c>
      <c r="AA49" s="61" t="s">
        <v>546</v>
      </c>
      <c r="AB49" s="29" t="s">
        <v>547</v>
      </c>
      <c r="AC49" s="67">
        <v>0</v>
      </c>
      <c r="AD49" s="29" t="s">
        <v>547</v>
      </c>
      <c r="AF49" s="29" t="s">
        <v>547</v>
      </c>
      <c r="AG49" s="29" t="s">
        <v>547</v>
      </c>
      <c r="AH49" s="29" t="s">
        <v>546</v>
      </c>
      <c r="AI49" s="29" t="s">
        <v>546</v>
      </c>
      <c r="AJ49" s="29" t="s">
        <v>547</v>
      </c>
      <c r="AK49" s="67">
        <v>0</v>
      </c>
      <c r="AL49" s="29" t="s">
        <v>547</v>
      </c>
      <c r="AO49" s="29" t="s">
        <v>547</v>
      </c>
      <c r="AP49" s="29" t="s">
        <v>547</v>
      </c>
      <c r="AQ49" s="4">
        <f>Q49+AK49</f>
        <v>0</v>
      </c>
      <c r="AR49" s="4">
        <f>L49+AC49</f>
        <v>0</v>
      </c>
      <c r="AS49" t="str">
        <f>AQ49&amp;AR49</f>
        <v>00</v>
      </c>
      <c r="AT49" s="49">
        <f>AQ49-AR49</f>
        <v>0</v>
      </c>
      <c r="AU49">
        <v>1</v>
      </c>
      <c r="AV49" s="29" t="s">
        <v>548</v>
      </c>
      <c r="AW49" s="29">
        <v>0.125</v>
      </c>
      <c r="AX49" s="29" t="s">
        <v>548</v>
      </c>
      <c r="AY49" s="29">
        <v>1</v>
      </c>
      <c r="AZ49" s="29">
        <v>2</v>
      </c>
      <c r="BA49" s="29" t="s">
        <v>548</v>
      </c>
      <c r="BB49" s="29" t="s">
        <v>569</v>
      </c>
      <c r="BC49" s="29">
        <v>0.5</v>
      </c>
      <c r="BD49" s="29">
        <f>AW49+AZ49</f>
        <v>2.125</v>
      </c>
      <c r="BE49" s="29">
        <f>BD49+BC49</f>
        <v>2.625</v>
      </c>
      <c r="BF49" s="29" t="s">
        <v>546</v>
      </c>
      <c r="BG49" s="29" t="s">
        <v>546</v>
      </c>
      <c r="BH49" s="29" t="s">
        <v>546</v>
      </c>
      <c r="BI49" s="29" t="s">
        <v>546</v>
      </c>
      <c r="BJ49" s="29" t="s">
        <v>546</v>
      </c>
      <c r="BK49" s="29" t="s">
        <v>546</v>
      </c>
      <c r="BM49" s="29" t="s">
        <v>547</v>
      </c>
      <c r="BO49" s="29" t="s">
        <v>547</v>
      </c>
      <c r="BQ49" s="29" t="s">
        <v>547</v>
      </c>
      <c r="BS49" s="29" t="s">
        <v>547</v>
      </c>
      <c r="BU49" s="29" t="s">
        <v>547</v>
      </c>
      <c r="BW49" s="29">
        <f>(BL49*1)+(BN49*0.1)+(BP49*0.01)+(BR49*0.1)+(BT49*0.3)+(BV49*0.4)</f>
        <v>0</v>
      </c>
      <c r="BX49" s="29" t="s">
        <v>2223</v>
      </c>
      <c r="BY49" s="29">
        <v>1</v>
      </c>
      <c r="BZ49" s="29">
        <v>0</v>
      </c>
      <c r="CA49" s="29">
        <v>0</v>
      </c>
      <c r="CB49" s="29">
        <v>1</v>
      </c>
      <c r="CC49" s="29">
        <v>0</v>
      </c>
      <c r="CD49" s="29">
        <v>0</v>
      </c>
      <c r="CE49" s="29">
        <v>0</v>
      </c>
      <c r="CF49" s="29" t="s">
        <v>547</v>
      </c>
      <c r="CG49" s="29">
        <f>(CC49*15)+(CD49*0.8)+(CE49*0.3)+((AW49+AZ49)*15)</f>
        <v>31.875</v>
      </c>
      <c r="CH49" s="29" t="s">
        <v>2220</v>
      </c>
      <c r="CI49" s="29">
        <f>(BL49*1)+(BN49*0.1)+(BP49*0.01)+(BR49*0.1)+(BT49*0.3)+(BV49*0.4)+(CC49*15)+(CD49*0.8)+(CE49*0.3)+((AW49+AZ49)*15)</f>
        <v>31.875</v>
      </c>
      <c r="CJ49" s="29" t="s">
        <v>546</v>
      </c>
      <c r="CK49" s="29" t="s">
        <v>547</v>
      </c>
      <c r="CL49" s="29" t="s">
        <v>548</v>
      </c>
      <c r="CM49" s="29" t="s">
        <v>550</v>
      </c>
      <c r="CN49" s="29">
        <v>0.25</v>
      </c>
      <c r="CO49" s="29">
        <v>0.25</v>
      </c>
      <c r="CQ49" s="29" t="s">
        <v>548</v>
      </c>
      <c r="CR49" s="29">
        <v>0.5</v>
      </c>
      <c r="CS49" s="29">
        <v>5</v>
      </c>
      <c r="CT49" s="29" t="s">
        <v>551</v>
      </c>
      <c r="CU49" s="30">
        <v>2.4</v>
      </c>
      <c r="CW49" s="29">
        <v>999</v>
      </c>
      <c r="CX49" s="29" t="s">
        <v>551</v>
      </c>
      <c r="CY49" s="62"/>
      <c r="CZ49" s="29">
        <v>0.5</v>
      </c>
      <c r="DA49" s="29">
        <v>3</v>
      </c>
      <c r="DB49" s="29" t="s">
        <v>551</v>
      </c>
      <c r="DC49" s="62">
        <v>1.44</v>
      </c>
      <c r="DD49" s="29" t="s">
        <v>546</v>
      </c>
      <c r="DE49" s="29" t="s">
        <v>546</v>
      </c>
      <c r="DF49" s="29" t="s">
        <v>546</v>
      </c>
      <c r="DG49" s="29" t="s">
        <v>546</v>
      </c>
      <c r="DH49" s="29" t="s">
        <v>546</v>
      </c>
      <c r="DI49" s="29">
        <v>0</v>
      </c>
      <c r="DJ49" s="29">
        <v>2</v>
      </c>
      <c r="DK49" s="29" t="s">
        <v>684</v>
      </c>
      <c r="DL49" s="29" t="s">
        <v>685</v>
      </c>
      <c r="DM49" s="29">
        <v>-4.3097758293151855</v>
      </c>
      <c r="DN49" s="29">
        <v>35.596157073974609</v>
      </c>
      <c r="DO49" s="29">
        <v>1632.5</v>
      </c>
      <c r="DP49" s="29">
        <v>5</v>
      </c>
      <c r="DQ49" s="29">
        <v>1706031849</v>
      </c>
      <c r="DR49" s="29" t="s">
        <v>686</v>
      </c>
      <c r="DS49" s="31">
        <v>42926.575682870374</v>
      </c>
      <c r="DT49" s="31">
        <v>42921.433472222227</v>
      </c>
      <c r="DU49" s="31">
        <v>42921.724583333329</v>
      </c>
      <c r="DV49" s="32">
        <v>42739</v>
      </c>
      <c r="DX49" s="44">
        <v>4.7516239316239322</v>
      </c>
      <c r="DY49" s="44">
        <v>4.2922317188983863</v>
      </c>
      <c r="DZ49" s="44">
        <v>1.7026337448559672</v>
      </c>
      <c r="EA49" s="44">
        <v>2.0009053497942388</v>
      </c>
      <c r="EC49" s="29">
        <f>IF(EQ49&lt;EP49,"FALSEE",1)</f>
        <v>1</v>
      </c>
      <c r="EE49" s="29" t="s">
        <v>2181</v>
      </c>
      <c r="EF49" s="29">
        <v>2.5552546978000001</v>
      </c>
      <c r="EG49" s="29" t="str">
        <f>IF(EF49&lt;0.5,"Depression",IF(EF49&lt;2,"Very gentle",IF(EF49&lt;5,"Gentle",IF(EF49&lt;9,"Moderate",IF(EF49&lt;15,"Strong",IF(EF49&lt;30,"Steep",IF(EF49&lt;1,"Very steep")))))))</f>
        <v>Gentle</v>
      </c>
      <c r="EH49" s="29" t="s">
        <v>2182</v>
      </c>
      <c r="EI49" s="29">
        <v>1.35963702202</v>
      </c>
      <c r="EJ49" s="43">
        <v>7.52337741852</v>
      </c>
      <c r="EK49" s="43"/>
      <c r="EL49" s="43">
        <f>VLOOKUP(D49,[1]SoilData!$G$245:$K$451,5,FALSE)</f>
        <v>502.31353106293767</v>
      </c>
      <c r="EM49" s="43"/>
      <c r="EN49" s="43">
        <f>VLOOKUP(D49,[1]SoilData!$G$245:$M$454,7,FALSE)</f>
        <v>1.5740000000000001</v>
      </c>
      <c r="EO49" s="60"/>
      <c r="EP49" s="44">
        <f>AVERAGE(DZ49:EA49)</f>
        <v>1.851769547325103</v>
      </c>
      <c r="EQ49" s="44">
        <f>AVERAGE(DX49:DY49)</f>
        <v>4.5219278252611588</v>
      </c>
      <c r="ER49" s="43">
        <f>EQ49-EP49</f>
        <v>2.6701582779360558</v>
      </c>
      <c r="ES49" s="64">
        <f>IF(CU49&gt;0.000001,CU49*352,0)</f>
        <v>844.8</v>
      </c>
      <c r="ET49" s="64">
        <f>IF(DC49&gt;0.0001,DC49*682,0)</f>
        <v>982.07999999999993</v>
      </c>
      <c r="EU49" s="64">
        <f>CY49*795</f>
        <v>0</v>
      </c>
      <c r="EV49" s="64">
        <f>ES49+ET49+EU49</f>
        <v>1826.8799999999999</v>
      </c>
      <c r="EW49" s="64">
        <f>IF(AA49="YES",3.5*18.2,0)</f>
        <v>0</v>
      </c>
      <c r="EX49" s="64">
        <f>EV49-EW49</f>
        <v>1826.8799999999999</v>
      </c>
    </row>
    <row r="50" spans="1:154" ht="15" x14ac:dyDescent="0.2">
      <c r="A50" s="34" t="s">
        <v>556</v>
      </c>
      <c r="B50" s="34">
        <v>239</v>
      </c>
      <c r="C50" s="34" t="s">
        <v>1116</v>
      </c>
      <c r="D50" s="34" t="s">
        <v>221</v>
      </c>
      <c r="E50" s="29" t="str">
        <f>VLOOKUP(D50,Harvest_2017_Formulae!$C$2:$D$968,2,FALSE)</f>
        <v>ORNGADIDA</v>
      </c>
      <c r="F50" s="34" t="s">
        <v>777</v>
      </c>
      <c r="G50" s="34">
        <v>1.5</v>
      </c>
      <c r="H50" s="61" t="str">
        <f>IF(G50&lt;0.05,"Homefield",IF(G50&lt;0.5,"Midfield","outfield"))</f>
        <v>outfield</v>
      </c>
      <c r="I50" s="34" t="s">
        <v>557</v>
      </c>
      <c r="J50" s="61" t="s">
        <v>2234</v>
      </c>
      <c r="K50" s="61" t="s">
        <v>2234</v>
      </c>
      <c r="L50" s="67">
        <v>0</v>
      </c>
      <c r="M50" s="34"/>
      <c r="N50" s="34"/>
      <c r="O50" s="34" t="s">
        <v>547</v>
      </c>
      <c r="P50" s="34"/>
      <c r="Q50" s="67">
        <v>0</v>
      </c>
      <c r="R50" s="34" t="s">
        <v>547</v>
      </c>
      <c r="S50" s="34"/>
      <c r="T50" s="34"/>
      <c r="U50" s="34" t="s">
        <v>547</v>
      </c>
      <c r="V50" s="34"/>
      <c r="W50" s="34" t="s">
        <v>547</v>
      </c>
      <c r="X50" s="34"/>
      <c r="Y50" s="34"/>
      <c r="Z50" s="34" t="s">
        <v>547</v>
      </c>
      <c r="AA50" s="61" t="s">
        <v>546</v>
      </c>
      <c r="AB50" s="34" t="s">
        <v>547</v>
      </c>
      <c r="AC50" s="67">
        <v>0</v>
      </c>
      <c r="AD50" s="34" t="s">
        <v>547</v>
      </c>
      <c r="AE50" s="34"/>
      <c r="AF50" s="34" t="s">
        <v>547</v>
      </c>
      <c r="AG50" s="34" t="s">
        <v>547</v>
      </c>
      <c r="AH50" s="34" t="s">
        <v>546</v>
      </c>
      <c r="AI50" s="34" t="s">
        <v>546</v>
      </c>
      <c r="AJ50" s="34" t="s">
        <v>547</v>
      </c>
      <c r="AK50" s="67">
        <v>0</v>
      </c>
      <c r="AL50" s="34" t="s">
        <v>547</v>
      </c>
      <c r="AM50" s="34"/>
      <c r="AN50" s="34"/>
      <c r="AO50" s="34" t="s">
        <v>547</v>
      </c>
      <c r="AP50" s="34" t="s">
        <v>547</v>
      </c>
      <c r="AQ50" s="4">
        <f>Q50+AK50</f>
        <v>0</v>
      </c>
      <c r="AR50" s="4">
        <f>L50+AC50</f>
        <v>0</v>
      </c>
      <c r="AS50" t="str">
        <f>AQ50&amp;AR50</f>
        <v>00</v>
      </c>
      <c r="AT50" s="49">
        <f>AQ50-AR50</f>
        <v>0</v>
      </c>
      <c r="AU50">
        <v>1</v>
      </c>
      <c r="AV50" s="34" t="s">
        <v>548</v>
      </c>
      <c r="AW50" s="34">
        <v>2.5</v>
      </c>
      <c r="AX50" s="34" t="s">
        <v>548</v>
      </c>
      <c r="AY50" s="34">
        <v>1</v>
      </c>
      <c r="AZ50" s="34">
        <v>1</v>
      </c>
      <c r="BA50" s="34" t="s">
        <v>546</v>
      </c>
      <c r="BB50" s="34" t="s">
        <v>547</v>
      </c>
      <c r="BC50" s="34"/>
      <c r="BD50" s="29">
        <f>AW50+AZ50</f>
        <v>3.5</v>
      </c>
      <c r="BE50" s="29">
        <f>BD50+BC50</f>
        <v>3.5</v>
      </c>
      <c r="BF50" s="34" t="s">
        <v>546</v>
      </c>
      <c r="BG50" s="34" t="s">
        <v>546</v>
      </c>
      <c r="BH50" s="34" t="s">
        <v>546</v>
      </c>
      <c r="BI50" s="34" t="s">
        <v>546</v>
      </c>
      <c r="BJ50" s="34" t="s">
        <v>546</v>
      </c>
      <c r="BK50" s="34" t="s">
        <v>546</v>
      </c>
      <c r="BL50" s="34"/>
      <c r="BM50" s="34" t="s">
        <v>547</v>
      </c>
      <c r="BN50" s="34"/>
      <c r="BO50" s="34" t="s">
        <v>547</v>
      </c>
      <c r="BP50" s="34"/>
      <c r="BQ50" s="34" t="s">
        <v>547</v>
      </c>
      <c r="BR50" s="34"/>
      <c r="BS50" s="34" t="s">
        <v>547</v>
      </c>
      <c r="BT50" s="34"/>
      <c r="BU50" s="34" t="s">
        <v>547</v>
      </c>
      <c r="BV50" s="34"/>
      <c r="BW50" s="29">
        <f>(BL50*1)+(BN50*0.1)+(BP50*0.01)+(BR50*0.1)+(BT50*0.3)+(BV50*0.4)</f>
        <v>0</v>
      </c>
      <c r="BX50" s="29" t="s">
        <v>2223</v>
      </c>
      <c r="BY50" s="34">
        <v>1</v>
      </c>
      <c r="BZ50" s="34">
        <v>1</v>
      </c>
      <c r="CA50" s="34">
        <v>4</v>
      </c>
      <c r="CB50" s="34">
        <v>6</v>
      </c>
      <c r="CC50" s="34">
        <v>0</v>
      </c>
      <c r="CD50" s="34">
        <v>0</v>
      </c>
      <c r="CE50" s="34">
        <v>0</v>
      </c>
      <c r="CF50" s="34" t="s">
        <v>547</v>
      </c>
      <c r="CG50" s="29">
        <f>(CC50*15)+(CD50*0.8)+(CE50*0.3)+((AW50+AZ50)*15)</f>
        <v>52.5</v>
      </c>
      <c r="CH50" s="29" t="s">
        <v>2220</v>
      </c>
      <c r="CI50" s="29">
        <f>(BL50*1)+(BN50*0.1)+(BP50*0.01)+(BR50*0.1)+(BT50*0.3)+(BV50*0.4)+(CC50*15)+(CD50*0.8)+(CE50*0.3)+((AW50+AZ50)*15)</f>
        <v>52.5</v>
      </c>
      <c r="CJ50" s="34" t="s">
        <v>546</v>
      </c>
      <c r="CK50" s="34" t="s">
        <v>547</v>
      </c>
      <c r="CL50" s="34" t="s">
        <v>546</v>
      </c>
      <c r="CM50" s="34" t="s">
        <v>547</v>
      </c>
      <c r="CN50" s="34">
        <v>0.25</v>
      </c>
      <c r="CO50" s="34">
        <v>2.25</v>
      </c>
      <c r="CP50" s="34"/>
      <c r="CQ50" s="34" t="s">
        <v>548</v>
      </c>
      <c r="CR50" s="34">
        <v>2.5</v>
      </c>
      <c r="CS50" s="34">
        <v>16</v>
      </c>
      <c r="CT50" s="34" t="s">
        <v>551</v>
      </c>
      <c r="CU50" s="34">
        <v>1.536</v>
      </c>
      <c r="CV50" s="34"/>
      <c r="CW50" s="34">
        <v>999</v>
      </c>
      <c r="CX50" s="34" t="s">
        <v>551</v>
      </c>
      <c r="CY50" s="56"/>
      <c r="CZ50" s="34">
        <v>2.5</v>
      </c>
      <c r="DA50" s="34">
        <v>4</v>
      </c>
      <c r="DB50" s="34" t="s">
        <v>551</v>
      </c>
      <c r="DC50" s="56">
        <v>0.38400000000000001</v>
      </c>
      <c r="DD50" s="34" t="s">
        <v>546</v>
      </c>
      <c r="DE50" s="34" t="s">
        <v>546</v>
      </c>
      <c r="DF50" s="34" t="s">
        <v>546</v>
      </c>
      <c r="DG50" s="34" t="s">
        <v>546</v>
      </c>
      <c r="DH50" s="34" t="s">
        <v>546</v>
      </c>
      <c r="DI50" s="34">
        <v>0</v>
      </c>
      <c r="DJ50" s="34">
        <v>3</v>
      </c>
      <c r="DK50" s="34" t="s">
        <v>1117</v>
      </c>
      <c r="DL50" s="34" t="s">
        <v>1118</v>
      </c>
      <c r="DM50" s="34">
        <v>-4.2963466644287109</v>
      </c>
      <c r="DN50" s="34">
        <v>35.860977172851562</v>
      </c>
      <c r="DO50" s="34">
        <v>1258.300048828125</v>
      </c>
      <c r="DP50" s="34">
        <v>5</v>
      </c>
      <c r="DQ50" s="34">
        <v>1706031849</v>
      </c>
      <c r="DR50" s="34" t="s">
        <v>1119</v>
      </c>
      <c r="DS50" s="35">
        <v>42951.125925925924</v>
      </c>
      <c r="DT50" s="35">
        <v>42949.533645833333</v>
      </c>
      <c r="DU50" s="35">
        <v>42951.019085648149</v>
      </c>
      <c r="DV50" s="36">
        <v>42798</v>
      </c>
      <c r="DW50" s="34"/>
      <c r="DX50" s="44">
        <v>4.1023391812865491</v>
      </c>
      <c r="DY50" s="44">
        <v>3.2953216374269005</v>
      </c>
      <c r="DZ50" s="44">
        <v>2.7136363636363638</v>
      </c>
      <c r="EA50" s="44">
        <v>2.0454545454545454</v>
      </c>
      <c r="EC50" s="29">
        <f>IF(EQ50&lt;EP50,"FALSEE",1)</f>
        <v>1</v>
      </c>
      <c r="EE50" s="29" t="s">
        <v>2171</v>
      </c>
      <c r="EF50" s="29">
        <v>0.48846834898000002</v>
      </c>
      <c r="EG50" s="29" t="str">
        <f>IF(EF50&lt;0.5,"Depression",IF(EF50&lt;2,"Very gentle",IF(EF50&lt;5,"Gentle",IF(EF50&lt;9,"Moderate",IF(EF50&lt;15,"Strong",IF(EF50&lt;30,"Steep",IF(EF50&lt;1,"Very steep")))))))</f>
        <v>Depression</v>
      </c>
      <c r="EH50" s="29" t="s">
        <v>2173</v>
      </c>
      <c r="EI50" s="29">
        <v>0.18129228055499999</v>
      </c>
      <c r="EJ50" s="43">
        <v>8.6934442520099999</v>
      </c>
      <c r="EK50" s="43">
        <f>VLOOKUP(D50,[1]SoilData!$G$15:$K$237,5,FALSE)</f>
        <v>434.39091372739068</v>
      </c>
      <c r="EL50" s="43">
        <f>VLOOKUP(D50,[1]SoilData!$G$245:$K$451,5,FALSE)</f>
        <v>439.39978236426435</v>
      </c>
      <c r="EM50" s="43">
        <f>VLOOKUP(D50,[1]SoilData!$G$15:$M$238,7,FALSE)</f>
        <v>1.3169999999999999</v>
      </c>
      <c r="EN50" s="43">
        <f>VLOOKUP(D50,[1]SoilData!$G$245:$M$454,7,FALSE)</f>
        <v>1.4430000000000001</v>
      </c>
      <c r="EO50" s="60">
        <f>EM50-EN50</f>
        <v>-0.12600000000000011</v>
      </c>
      <c r="EP50" s="44"/>
      <c r="EQ50" s="44"/>
      <c r="ER50" s="43"/>
      <c r="ES50" s="64">
        <f>IF(CU50&gt;0.000001,CU50*352,0)</f>
        <v>540.67200000000003</v>
      </c>
      <c r="ET50" s="64">
        <f>IF(DC50&gt;0.0001,DC50*682,0)</f>
        <v>261.88800000000003</v>
      </c>
      <c r="EU50" s="64">
        <f>CY50*795</f>
        <v>0</v>
      </c>
      <c r="EV50" s="64">
        <f>ES50+ET50+EU50</f>
        <v>802.56000000000006</v>
      </c>
      <c r="EW50" s="64">
        <f>IF(AA50="YES",3.5*18.2,0)</f>
        <v>0</v>
      </c>
      <c r="EX50" s="64">
        <f>EV50-EW50</f>
        <v>802.56000000000006</v>
      </c>
    </row>
    <row r="51" spans="1:154" ht="15" x14ac:dyDescent="0.2">
      <c r="A51" s="29" t="s">
        <v>556</v>
      </c>
      <c r="B51" s="29">
        <v>152</v>
      </c>
      <c r="C51" s="29" t="s">
        <v>978</v>
      </c>
      <c r="D51" s="29" t="s">
        <v>181</v>
      </c>
      <c r="E51" s="29" t="str">
        <f>VLOOKUP(D51,Harvest_2017_Formulae!$C$2:$D$968,2,FALSE)</f>
        <v>HALLU</v>
      </c>
      <c r="F51" s="29" t="s">
        <v>938</v>
      </c>
      <c r="G51" s="29">
        <v>0</v>
      </c>
      <c r="H51" s="61" t="str">
        <f>IF(G51&lt;0.05,"Homefield",IF(G51&lt;0.5,"Midfield","outfield"))</f>
        <v>Homefield</v>
      </c>
      <c r="I51" s="29" t="s">
        <v>557</v>
      </c>
      <c r="J51" s="61" t="s">
        <v>545</v>
      </c>
      <c r="K51" s="61" t="s">
        <v>2234</v>
      </c>
      <c r="L51" s="67">
        <v>0</v>
      </c>
      <c r="O51" s="29" t="s">
        <v>547</v>
      </c>
      <c r="Q51" s="67">
        <v>0</v>
      </c>
      <c r="R51" s="29" t="s">
        <v>547</v>
      </c>
      <c r="U51" s="29" t="s">
        <v>547</v>
      </c>
      <c r="W51" s="29" t="s">
        <v>547</v>
      </c>
      <c r="Z51" s="29" t="s">
        <v>547</v>
      </c>
      <c r="AA51" s="61" t="s">
        <v>546</v>
      </c>
      <c r="AB51" s="29" t="s">
        <v>547</v>
      </c>
      <c r="AC51" s="67">
        <v>0</v>
      </c>
      <c r="AD51" s="29" t="s">
        <v>547</v>
      </c>
      <c r="AF51" s="29" t="s">
        <v>547</v>
      </c>
      <c r="AG51" s="29" t="s">
        <v>547</v>
      </c>
      <c r="AH51" s="29" t="s">
        <v>546</v>
      </c>
      <c r="AI51" s="29" t="s">
        <v>546</v>
      </c>
      <c r="AJ51" s="29" t="s">
        <v>547</v>
      </c>
      <c r="AK51" s="67">
        <v>0</v>
      </c>
      <c r="AL51" s="29" t="s">
        <v>547</v>
      </c>
      <c r="AO51" s="29" t="s">
        <v>547</v>
      </c>
      <c r="AP51" s="29" t="s">
        <v>547</v>
      </c>
      <c r="AQ51" s="4">
        <f>Q51+AK51</f>
        <v>0</v>
      </c>
      <c r="AR51" s="4">
        <f>L51+AC51</f>
        <v>0</v>
      </c>
      <c r="AS51" t="str">
        <f>AQ51&amp;AR51</f>
        <v>00</v>
      </c>
      <c r="AT51" s="49">
        <f>AQ51-AR51</f>
        <v>0</v>
      </c>
      <c r="AU51">
        <v>1</v>
      </c>
      <c r="AV51" s="29" t="s">
        <v>548</v>
      </c>
      <c r="AW51" s="29">
        <v>10</v>
      </c>
      <c r="AX51" s="29" t="s">
        <v>546</v>
      </c>
      <c r="BA51" s="29" t="s">
        <v>546</v>
      </c>
      <c r="BB51" s="29" t="s">
        <v>547</v>
      </c>
      <c r="BD51" s="29">
        <f>AW51+AZ51</f>
        <v>10</v>
      </c>
      <c r="BE51" s="29">
        <f>BD51+BC51</f>
        <v>10</v>
      </c>
      <c r="BF51" s="29" t="s">
        <v>546</v>
      </c>
      <c r="BG51" s="29" t="s">
        <v>546</v>
      </c>
      <c r="BH51" s="29" t="s">
        <v>546</v>
      </c>
      <c r="BI51" s="29" t="s">
        <v>546</v>
      </c>
      <c r="BJ51" s="29" t="s">
        <v>546</v>
      </c>
      <c r="BK51" s="29" t="s">
        <v>546</v>
      </c>
      <c r="BM51" s="29" t="s">
        <v>547</v>
      </c>
      <c r="BO51" s="29" t="s">
        <v>547</v>
      </c>
      <c r="BQ51" s="29" t="s">
        <v>547</v>
      </c>
      <c r="BS51" s="29" t="s">
        <v>547</v>
      </c>
      <c r="BU51" s="29" t="s">
        <v>547</v>
      </c>
      <c r="BW51" s="29">
        <f>(BL51*1)+(BN51*0.1)+(BP51*0.01)+(BR51*0.1)+(BT51*0.3)+(BV51*0.4)</f>
        <v>0</v>
      </c>
      <c r="BX51" s="29" t="s">
        <v>2223</v>
      </c>
      <c r="BY51" s="29">
        <v>0</v>
      </c>
      <c r="BZ51" s="29">
        <v>0</v>
      </c>
      <c r="CA51" s="29">
        <v>1</v>
      </c>
      <c r="CB51" s="29">
        <v>1</v>
      </c>
      <c r="CC51" s="29">
        <v>0</v>
      </c>
      <c r="CD51" s="29">
        <v>0</v>
      </c>
      <c r="CE51" s="29">
        <v>0</v>
      </c>
      <c r="CF51" s="29" t="s">
        <v>547</v>
      </c>
      <c r="CG51" s="29">
        <f>(CC51*15)+(CD51*0.8)+(CE51*0.3)+((AW51+AZ51)*15)</f>
        <v>150</v>
      </c>
      <c r="CH51" s="29" t="s">
        <v>2221</v>
      </c>
      <c r="CI51" s="29">
        <f>(BL51*1)+(BN51*0.1)+(BP51*0.01)+(BR51*0.1)+(BT51*0.3)+(BV51*0.4)+(CC51*15)+(CD51*0.8)+(CE51*0.3)+((AW51+AZ51)*15)</f>
        <v>150</v>
      </c>
      <c r="CJ51" s="29" t="s">
        <v>546</v>
      </c>
      <c r="CK51" s="29" t="s">
        <v>547</v>
      </c>
      <c r="CL51" s="29" t="s">
        <v>546</v>
      </c>
      <c r="CM51" s="29" t="s">
        <v>547</v>
      </c>
      <c r="CN51" s="29">
        <v>1</v>
      </c>
      <c r="CO51" s="29">
        <v>8</v>
      </c>
      <c r="CQ51" s="29" t="s">
        <v>548</v>
      </c>
      <c r="CR51" s="29">
        <v>1</v>
      </c>
      <c r="CS51" s="29">
        <v>8</v>
      </c>
      <c r="CT51" s="29" t="s">
        <v>551</v>
      </c>
      <c r="CU51" s="30">
        <v>1.92</v>
      </c>
      <c r="CW51" s="29">
        <v>999</v>
      </c>
      <c r="CX51" s="29" t="s">
        <v>551</v>
      </c>
      <c r="CY51" s="62"/>
      <c r="CZ51" s="29">
        <v>1</v>
      </c>
      <c r="DA51" s="29">
        <v>3</v>
      </c>
      <c r="DB51" s="29" t="s">
        <v>551</v>
      </c>
      <c r="DC51" s="62">
        <v>0.72</v>
      </c>
      <c r="DD51" s="29" t="s">
        <v>546</v>
      </c>
      <c r="DE51" s="29" t="s">
        <v>546</v>
      </c>
      <c r="DF51" s="29" t="s">
        <v>546</v>
      </c>
      <c r="DG51" s="29" t="s">
        <v>546</v>
      </c>
      <c r="DH51" s="29" t="s">
        <v>546</v>
      </c>
      <c r="DI51" s="29">
        <v>0</v>
      </c>
      <c r="DJ51" s="29">
        <v>3</v>
      </c>
      <c r="DK51" s="29" t="s">
        <v>979</v>
      </c>
      <c r="DL51" s="29" t="s">
        <v>980</v>
      </c>
      <c r="DM51" s="29">
        <v>-4.2948718070983887</v>
      </c>
      <c r="DN51" s="29">
        <v>35.893413543701172</v>
      </c>
      <c r="DO51" s="29">
        <v>1230.9000244140625</v>
      </c>
      <c r="DP51" s="29">
        <v>5</v>
      </c>
      <c r="DQ51" s="29">
        <v>1706031849</v>
      </c>
      <c r="DR51" s="29" t="s">
        <v>981</v>
      </c>
      <c r="DS51" s="31">
        <v>42913.63863425926</v>
      </c>
      <c r="DT51" s="31">
        <v>42909.641944444447</v>
      </c>
      <c r="DU51" s="31">
        <v>42909.65116898148</v>
      </c>
      <c r="DV51" s="32">
        <v>42775</v>
      </c>
      <c r="DX51" s="44">
        <v>5.2430078563411895</v>
      </c>
      <c r="DY51" s="44">
        <v>4.7903254769921446</v>
      </c>
      <c r="DZ51" s="44">
        <v>4.8930370370370371</v>
      </c>
      <c r="EA51" s="44">
        <v>6.1810370370370382</v>
      </c>
      <c r="EC51" s="29" t="str">
        <f>IF(EQ51&lt;EP51,"FALSEE",1)</f>
        <v>FALSEE</v>
      </c>
      <c r="EE51" s="29" t="s">
        <v>2171</v>
      </c>
      <c r="EF51" s="29">
        <v>1.0756396055199999</v>
      </c>
      <c r="EG51" s="29" t="str">
        <f>IF(EF51&lt;0.5,"Depression",IF(EF51&lt;2,"Very gentle",IF(EF51&lt;5,"Gentle",IF(EF51&lt;9,"Moderate",IF(EF51&lt;15,"Strong",IF(EF51&lt;30,"Steep",IF(EF51&lt;1,"Very steep")))))))</f>
        <v>Very gentle</v>
      </c>
      <c r="EH51" s="29" t="s">
        <v>2173</v>
      </c>
      <c r="EI51" s="29">
        <v>0.45321798324599999</v>
      </c>
      <c r="EJ51" s="43">
        <v>8.1580381393400003</v>
      </c>
      <c r="EK51" s="43"/>
      <c r="EL51" s="43"/>
      <c r="EM51" s="43"/>
      <c r="EN51" s="43"/>
      <c r="EO51" s="60"/>
      <c r="EP51" s="44">
        <f>AVERAGE(DZ51:EA51)</f>
        <v>5.5370370370370381</v>
      </c>
      <c r="EQ51" s="44">
        <f>AVERAGE(DX51:DY51)</f>
        <v>5.0166666666666675</v>
      </c>
      <c r="ER51" s="43">
        <f>EQ51-EP51</f>
        <v>-0.52037037037037059</v>
      </c>
      <c r="ES51" s="64">
        <f>IF(CU51&gt;0.000001,CU51*352,0)</f>
        <v>675.83999999999992</v>
      </c>
      <c r="ET51" s="64">
        <f>IF(DC51&gt;0.0001,DC51*682,0)</f>
        <v>491.03999999999996</v>
      </c>
      <c r="EU51" s="64">
        <f>CY51*795</f>
        <v>0</v>
      </c>
      <c r="EV51" s="64">
        <f>ES51+ET51+EU51</f>
        <v>1166.8799999999999</v>
      </c>
      <c r="EW51" s="64">
        <f>IF(AA51="YES",3.5*18.2,0)</f>
        <v>0</v>
      </c>
      <c r="EX51" s="64">
        <f>EV51-EW51</f>
        <v>1166.8799999999999</v>
      </c>
    </row>
    <row r="52" spans="1:154" ht="15" x14ac:dyDescent="0.2">
      <c r="A52" s="29" t="s">
        <v>556</v>
      </c>
      <c r="B52" s="29">
        <v>200</v>
      </c>
      <c r="C52" s="29" t="s">
        <v>411</v>
      </c>
      <c r="D52" s="29" t="s">
        <v>411</v>
      </c>
      <c r="E52" s="29" t="str">
        <f>VLOOKUP(D52,Harvest_2017_Formulae!$C$2:$D$968,2,FALSE)</f>
        <v>TSAMASI</v>
      </c>
      <c r="F52" s="29" t="s">
        <v>1014</v>
      </c>
      <c r="G52" s="29">
        <v>1</v>
      </c>
      <c r="H52" s="61" t="str">
        <f>IF(G52&lt;0.05,"Homefield",IF(G52&lt;0.5,"Midfield","outfield"))</f>
        <v>outfield</v>
      </c>
      <c r="I52" s="29" t="s">
        <v>557</v>
      </c>
      <c r="J52" s="61" t="s">
        <v>2233</v>
      </c>
      <c r="K52" s="61" t="s">
        <v>2233</v>
      </c>
      <c r="L52" s="67">
        <v>0</v>
      </c>
      <c r="O52" s="29" t="s">
        <v>547</v>
      </c>
      <c r="Q52" s="67">
        <v>0</v>
      </c>
      <c r="R52" s="29" t="s">
        <v>547</v>
      </c>
      <c r="U52" s="29" t="s">
        <v>547</v>
      </c>
      <c r="W52" s="29" t="s">
        <v>547</v>
      </c>
      <c r="Z52" s="29" t="s">
        <v>547</v>
      </c>
      <c r="AA52" s="61" t="s">
        <v>546</v>
      </c>
      <c r="AB52" s="29" t="s">
        <v>547</v>
      </c>
      <c r="AC52" s="67">
        <v>0</v>
      </c>
      <c r="AD52" s="29" t="s">
        <v>547</v>
      </c>
      <c r="AF52" s="29" t="s">
        <v>547</v>
      </c>
      <c r="AG52" s="29" t="s">
        <v>547</v>
      </c>
      <c r="AH52" s="29" t="s">
        <v>546</v>
      </c>
      <c r="AI52" s="29" t="s">
        <v>546</v>
      </c>
      <c r="AJ52" s="29" t="s">
        <v>547</v>
      </c>
      <c r="AK52" s="67">
        <v>0</v>
      </c>
      <c r="AL52" s="29" t="s">
        <v>547</v>
      </c>
      <c r="AO52" s="29" t="s">
        <v>547</v>
      </c>
      <c r="AP52" s="29" t="s">
        <v>547</v>
      </c>
      <c r="AQ52" s="4">
        <f>Q52+AK52</f>
        <v>0</v>
      </c>
      <c r="AR52" s="4">
        <f>L52+AC52</f>
        <v>0</v>
      </c>
      <c r="AS52" t="str">
        <f>AQ52&amp;AR52</f>
        <v>00</v>
      </c>
      <c r="AT52" s="49">
        <f>AQ52-AR52</f>
        <v>0</v>
      </c>
      <c r="AU52">
        <v>1</v>
      </c>
      <c r="AV52" s="29" t="s">
        <v>546</v>
      </c>
      <c r="AX52" s="29" t="s">
        <v>546</v>
      </c>
      <c r="BA52" s="29" t="s">
        <v>548</v>
      </c>
      <c r="BB52" s="29" t="s">
        <v>584</v>
      </c>
      <c r="BC52" s="29">
        <v>2</v>
      </c>
      <c r="BD52" s="29">
        <f>AW52+AZ52</f>
        <v>0</v>
      </c>
      <c r="BE52" s="29">
        <f>BD52+BC52</f>
        <v>2</v>
      </c>
      <c r="BF52" s="29" t="s">
        <v>546</v>
      </c>
      <c r="BG52" s="29" t="s">
        <v>546</v>
      </c>
      <c r="BH52" s="29" t="s">
        <v>548</v>
      </c>
      <c r="BI52" s="29" t="s">
        <v>546</v>
      </c>
      <c r="BJ52" s="29" t="s">
        <v>546</v>
      </c>
      <c r="BK52" s="29" t="s">
        <v>546</v>
      </c>
      <c r="BM52" s="29" t="s">
        <v>547</v>
      </c>
      <c r="BO52" s="29" t="s">
        <v>547</v>
      </c>
      <c r="BP52" s="29">
        <v>2</v>
      </c>
      <c r="BQ52" s="29" t="s">
        <v>549</v>
      </c>
      <c r="BS52" s="29" t="s">
        <v>547</v>
      </c>
      <c r="BU52" s="29" t="s">
        <v>547</v>
      </c>
      <c r="BW52" s="29">
        <f>(BL52*1)+(BN52*0.1)+(BP52*0.01)+(BR52*0.1)+(BT52*0.3)+(BV52*0.4)</f>
        <v>0.02</v>
      </c>
      <c r="BX52" s="29" t="s">
        <v>2223</v>
      </c>
      <c r="BY52" s="29">
        <v>1</v>
      </c>
      <c r="BZ52" s="29">
        <v>2</v>
      </c>
      <c r="CA52" s="29">
        <v>0</v>
      </c>
      <c r="CB52" s="29">
        <v>3</v>
      </c>
      <c r="CC52" s="29">
        <v>0</v>
      </c>
      <c r="CD52" s="29">
        <v>0</v>
      </c>
      <c r="CE52" s="29">
        <v>0</v>
      </c>
      <c r="CF52" s="29" t="s">
        <v>547</v>
      </c>
      <c r="CG52" s="29">
        <f>(CC52*15)+(CD52*0.8)+(CE52*0.3)+((AW52+AZ52)*15)</f>
        <v>0</v>
      </c>
      <c r="CH52" s="29" t="s">
        <v>2219</v>
      </c>
      <c r="CI52" s="29">
        <f>(BL52*1)+(BN52*0.1)+(BP52*0.01)+(BR52*0.1)+(BT52*0.3)+(BV52*0.4)+(CC52*15)+(CD52*0.8)+(CE52*0.3)+((AW52+AZ52)*15)</f>
        <v>0.02</v>
      </c>
      <c r="CJ52" s="29" t="s">
        <v>546</v>
      </c>
      <c r="CK52" s="29" t="s">
        <v>547</v>
      </c>
      <c r="CL52" s="29" t="s">
        <v>548</v>
      </c>
      <c r="CM52" s="29" t="s">
        <v>550</v>
      </c>
      <c r="CN52" s="29">
        <v>0.25</v>
      </c>
      <c r="CO52" s="29">
        <v>1</v>
      </c>
      <c r="CQ52" s="29" t="s">
        <v>546</v>
      </c>
      <c r="CR52" s="29">
        <v>2</v>
      </c>
      <c r="CS52" s="29">
        <v>0</v>
      </c>
      <c r="CT52" s="29" t="s">
        <v>552</v>
      </c>
      <c r="CU52" s="30">
        <v>0</v>
      </c>
      <c r="CW52" s="29">
        <v>999</v>
      </c>
      <c r="CX52" s="29" t="s">
        <v>552</v>
      </c>
      <c r="CY52" s="62"/>
      <c r="CZ52" s="29">
        <v>2</v>
      </c>
      <c r="DA52" s="29">
        <v>0</v>
      </c>
      <c r="DB52" s="29" t="s">
        <v>552</v>
      </c>
      <c r="DC52" s="62">
        <v>0</v>
      </c>
      <c r="DD52" s="29" t="s">
        <v>546</v>
      </c>
      <c r="DE52" s="29" t="s">
        <v>546</v>
      </c>
      <c r="DF52" s="29" t="s">
        <v>546</v>
      </c>
      <c r="DG52" s="29" t="s">
        <v>546</v>
      </c>
      <c r="DH52" s="29" t="s">
        <v>546</v>
      </c>
      <c r="DI52" s="29">
        <v>0</v>
      </c>
      <c r="DJ52" s="29">
        <v>4</v>
      </c>
      <c r="DK52" s="29" t="s">
        <v>1395</v>
      </c>
      <c r="DL52" s="29" t="s">
        <v>1396</v>
      </c>
      <c r="DM52" s="29">
        <v>-4.2902736663818359</v>
      </c>
      <c r="DN52" s="29">
        <v>35.828704833984375</v>
      </c>
      <c r="DO52" s="29">
        <v>1331.800048828125</v>
      </c>
      <c r="DP52" s="29">
        <v>5</v>
      </c>
      <c r="DQ52" s="29">
        <v>1706031849</v>
      </c>
      <c r="DR52" s="29" t="s">
        <v>1397</v>
      </c>
      <c r="DS52" s="31">
        <v>42948.908449074079</v>
      </c>
      <c r="DT52" s="31">
        <v>42938.465682870374</v>
      </c>
      <c r="DU52" s="31">
        <v>42938.485023148147</v>
      </c>
      <c r="DV52" s="32">
        <v>42794</v>
      </c>
      <c r="DX52" s="44">
        <v>3.0618948824343022</v>
      </c>
      <c r="DY52" s="44">
        <v>3.3598432457353624</v>
      </c>
      <c r="DZ52" s="44"/>
      <c r="EA52" s="44"/>
      <c r="EC52" s="29">
        <f>IF(EQ52&lt;EP52,"FALSEE",1)</f>
        <v>1</v>
      </c>
      <c r="EE52" s="29" t="s">
        <v>2179</v>
      </c>
      <c r="EF52" s="29">
        <v>0.63687402010000005</v>
      </c>
      <c r="EG52" s="29" t="str">
        <f>IF(EF52&lt;0.5,"Depression",IF(EF52&lt;2,"Very gentle",IF(EF52&lt;5,"Gentle",IF(EF52&lt;9,"Moderate",IF(EF52&lt;15,"Strong",IF(EF52&lt;30,"Steep",IF(EF52&lt;1,"Very steep")))))))</f>
        <v>Very gentle</v>
      </c>
      <c r="EH52" s="29" t="s">
        <v>2173</v>
      </c>
      <c r="EI52" s="29">
        <v>-0.45320102572400001</v>
      </c>
      <c r="EJ52" s="43">
        <v>14.599243164100001</v>
      </c>
      <c r="EK52" s="43">
        <f>VLOOKUP(D52,[1]SoilData!$G$15:$K$237,5,FALSE)</f>
        <v>462.50512873591418</v>
      </c>
      <c r="EL52" s="43"/>
      <c r="EM52" s="43">
        <f>VLOOKUP(D52,[1]SoilData!$G$15:$M$238,7,FALSE)</f>
        <v>1.476</v>
      </c>
      <c r="EN52" s="43"/>
      <c r="EO52" s="60"/>
      <c r="EP52" s="44"/>
      <c r="EQ52" s="44">
        <f>AVERAGE(DX52:DY52)</f>
        <v>3.2108690640848323</v>
      </c>
      <c r="ER52" s="43"/>
      <c r="ES52" s="64">
        <f>IF(CU52&gt;0.000001,CU52*352,0)</f>
        <v>0</v>
      </c>
      <c r="ET52" s="64">
        <f>IF(DC52&gt;0.0001,DC52*682,0)</f>
        <v>0</v>
      </c>
      <c r="EU52" s="64">
        <f>CY52*795</f>
        <v>0</v>
      </c>
      <c r="EV52" s="64">
        <f>ES52+ET52+EU52</f>
        <v>0</v>
      </c>
      <c r="EW52" s="64">
        <f>IF(AA52="YES",3.5*18.2,0)</f>
        <v>0</v>
      </c>
      <c r="EX52" s="64">
        <f>EV52-EW52</f>
        <v>0</v>
      </c>
    </row>
    <row r="53" spans="1:154" ht="15" x14ac:dyDescent="0.2">
      <c r="A53" s="29" t="s">
        <v>556</v>
      </c>
      <c r="B53" s="29">
        <v>9</v>
      </c>
      <c r="C53" s="29" t="s">
        <v>1125</v>
      </c>
      <c r="D53" s="29" t="s">
        <v>224</v>
      </c>
      <c r="E53" s="29" t="str">
        <f>VLOOKUP(D53,Harvest_2017_Formulae!$C$2:$D$968,2,FALSE)</f>
        <v>ORNGADIDA</v>
      </c>
      <c r="F53" s="29" t="s">
        <v>777</v>
      </c>
      <c r="G53" s="29">
        <v>2</v>
      </c>
      <c r="H53" s="61" t="str">
        <f>IF(G53&lt;0.05,"Homefield",IF(G53&lt;0.5,"Midfield","outfield"))</f>
        <v>outfield</v>
      </c>
      <c r="I53" s="29" t="s">
        <v>557</v>
      </c>
      <c r="J53" s="61" t="s">
        <v>2234</v>
      </c>
      <c r="K53" s="61" t="s">
        <v>2234</v>
      </c>
      <c r="L53" s="67">
        <v>0</v>
      </c>
      <c r="O53" s="29" t="s">
        <v>547</v>
      </c>
      <c r="Q53" s="67">
        <v>0</v>
      </c>
      <c r="R53" s="29" t="s">
        <v>547</v>
      </c>
      <c r="T53" s="29" t="s">
        <v>559</v>
      </c>
      <c r="U53" s="29" t="s">
        <v>560</v>
      </c>
      <c r="W53" s="29" t="s">
        <v>819</v>
      </c>
      <c r="X53" s="29">
        <v>999</v>
      </c>
      <c r="Z53" s="29" t="s">
        <v>547</v>
      </c>
      <c r="AA53" s="61" t="s">
        <v>546</v>
      </c>
      <c r="AB53" s="29" t="s">
        <v>547</v>
      </c>
      <c r="AC53" s="67">
        <v>0</v>
      </c>
      <c r="AD53" s="29" t="s">
        <v>547</v>
      </c>
      <c r="AF53" s="29" t="s">
        <v>547</v>
      </c>
      <c r="AG53" s="29" t="s">
        <v>547</v>
      </c>
      <c r="AH53" s="29" t="s">
        <v>546</v>
      </c>
      <c r="AI53" s="29" t="s">
        <v>546</v>
      </c>
      <c r="AJ53" s="29" t="s">
        <v>547</v>
      </c>
      <c r="AK53" s="67">
        <v>0</v>
      </c>
      <c r="AL53" s="29" t="s">
        <v>547</v>
      </c>
      <c r="AO53" s="29" t="s">
        <v>547</v>
      </c>
      <c r="AP53" s="29" t="s">
        <v>547</v>
      </c>
      <c r="AQ53" s="4">
        <f>Q53+AK53</f>
        <v>0</v>
      </c>
      <c r="AR53" s="4">
        <f>L53+AC53</f>
        <v>0</v>
      </c>
      <c r="AS53" t="str">
        <f>AQ53&amp;AR53</f>
        <v>00</v>
      </c>
      <c r="AT53" s="49">
        <f>AQ53-AR53</f>
        <v>0</v>
      </c>
      <c r="AU53">
        <v>1</v>
      </c>
      <c r="AV53" s="29" t="s">
        <v>546</v>
      </c>
      <c r="AX53" s="29" t="s">
        <v>546</v>
      </c>
      <c r="BA53" s="29" t="s">
        <v>548</v>
      </c>
      <c r="BB53" s="29" t="s">
        <v>584</v>
      </c>
      <c r="BC53" s="29">
        <v>1</v>
      </c>
      <c r="BD53" s="29">
        <f>AW53+AZ53</f>
        <v>0</v>
      </c>
      <c r="BE53" s="29">
        <f>BD53+BC53</f>
        <v>1</v>
      </c>
      <c r="BF53" s="29" t="s">
        <v>546</v>
      </c>
      <c r="BG53" s="29" t="s">
        <v>546</v>
      </c>
      <c r="BH53" s="29" t="s">
        <v>548</v>
      </c>
      <c r="BI53" s="29" t="s">
        <v>546</v>
      </c>
      <c r="BJ53" s="29" t="s">
        <v>546</v>
      </c>
      <c r="BK53" s="29" t="s">
        <v>546</v>
      </c>
      <c r="BM53" s="29" t="s">
        <v>547</v>
      </c>
      <c r="BO53" s="29" t="s">
        <v>547</v>
      </c>
      <c r="BP53" s="29">
        <v>3</v>
      </c>
      <c r="BQ53" s="29" t="s">
        <v>580</v>
      </c>
      <c r="BS53" s="29" t="s">
        <v>547</v>
      </c>
      <c r="BU53" s="29" t="s">
        <v>547</v>
      </c>
      <c r="BW53" s="29">
        <f>(BL53*1)+(BN53*0.1)+(BP53*0.01)+(BR53*0.1)+(BT53*0.3)+(BV53*0.4)</f>
        <v>0.03</v>
      </c>
      <c r="BX53" s="29" t="s">
        <v>2223</v>
      </c>
      <c r="BY53" s="29">
        <v>3</v>
      </c>
      <c r="BZ53" s="29">
        <v>5</v>
      </c>
      <c r="CA53" s="29">
        <v>3</v>
      </c>
      <c r="CB53" s="29">
        <v>11</v>
      </c>
      <c r="CC53" s="29">
        <v>0</v>
      </c>
      <c r="CD53" s="29">
        <v>1</v>
      </c>
      <c r="CE53" s="29">
        <v>2</v>
      </c>
      <c r="CF53" s="29" t="s">
        <v>547</v>
      </c>
      <c r="CG53" s="29">
        <f>(CC53*15)+(CD53*0.8)+(CE53*0.3)+((AW53+AZ53)*15)</f>
        <v>1.4</v>
      </c>
      <c r="CH53" s="29" t="s">
        <v>2219</v>
      </c>
      <c r="CI53" s="29">
        <f>(BL53*1)+(BN53*0.1)+(BP53*0.01)+(BR53*0.1)+(BT53*0.3)+(BV53*0.4)+(CC53*15)+(CD53*0.8)+(CE53*0.3)+((AW53+AZ53)*15)</f>
        <v>1.4300000000000002</v>
      </c>
      <c r="CJ53" s="29" t="s">
        <v>546</v>
      </c>
      <c r="CK53" s="29" t="s">
        <v>547</v>
      </c>
      <c r="CL53" s="29" t="s">
        <v>548</v>
      </c>
      <c r="CM53" s="29" t="s">
        <v>550</v>
      </c>
      <c r="CN53" s="29">
        <v>0.25</v>
      </c>
      <c r="CP53" s="29">
        <v>0.75</v>
      </c>
      <c r="CQ53" s="29" t="s">
        <v>548</v>
      </c>
      <c r="CS53" s="29">
        <v>999</v>
      </c>
      <c r="CT53" s="29" t="s">
        <v>551</v>
      </c>
      <c r="CW53" s="29">
        <v>999</v>
      </c>
      <c r="CX53" s="29" t="s">
        <v>551</v>
      </c>
      <c r="CY53" s="62"/>
      <c r="CZ53" s="29">
        <v>1</v>
      </c>
      <c r="DA53" s="29">
        <v>3</v>
      </c>
      <c r="DB53" s="29" t="s">
        <v>551</v>
      </c>
      <c r="DC53" s="62">
        <v>0.72</v>
      </c>
      <c r="DD53" s="29" t="s">
        <v>546</v>
      </c>
      <c r="DE53" s="29" t="s">
        <v>546</v>
      </c>
      <c r="DF53" s="29" t="s">
        <v>546</v>
      </c>
      <c r="DG53" s="29" t="s">
        <v>546</v>
      </c>
      <c r="DH53" s="29" t="s">
        <v>546</v>
      </c>
      <c r="DI53" s="29">
        <v>0</v>
      </c>
      <c r="DJ53" s="29">
        <v>2</v>
      </c>
      <c r="DK53" s="29" t="s">
        <v>1126</v>
      </c>
      <c r="DL53" s="29" t="s">
        <v>1127</v>
      </c>
      <c r="DM53" s="29">
        <v>-4.316126823425293</v>
      </c>
      <c r="DN53" s="29">
        <v>35.874771118164062</v>
      </c>
      <c r="DO53" s="29">
        <v>1232.699951171875</v>
      </c>
      <c r="DP53" s="29">
        <v>5</v>
      </c>
      <c r="DQ53" s="29">
        <v>1705231439</v>
      </c>
      <c r="DR53" s="29" t="s">
        <v>1128</v>
      </c>
      <c r="DS53" s="31">
        <v>42893.595659722225</v>
      </c>
      <c r="DT53" s="31">
        <v>42892.59878472222</v>
      </c>
      <c r="DU53" s="31">
        <v>42892.606678240743</v>
      </c>
      <c r="DV53" s="32">
        <v>42820</v>
      </c>
      <c r="DX53" s="44">
        <v>4.3090381426202322</v>
      </c>
      <c r="DY53" s="44">
        <v>5.6303897180762856</v>
      </c>
      <c r="DZ53" s="44">
        <v>5.3979091995221022</v>
      </c>
      <c r="EA53" s="44">
        <v>4.3430704898446839</v>
      </c>
      <c r="EC53" s="29">
        <f>IF(EQ53&lt;EP53,"FALSEE",1)</f>
        <v>1</v>
      </c>
      <c r="EE53" s="29" t="s">
        <v>2171</v>
      </c>
      <c r="EF53" s="29">
        <v>0.900638759136</v>
      </c>
      <c r="EG53" s="29" t="str">
        <f>IF(EF53&lt;0.5,"Depression",IF(EF53&lt;2,"Very gentle",IF(EF53&lt;5,"Gentle",IF(EF53&lt;9,"Moderate",IF(EF53&lt;15,"Strong",IF(EF53&lt;30,"Steep",IF(EF53&lt;1,"Very steep")))))))</f>
        <v>Very gentle</v>
      </c>
      <c r="EH53" s="29" t="s">
        <v>2173</v>
      </c>
      <c r="EI53" s="29">
        <v>9.0650379657699995E-2</v>
      </c>
      <c r="EJ53" s="43">
        <v>9.4924430847199996</v>
      </c>
      <c r="EK53" s="43">
        <f>VLOOKUP(D53,[1]SoilData!$G$15:$K$237,5,FALSE)</f>
        <v>363.31130398402144</v>
      </c>
      <c r="EL53" s="43">
        <f>VLOOKUP(D53,[1]SoilData!$G$245:$K$451,5,FALSE)</f>
        <v>357.70449975345872</v>
      </c>
      <c r="EM53" s="43">
        <f>VLOOKUP(D53,[1]SoilData!$G$15:$M$238,7,FALSE)</f>
        <v>2.0019999999999998</v>
      </c>
      <c r="EN53" s="43">
        <f>VLOOKUP(D53,[1]SoilData!$G$245:$M$454,7,FALSE)</f>
        <v>1.6839999999999999</v>
      </c>
      <c r="EO53" s="60">
        <f>EM53-EN53</f>
        <v>0.31799999999999984</v>
      </c>
      <c r="EP53" s="44">
        <f>AVERAGE(DZ53:EA53)</f>
        <v>4.8704898446833926</v>
      </c>
      <c r="EQ53" s="44">
        <f>AVERAGE(DX53:DY53)</f>
        <v>4.9697139303482594</v>
      </c>
      <c r="ER53" s="43">
        <f>EQ53-EP53</f>
        <v>9.9224085664866735E-2</v>
      </c>
      <c r="ES53" s="64">
        <f>IF(CU53&gt;0.000001,CU53*352,0)</f>
        <v>0</v>
      </c>
      <c r="ET53" s="64">
        <f>IF(DC53&gt;0.0001,DC53*682,0)</f>
        <v>491.03999999999996</v>
      </c>
      <c r="EU53" s="64">
        <f>CY53*795</f>
        <v>0</v>
      </c>
      <c r="EV53" s="64">
        <f>ES53+ET53+EU53</f>
        <v>491.03999999999996</v>
      </c>
      <c r="EW53" s="64">
        <f>IF(AA53="YES",3.5*18.2,0)</f>
        <v>0</v>
      </c>
      <c r="EX53" s="64">
        <f>EV53-EW53</f>
        <v>491.03999999999996</v>
      </c>
    </row>
    <row r="54" spans="1:154" ht="15" x14ac:dyDescent="0.2">
      <c r="A54" s="29" t="s">
        <v>556</v>
      </c>
      <c r="B54" s="29">
        <v>219</v>
      </c>
      <c r="C54" s="29" t="s">
        <v>1137</v>
      </c>
      <c r="D54" s="29" t="s">
        <v>227</v>
      </c>
      <c r="E54" s="29" t="str">
        <f>VLOOKUP(D54,Harvest_2017_Formulae!$C$2:$D$968,2,FALSE)</f>
        <v>ORNGADIDA</v>
      </c>
      <c r="F54" s="29" t="s">
        <v>777</v>
      </c>
      <c r="G54" s="29">
        <v>0.5</v>
      </c>
      <c r="H54" s="61" t="str">
        <f>IF(G54&lt;0.05,"Homefield",IF(G54&lt;0.5,"Midfield","outfield"))</f>
        <v>outfield</v>
      </c>
      <c r="I54" s="29" t="s">
        <v>557</v>
      </c>
      <c r="J54" s="66" t="s">
        <v>545</v>
      </c>
      <c r="K54" s="66" t="s">
        <v>2234</v>
      </c>
      <c r="L54" s="67">
        <v>0</v>
      </c>
      <c r="O54" s="29" t="s">
        <v>547</v>
      </c>
      <c r="Q54" s="67">
        <v>0</v>
      </c>
      <c r="R54" s="29" t="s">
        <v>547</v>
      </c>
      <c r="U54" s="29" t="s">
        <v>547</v>
      </c>
      <c r="W54" s="29" t="s">
        <v>547</v>
      </c>
      <c r="Z54" s="29" t="s">
        <v>547</v>
      </c>
      <c r="AA54" s="61" t="s">
        <v>546</v>
      </c>
      <c r="AB54" s="29" t="s">
        <v>547</v>
      </c>
      <c r="AC54" s="67">
        <v>0</v>
      </c>
      <c r="AD54" s="29" t="s">
        <v>547</v>
      </c>
      <c r="AF54" s="29" t="s">
        <v>547</v>
      </c>
      <c r="AG54" s="29" t="s">
        <v>547</v>
      </c>
      <c r="AH54" s="29" t="s">
        <v>546</v>
      </c>
      <c r="AI54" s="29" t="s">
        <v>546</v>
      </c>
      <c r="AJ54" s="29" t="s">
        <v>547</v>
      </c>
      <c r="AK54" s="67">
        <v>0</v>
      </c>
      <c r="AL54" s="29" t="s">
        <v>547</v>
      </c>
      <c r="AO54" s="29" t="s">
        <v>547</v>
      </c>
      <c r="AP54" s="29" t="s">
        <v>547</v>
      </c>
      <c r="AQ54" s="4">
        <f>Q54+AK54</f>
        <v>0</v>
      </c>
      <c r="AR54" s="4">
        <f>L54+AC54</f>
        <v>0</v>
      </c>
      <c r="AS54" t="str">
        <f>AQ54&amp;AR54</f>
        <v>00</v>
      </c>
      <c r="AT54" s="49">
        <f>AQ54-AR54</f>
        <v>0</v>
      </c>
      <c r="AU54">
        <v>1</v>
      </c>
      <c r="AV54" s="29" t="s">
        <v>548</v>
      </c>
      <c r="AW54" s="29">
        <v>1</v>
      </c>
      <c r="AX54" s="29" t="s">
        <v>546</v>
      </c>
      <c r="BA54" s="29" t="s">
        <v>546</v>
      </c>
      <c r="BB54" s="29" t="s">
        <v>547</v>
      </c>
      <c r="BD54" s="29">
        <f>AW54+AZ54</f>
        <v>1</v>
      </c>
      <c r="BE54" s="29">
        <f>BD54+BC54</f>
        <v>1</v>
      </c>
      <c r="BF54" s="29" t="s">
        <v>546</v>
      </c>
      <c r="BG54" s="29" t="s">
        <v>546</v>
      </c>
      <c r="BH54" s="29" t="s">
        <v>548</v>
      </c>
      <c r="BI54" s="29" t="s">
        <v>546</v>
      </c>
      <c r="BJ54" s="29" t="s">
        <v>546</v>
      </c>
      <c r="BK54" s="29" t="s">
        <v>546</v>
      </c>
      <c r="BM54" s="29" t="s">
        <v>547</v>
      </c>
      <c r="BO54" s="29" t="s">
        <v>547</v>
      </c>
      <c r="BP54" s="29">
        <v>3</v>
      </c>
      <c r="BQ54" s="29" t="s">
        <v>580</v>
      </c>
      <c r="BS54" s="29" t="s">
        <v>547</v>
      </c>
      <c r="BU54" s="29" t="s">
        <v>547</v>
      </c>
      <c r="BW54" s="29">
        <f>(BL54*1)+(BN54*0.1)+(BP54*0.01)+(BR54*0.1)+(BT54*0.3)+(BV54*0.4)</f>
        <v>0.03</v>
      </c>
      <c r="BX54" s="29" t="s">
        <v>2223</v>
      </c>
      <c r="BY54" s="29">
        <v>1</v>
      </c>
      <c r="BZ54" s="29">
        <v>1</v>
      </c>
      <c r="CA54" s="29">
        <v>0</v>
      </c>
      <c r="CB54" s="29">
        <v>2</v>
      </c>
      <c r="CC54" s="29">
        <v>0</v>
      </c>
      <c r="CD54" s="29">
        <v>0</v>
      </c>
      <c r="CE54" s="29">
        <v>0</v>
      </c>
      <c r="CF54" s="29" t="s">
        <v>547</v>
      </c>
      <c r="CG54" s="29">
        <f>(CC54*15)+(CD54*0.8)+(CE54*0.3)+((AW54+AZ54)*15)</f>
        <v>15</v>
      </c>
      <c r="CH54" s="29" t="s">
        <v>2219</v>
      </c>
      <c r="CI54" s="29">
        <f>(BL54*1)+(BN54*0.1)+(BP54*0.01)+(BR54*0.1)+(BT54*0.3)+(BV54*0.4)+(CC54*15)+(CD54*0.8)+(CE54*0.3)+((AW54+AZ54)*15)</f>
        <v>15.03</v>
      </c>
      <c r="CJ54" s="29" t="s">
        <v>546</v>
      </c>
      <c r="CK54" s="29" t="s">
        <v>547</v>
      </c>
      <c r="CL54" s="29" t="s">
        <v>548</v>
      </c>
      <c r="CM54" s="29" t="s">
        <v>550</v>
      </c>
      <c r="CN54" s="29">
        <v>0.25</v>
      </c>
      <c r="CO54" s="29">
        <v>0.5</v>
      </c>
      <c r="CQ54" s="29" t="s">
        <v>546</v>
      </c>
      <c r="CR54" s="29">
        <v>0.75</v>
      </c>
      <c r="CS54" s="29">
        <v>4</v>
      </c>
      <c r="CT54" s="29" t="s">
        <v>551</v>
      </c>
      <c r="CU54" s="30">
        <v>1.28</v>
      </c>
      <c r="CW54" s="29">
        <v>999</v>
      </c>
      <c r="CX54" s="29" t="s">
        <v>551</v>
      </c>
      <c r="CY54" s="62"/>
      <c r="CZ54" s="29">
        <v>0.75</v>
      </c>
      <c r="DA54" s="29">
        <v>2</v>
      </c>
      <c r="DB54" s="29" t="s">
        <v>551</v>
      </c>
      <c r="DC54" s="62">
        <v>0.64</v>
      </c>
      <c r="DD54" s="29" t="s">
        <v>546</v>
      </c>
      <c r="DE54" s="29" t="s">
        <v>546</v>
      </c>
      <c r="DF54" s="29" t="s">
        <v>546</v>
      </c>
      <c r="DG54" s="29" t="s">
        <v>546</v>
      </c>
      <c r="DH54" s="29" t="s">
        <v>546</v>
      </c>
      <c r="DI54" s="29">
        <v>0</v>
      </c>
      <c r="DJ54" s="29">
        <v>2</v>
      </c>
      <c r="DK54" s="29" t="s">
        <v>1138</v>
      </c>
      <c r="DL54" s="29" t="s">
        <v>1139</v>
      </c>
      <c r="DM54" s="29">
        <v>-4.3043117523193359</v>
      </c>
      <c r="DN54" s="29">
        <v>35.865875244140625</v>
      </c>
      <c r="DO54" s="29">
        <v>1246.800048828125</v>
      </c>
      <c r="DP54" s="29">
        <v>5</v>
      </c>
      <c r="DQ54" s="29">
        <v>1706031849</v>
      </c>
      <c r="DR54" s="29" t="s">
        <v>1140</v>
      </c>
      <c r="DS54" s="31">
        <v>42950.967638888891</v>
      </c>
      <c r="DT54" s="31">
        <v>42949.569479166668</v>
      </c>
      <c r="DU54" s="31">
        <v>42950.856122685189</v>
      </c>
      <c r="DV54" s="32">
        <v>42797</v>
      </c>
      <c r="DX54" s="44">
        <v>5.1265020576131688</v>
      </c>
      <c r="DY54" s="44">
        <v>5.5359670781893007</v>
      </c>
      <c r="DZ54" s="44">
        <v>3.8335294117647063</v>
      </c>
      <c r="EA54" s="44">
        <v>4.6309803921568626</v>
      </c>
      <c r="EC54" s="29">
        <f>IF(EQ54&lt;EP54,"FALSEE",1)</f>
        <v>1</v>
      </c>
      <c r="EE54" s="29" t="s">
        <v>2171</v>
      </c>
      <c r="EF54" s="29">
        <v>1.0361100435299999</v>
      </c>
      <c r="EG54" s="29" t="str">
        <f>IF(EF54&lt;0.5,"Depression",IF(EF54&lt;2,"Very gentle",IF(EF54&lt;5,"Gentle",IF(EF54&lt;9,"Moderate",IF(EF54&lt;15,"Strong",IF(EF54&lt;30,"Steep",IF(EF54&lt;1,"Very steep")))))))</f>
        <v>Very gentle</v>
      </c>
      <c r="EH54" s="29" t="s">
        <v>2177</v>
      </c>
      <c r="EI54" s="29">
        <v>0.54385989904400001</v>
      </c>
      <c r="EJ54" s="43">
        <v>8.8965396881099998</v>
      </c>
      <c r="EK54" s="43">
        <f>VLOOKUP(D54,[1]SoilData!$G$15:$K$237,5,FALSE)</f>
        <v>29.985836517975233</v>
      </c>
      <c r="EL54" s="43">
        <f>VLOOKUP(D54,[1]SoilData!$G$245:$K$451,5,FALSE)</f>
        <v>391.12919621651605</v>
      </c>
      <c r="EM54" s="43">
        <f>VLOOKUP(D54,[1]SoilData!$G$15:$M$238,7,FALSE)</f>
        <v>0.68400000000000005</v>
      </c>
      <c r="EN54" s="43"/>
      <c r="EO54" s="60"/>
      <c r="EP54" s="44">
        <f>AVERAGE(DZ54:EA54)</f>
        <v>4.2322549019607845</v>
      </c>
      <c r="EQ54" s="44">
        <f>AVERAGE(DX54:DY54)</f>
        <v>5.3312345679012347</v>
      </c>
      <c r="ER54" s="43">
        <f>EQ54-EP54</f>
        <v>1.0989796659404503</v>
      </c>
      <c r="ES54" s="64">
        <f>IF(CU54&gt;0.000001,CU54*352,0)</f>
        <v>450.56</v>
      </c>
      <c r="ET54" s="64">
        <f>IF(DC54&gt;0.0001,DC54*682,0)</f>
        <v>436.48</v>
      </c>
      <c r="EU54" s="64">
        <f>CY54*795</f>
        <v>0</v>
      </c>
      <c r="EV54" s="64">
        <f>ES54+ET54+EU54</f>
        <v>887.04</v>
      </c>
      <c r="EW54" s="64">
        <f>IF(AA54="YES",3.5*18.2,0)</f>
        <v>0</v>
      </c>
      <c r="EX54" s="64">
        <f>EV54-EW54</f>
        <v>887.04</v>
      </c>
    </row>
    <row r="55" spans="1:154" ht="15" x14ac:dyDescent="0.2">
      <c r="A55" s="29" t="s">
        <v>556</v>
      </c>
      <c r="B55" s="29">
        <v>214</v>
      </c>
      <c r="C55" s="29" t="s">
        <v>344</v>
      </c>
      <c r="D55" s="29" t="s">
        <v>344</v>
      </c>
      <c r="E55" s="29" t="str">
        <f>VLOOKUP(D55,Harvest_2017_Formulae!$C$2:$D$968,2,FALSE)</f>
        <v>ENDAGWE</v>
      </c>
      <c r="F55" s="29" t="s">
        <v>732</v>
      </c>
      <c r="G55" s="29">
        <v>0</v>
      </c>
      <c r="H55" s="61" t="str">
        <f>IF(G55&lt;0.05,"Homefield",IF(G55&lt;0.5,"Midfield","outfield"))</f>
        <v>Homefield</v>
      </c>
      <c r="I55" s="29" t="s">
        <v>557</v>
      </c>
      <c r="J55" s="61" t="s">
        <v>2233</v>
      </c>
      <c r="K55" s="61" t="s">
        <v>2233</v>
      </c>
      <c r="L55" s="67">
        <v>0</v>
      </c>
      <c r="O55" s="29" t="s">
        <v>547</v>
      </c>
      <c r="Q55" s="67">
        <v>0</v>
      </c>
      <c r="R55" s="29" t="s">
        <v>547</v>
      </c>
      <c r="U55" s="29" t="s">
        <v>547</v>
      </c>
      <c r="W55" s="29" t="s">
        <v>547</v>
      </c>
      <c r="Z55" s="29" t="s">
        <v>547</v>
      </c>
      <c r="AA55" s="61" t="s">
        <v>546</v>
      </c>
      <c r="AB55" s="29" t="s">
        <v>547</v>
      </c>
      <c r="AC55" s="67">
        <v>0</v>
      </c>
      <c r="AD55" s="29" t="s">
        <v>547</v>
      </c>
      <c r="AF55" s="29" t="s">
        <v>547</v>
      </c>
      <c r="AG55" s="29" t="s">
        <v>547</v>
      </c>
      <c r="AH55" s="29" t="s">
        <v>546</v>
      </c>
      <c r="AI55" s="29" t="s">
        <v>546</v>
      </c>
      <c r="AJ55" s="29" t="s">
        <v>547</v>
      </c>
      <c r="AK55" s="67">
        <v>0</v>
      </c>
      <c r="AL55" s="29" t="s">
        <v>547</v>
      </c>
      <c r="AO55" s="29" t="s">
        <v>547</v>
      </c>
      <c r="AP55" s="29" t="s">
        <v>547</v>
      </c>
      <c r="AQ55" s="4">
        <f>Q55+AK55</f>
        <v>0</v>
      </c>
      <c r="AR55" s="4">
        <f>L55+AC55</f>
        <v>0</v>
      </c>
      <c r="AS55" t="str">
        <f>AQ55&amp;AR55</f>
        <v>00</v>
      </c>
      <c r="AT55" s="49">
        <f>AQ55-AR55</f>
        <v>0</v>
      </c>
      <c r="AU55">
        <v>1</v>
      </c>
      <c r="AV55" s="29" t="s">
        <v>548</v>
      </c>
      <c r="AW55" s="29">
        <v>1</v>
      </c>
      <c r="AX55" s="29" t="s">
        <v>548</v>
      </c>
      <c r="AY55" s="29">
        <v>1</v>
      </c>
      <c r="AZ55" s="29">
        <v>2</v>
      </c>
      <c r="BA55" s="29" t="s">
        <v>546</v>
      </c>
      <c r="BB55" s="29" t="s">
        <v>547</v>
      </c>
      <c r="BD55" s="29">
        <f>AW55+AZ55</f>
        <v>3</v>
      </c>
      <c r="BE55" s="29">
        <f>BD55+BC55</f>
        <v>3</v>
      </c>
      <c r="BF55" s="29" t="s">
        <v>546</v>
      </c>
      <c r="BG55" s="29" t="s">
        <v>546</v>
      </c>
      <c r="BH55" s="29" t="s">
        <v>548</v>
      </c>
      <c r="BI55" s="29" t="s">
        <v>546</v>
      </c>
      <c r="BJ55" s="29" t="s">
        <v>546</v>
      </c>
      <c r="BK55" s="29" t="s">
        <v>546</v>
      </c>
      <c r="BM55" s="29" t="s">
        <v>547</v>
      </c>
      <c r="BO55" s="29" t="s">
        <v>547</v>
      </c>
      <c r="BP55" s="29">
        <v>4</v>
      </c>
      <c r="BQ55" s="29" t="s">
        <v>549</v>
      </c>
      <c r="BS55" s="29" t="s">
        <v>547</v>
      </c>
      <c r="BU55" s="29" t="s">
        <v>547</v>
      </c>
      <c r="BW55" s="29">
        <f>(BL55*1)+(BN55*0.1)+(BP55*0.01)+(BR55*0.1)+(BT55*0.3)+(BV55*0.4)</f>
        <v>0.04</v>
      </c>
      <c r="BX55" s="29" t="s">
        <v>2223</v>
      </c>
      <c r="BY55" s="29">
        <v>1</v>
      </c>
      <c r="BZ55" s="29">
        <v>1</v>
      </c>
      <c r="CA55" s="29">
        <v>0</v>
      </c>
      <c r="CB55" s="29">
        <v>2</v>
      </c>
      <c r="CC55" s="29">
        <v>0</v>
      </c>
      <c r="CD55" s="29">
        <v>0</v>
      </c>
      <c r="CE55" s="29">
        <v>0</v>
      </c>
      <c r="CF55" s="29" t="s">
        <v>547</v>
      </c>
      <c r="CG55" s="29">
        <f>(CC55*15)+(CD55*0.8)+(CE55*0.3)+((AW55+AZ55)*15)</f>
        <v>45</v>
      </c>
      <c r="CH55" s="29" t="s">
        <v>2220</v>
      </c>
      <c r="CI55" s="29">
        <f>(BL55*1)+(BN55*0.1)+(BP55*0.01)+(BR55*0.1)+(BT55*0.3)+(BV55*0.4)+(CC55*15)+(CD55*0.8)+(CE55*0.3)+((AW55+AZ55)*15)</f>
        <v>45.04</v>
      </c>
      <c r="CJ55" s="29" t="s">
        <v>546</v>
      </c>
      <c r="CK55" s="29" t="s">
        <v>547</v>
      </c>
      <c r="CL55" s="29" t="s">
        <v>548</v>
      </c>
      <c r="CM55" s="29" t="s">
        <v>550</v>
      </c>
      <c r="CN55" s="29">
        <v>0.25</v>
      </c>
      <c r="CO55" s="29">
        <v>0.75</v>
      </c>
      <c r="CQ55" s="29" t="s">
        <v>548</v>
      </c>
      <c r="CR55" s="29">
        <v>1</v>
      </c>
      <c r="CS55" s="29">
        <v>11</v>
      </c>
      <c r="CT55" s="29" t="s">
        <v>551</v>
      </c>
      <c r="CU55" s="30">
        <v>2.64</v>
      </c>
      <c r="CW55" s="29">
        <v>999</v>
      </c>
      <c r="CX55" s="29" t="s">
        <v>551</v>
      </c>
      <c r="CY55" s="62"/>
      <c r="CZ55" s="29">
        <v>1</v>
      </c>
      <c r="DA55" s="29">
        <v>2</v>
      </c>
      <c r="DB55" s="29" t="s">
        <v>551</v>
      </c>
      <c r="DC55" s="62">
        <v>0.48</v>
      </c>
      <c r="DD55" s="29" t="s">
        <v>546</v>
      </c>
      <c r="DE55" s="29" t="s">
        <v>548</v>
      </c>
      <c r="DF55" s="29" t="s">
        <v>548</v>
      </c>
      <c r="DG55" s="29" t="s">
        <v>546</v>
      </c>
      <c r="DH55" s="29" t="s">
        <v>546</v>
      </c>
      <c r="DI55" s="29">
        <v>2</v>
      </c>
      <c r="DJ55" s="29">
        <v>2</v>
      </c>
      <c r="DK55" s="29" t="s">
        <v>774</v>
      </c>
      <c r="DL55" s="29" t="s">
        <v>775</v>
      </c>
      <c r="DM55" s="29">
        <v>-4.3520464897155762</v>
      </c>
      <c r="DN55" s="29">
        <v>35.650688171386719</v>
      </c>
      <c r="DO55" s="29">
        <v>1591.699951171875</v>
      </c>
      <c r="DP55" s="29">
        <v>5</v>
      </c>
      <c r="DQ55" s="29">
        <v>1706031849</v>
      </c>
      <c r="DR55" s="29" t="s">
        <v>776</v>
      </c>
      <c r="DS55" s="31">
        <v>42950.967233796298</v>
      </c>
      <c r="DT55" s="31">
        <v>42934.492743055554</v>
      </c>
      <c r="DU55" s="31">
        <v>42950.961736111116</v>
      </c>
      <c r="DV55" s="32">
        <v>42772</v>
      </c>
      <c r="DX55" s="44">
        <v>3.7722147651006712</v>
      </c>
      <c r="DY55" s="44">
        <v>2.5218344519015661</v>
      </c>
      <c r="DZ55" s="44">
        <v>3.452519561815337</v>
      </c>
      <c r="EA55" s="44">
        <v>3.2545539906103294</v>
      </c>
      <c r="EC55" s="29" t="str">
        <f>IF(EQ55&lt;EP55,"FALSEE",1)</f>
        <v>FALSEE</v>
      </c>
      <c r="EE55" s="29" t="s">
        <v>2179</v>
      </c>
      <c r="EF55" s="29">
        <v>3.9993274211899998</v>
      </c>
      <c r="EG55" s="29" t="str">
        <f>IF(EF55&lt;0.5,"Depression",IF(EF55&lt;2,"Very gentle",IF(EF55&lt;5,"Gentle",IF(EF55&lt;9,"Moderate",IF(EF55&lt;15,"Strong",IF(EF55&lt;30,"Steep",IF(EF55&lt;1,"Very steep")))))))</f>
        <v>Gentle</v>
      </c>
      <c r="EH55" s="29" t="s">
        <v>2172</v>
      </c>
      <c r="EI55" s="29">
        <v>-0.725126743317</v>
      </c>
      <c r="EJ55" s="43">
        <v>10.1581029892</v>
      </c>
      <c r="EK55" s="43">
        <f>VLOOKUP(D55,[1]SoilData!$G$15:$K$237,5,FALSE)</f>
        <v>311.75152886791551</v>
      </c>
      <c r="EL55" s="43">
        <f>VLOOKUP(D55,[1]SoilData!$G$245:$K$451,5,FALSE)</f>
        <v>550.51217797467154</v>
      </c>
      <c r="EM55" s="43">
        <f>VLOOKUP(D55,[1]SoilData!$G$15:$M$238,7,FALSE)</f>
        <v>1.4390000000000001</v>
      </c>
      <c r="EN55" s="43">
        <f>VLOOKUP(D55,[1]SoilData!$G$245:$M$454,7,FALSE)</f>
        <v>1.599</v>
      </c>
      <c r="EO55" s="60">
        <f>EM55-EN55</f>
        <v>-0.15999999999999992</v>
      </c>
      <c r="EP55" s="44">
        <f>AVERAGE(DZ55:EA55)</f>
        <v>3.3535367762128332</v>
      </c>
      <c r="EQ55" s="44">
        <f>AVERAGE(DX55:DY55)</f>
        <v>3.1470246085011189</v>
      </c>
      <c r="ER55" s="43">
        <f>EQ55-EP55</f>
        <v>-0.20651216771171432</v>
      </c>
      <c r="ES55" s="64">
        <f>IF(CU55&gt;0.000001,CU55*352,0)</f>
        <v>929.28000000000009</v>
      </c>
      <c r="ET55" s="64">
        <f>IF(DC55&gt;0.0001,DC55*682,0)</f>
        <v>327.36</v>
      </c>
      <c r="EU55" s="64">
        <f>CY55*795</f>
        <v>0</v>
      </c>
      <c r="EV55" s="64">
        <f>ES55+ET55+EU55</f>
        <v>1256.6400000000001</v>
      </c>
      <c r="EW55" s="64">
        <f>IF(AA55="YES",3.5*18.2,0)</f>
        <v>0</v>
      </c>
      <c r="EX55" s="64">
        <f>EV55-EW55</f>
        <v>1256.6400000000001</v>
      </c>
    </row>
    <row r="56" spans="1:154" ht="15" x14ac:dyDescent="0.2">
      <c r="A56" s="29" t="s">
        <v>556</v>
      </c>
      <c r="B56" s="29">
        <v>203</v>
      </c>
      <c r="C56" s="29" t="s">
        <v>408</v>
      </c>
      <c r="D56" s="29" t="s">
        <v>408</v>
      </c>
      <c r="E56" s="29" t="str">
        <f>VLOOKUP(D56,Harvest_2017_Formulae!$C$2:$D$968,2,FALSE)</f>
        <v>TSAMASI</v>
      </c>
      <c r="F56" s="29" t="s">
        <v>1014</v>
      </c>
      <c r="G56" s="29">
        <v>0</v>
      </c>
      <c r="H56" s="61" t="str">
        <f>IF(G56&lt;0.05,"Homefield",IF(G56&lt;0.5,"Midfield","outfield"))</f>
        <v>Homefield</v>
      </c>
      <c r="I56" s="29" t="s">
        <v>557</v>
      </c>
      <c r="J56" s="61" t="s">
        <v>2233</v>
      </c>
      <c r="K56" s="61" t="s">
        <v>2233</v>
      </c>
      <c r="L56" s="67">
        <v>0</v>
      </c>
      <c r="O56" s="29" t="s">
        <v>547</v>
      </c>
      <c r="Q56" s="67">
        <v>0</v>
      </c>
      <c r="R56" s="29" t="s">
        <v>547</v>
      </c>
      <c r="U56" s="29" t="s">
        <v>547</v>
      </c>
      <c r="W56" s="29" t="s">
        <v>547</v>
      </c>
      <c r="Z56" s="29" t="s">
        <v>547</v>
      </c>
      <c r="AA56" s="61" t="s">
        <v>546</v>
      </c>
      <c r="AB56" s="29" t="s">
        <v>547</v>
      </c>
      <c r="AC56" s="67">
        <v>0</v>
      </c>
      <c r="AD56" s="29" t="s">
        <v>547</v>
      </c>
      <c r="AF56" s="29" t="s">
        <v>547</v>
      </c>
      <c r="AG56" s="29" t="s">
        <v>547</v>
      </c>
      <c r="AH56" s="29" t="s">
        <v>546</v>
      </c>
      <c r="AI56" s="29" t="s">
        <v>546</v>
      </c>
      <c r="AJ56" s="29" t="s">
        <v>547</v>
      </c>
      <c r="AK56" s="67">
        <v>0</v>
      </c>
      <c r="AL56" s="29" t="s">
        <v>547</v>
      </c>
      <c r="AO56" s="29" t="s">
        <v>547</v>
      </c>
      <c r="AP56" s="29" t="s">
        <v>547</v>
      </c>
      <c r="AQ56" s="4">
        <f>Q56+AK56</f>
        <v>0</v>
      </c>
      <c r="AR56" s="4">
        <f>L56+AC56</f>
        <v>0</v>
      </c>
      <c r="AS56" t="str">
        <f>AQ56&amp;AR56</f>
        <v>00</v>
      </c>
      <c r="AT56" s="49">
        <f>AQ56-AR56</f>
        <v>0</v>
      </c>
      <c r="AU56">
        <v>1</v>
      </c>
      <c r="AV56" s="29" t="s">
        <v>548</v>
      </c>
      <c r="AW56" s="29">
        <v>0.5</v>
      </c>
      <c r="AX56" s="29" t="s">
        <v>548</v>
      </c>
      <c r="AY56" s="29">
        <v>2</v>
      </c>
      <c r="AZ56" s="29">
        <v>4</v>
      </c>
      <c r="BA56" s="29" t="s">
        <v>548</v>
      </c>
      <c r="BB56" s="29" t="s">
        <v>569</v>
      </c>
      <c r="BC56" s="29">
        <v>0.5</v>
      </c>
      <c r="BD56" s="29">
        <f>AW56+AZ56</f>
        <v>4.5</v>
      </c>
      <c r="BE56" s="29">
        <f>BD56+BC56</f>
        <v>5</v>
      </c>
      <c r="BF56" s="29" t="s">
        <v>546</v>
      </c>
      <c r="BG56" s="29" t="s">
        <v>546</v>
      </c>
      <c r="BH56" s="29" t="s">
        <v>548</v>
      </c>
      <c r="BI56" s="29" t="s">
        <v>546</v>
      </c>
      <c r="BJ56" s="29" t="s">
        <v>546</v>
      </c>
      <c r="BK56" s="29" t="s">
        <v>546</v>
      </c>
      <c r="BM56" s="29" t="s">
        <v>547</v>
      </c>
      <c r="BO56" s="29" t="s">
        <v>547</v>
      </c>
      <c r="BP56" s="29">
        <v>7</v>
      </c>
      <c r="BQ56" s="29" t="s">
        <v>549</v>
      </c>
      <c r="BS56" s="29" t="s">
        <v>547</v>
      </c>
      <c r="BU56" s="29" t="s">
        <v>547</v>
      </c>
      <c r="BW56" s="29">
        <f>(BL56*1)+(BN56*0.1)+(BP56*0.01)+(BR56*0.1)+(BT56*0.3)+(BV56*0.4)</f>
        <v>7.0000000000000007E-2</v>
      </c>
      <c r="BX56" s="29" t="s">
        <v>2223</v>
      </c>
      <c r="BY56" s="29">
        <v>1</v>
      </c>
      <c r="BZ56" s="29">
        <v>1</v>
      </c>
      <c r="CA56" s="29">
        <v>4</v>
      </c>
      <c r="CB56" s="29">
        <v>6</v>
      </c>
      <c r="CC56" s="29">
        <v>0</v>
      </c>
      <c r="CD56" s="29">
        <v>0</v>
      </c>
      <c r="CE56" s="29">
        <v>0</v>
      </c>
      <c r="CF56" s="29" t="s">
        <v>547</v>
      </c>
      <c r="CG56" s="29">
        <f>(CC56*15)+(CD56*0.8)+(CE56*0.3)+((AW56+AZ56)*15)</f>
        <v>67.5</v>
      </c>
      <c r="CH56" s="29" t="s">
        <v>2221</v>
      </c>
      <c r="CI56" s="29">
        <f>(BL56*1)+(BN56*0.1)+(BP56*0.01)+(BR56*0.1)+(BT56*0.3)+(BV56*0.4)+(CC56*15)+(CD56*0.8)+(CE56*0.3)+((AW56+AZ56)*15)</f>
        <v>67.569999999999993</v>
      </c>
      <c r="CJ56" s="29" t="s">
        <v>546</v>
      </c>
      <c r="CK56" s="29" t="s">
        <v>547</v>
      </c>
      <c r="CL56" s="29" t="s">
        <v>546</v>
      </c>
      <c r="CM56" s="29" t="s">
        <v>547</v>
      </c>
      <c r="CN56" s="29">
        <v>0.25</v>
      </c>
      <c r="CO56" s="29">
        <v>3.25</v>
      </c>
      <c r="CQ56" s="29" t="s">
        <v>546</v>
      </c>
      <c r="CR56" s="29">
        <v>2</v>
      </c>
      <c r="CS56" s="29">
        <v>40</v>
      </c>
      <c r="CT56" s="29" t="s">
        <v>551</v>
      </c>
      <c r="CU56" s="30">
        <v>4.8</v>
      </c>
      <c r="CW56" s="29">
        <v>999</v>
      </c>
      <c r="CX56" s="29" t="s">
        <v>551</v>
      </c>
      <c r="CY56" s="62"/>
      <c r="CZ56" s="29">
        <v>3</v>
      </c>
      <c r="DA56" s="29">
        <v>6</v>
      </c>
      <c r="DB56" s="29" t="s">
        <v>551</v>
      </c>
      <c r="DC56" s="62">
        <v>0.48</v>
      </c>
      <c r="DD56" s="29" t="s">
        <v>546</v>
      </c>
      <c r="DE56" s="29" t="s">
        <v>546</v>
      </c>
      <c r="DF56" s="29" t="s">
        <v>546</v>
      </c>
      <c r="DG56" s="29" t="s">
        <v>546</v>
      </c>
      <c r="DH56" s="29" t="s">
        <v>546</v>
      </c>
      <c r="DI56" s="29">
        <v>0</v>
      </c>
      <c r="DJ56" s="29">
        <v>2</v>
      </c>
      <c r="DK56" s="29" t="s">
        <v>1385</v>
      </c>
      <c r="DL56" s="29" t="s">
        <v>1386</v>
      </c>
      <c r="DM56" s="29">
        <v>-4.2916555404663086</v>
      </c>
      <c r="DN56" s="29">
        <v>35.814193725585938</v>
      </c>
      <c r="DO56" s="29">
        <v>1378.800048828125</v>
      </c>
      <c r="DP56" s="29">
        <v>5</v>
      </c>
      <c r="DQ56" s="29">
        <v>1706031849</v>
      </c>
      <c r="DR56" s="29" t="s">
        <v>1387</v>
      </c>
      <c r="DS56" s="31">
        <v>42948.908530092594</v>
      </c>
      <c r="DT56" s="31">
        <v>42938.579432870371</v>
      </c>
      <c r="DU56" s="31">
        <v>42938.585405092592</v>
      </c>
      <c r="DV56" s="32">
        <v>42794</v>
      </c>
      <c r="DX56" s="44">
        <v>3.558085585585586</v>
      </c>
      <c r="DY56" s="44">
        <v>3.5257882882882883</v>
      </c>
      <c r="DZ56" s="44">
        <v>1.732936507936508</v>
      </c>
      <c r="EA56" s="44">
        <v>2.7989550264550269</v>
      </c>
      <c r="EC56" s="29">
        <f>IF(EQ56&lt;EP56,"FALSEE",1)</f>
        <v>1</v>
      </c>
      <c r="EE56" s="29" t="s">
        <v>2174</v>
      </c>
      <c r="EF56" s="29">
        <v>7.8896226882900002</v>
      </c>
      <c r="EG56" s="29" t="str">
        <f>IF(EF56&lt;0.5,"Depression",IF(EF56&lt;2,"Very gentle",IF(EF56&lt;5,"Gentle",IF(EF56&lt;9,"Moderate",IF(EF56&lt;15,"Strong",IF(EF56&lt;30,"Steep",IF(EF56&lt;1,"Very steep")))))))</f>
        <v>Moderate</v>
      </c>
      <c r="EH56" s="29" t="s">
        <v>2178</v>
      </c>
      <c r="EI56" s="29">
        <v>-9.0633422136300004E-2</v>
      </c>
      <c r="EJ56" s="43">
        <v>8.8443002700799997</v>
      </c>
      <c r="EK56" s="43">
        <f>VLOOKUP(D56,[1]SoilData!$G$15:$K$237,5,FALSE)</f>
        <v>267.07510142062972</v>
      </c>
      <c r="EL56" s="43">
        <f>VLOOKUP(D56,[1]SoilData!$G$245:$K$451,5,FALSE)</f>
        <v>190.38868744669747</v>
      </c>
      <c r="EM56" s="43">
        <f>VLOOKUP(D56,[1]SoilData!$G$15:$M$238,7,FALSE)</f>
        <v>1.056</v>
      </c>
      <c r="EN56" s="43">
        <f>VLOOKUP(D56,[1]SoilData!$G$245:$M$454,7,FALSE)</f>
        <v>0.88800000000000001</v>
      </c>
      <c r="EO56" s="60">
        <f>EM56-EN56</f>
        <v>0.16800000000000004</v>
      </c>
      <c r="EP56" s="44">
        <f>AVERAGE(DZ56:EA56)</f>
        <v>2.2659457671957677</v>
      </c>
      <c r="EQ56" s="44">
        <f>AVERAGE(DX56:DY56)</f>
        <v>3.5419369369369371</v>
      </c>
      <c r="ER56" s="43">
        <f>EQ56-EP56</f>
        <v>1.2759911697411694</v>
      </c>
      <c r="ES56" s="64">
        <f>IF(CU56&gt;0.000001,CU56*352,0)</f>
        <v>1689.6</v>
      </c>
      <c r="ET56" s="64">
        <f>IF(DC56&gt;0.0001,DC56*682,0)</f>
        <v>327.36</v>
      </c>
      <c r="EU56" s="64">
        <f>CY56*795</f>
        <v>0</v>
      </c>
      <c r="EV56" s="64">
        <f>ES56+ET56+EU56</f>
        <v>2016.96</v>
      </c>
      <c r="EW56" s="64">
        <f>IF(AA56="YES",3.5*18.2,0)</f>
        <v>0</v>
      </c>
      <c r="EX56" s="64">
        <f>EV56-EW56</f>
        <v>2016.96</v>
      </c>
    </row>
    <row r="57" spans="1:154" s="57" customFormat="1" ht="15" x14ac:dyDescent="0.2">
      <c r="A57" s="29" t="s">
        <v>556</v>
      </c>
      <c r="B57" s="29">
        <v>221</v>
      </c>
      <c r="C57" s="29" t="s">
        <v>1100</v>
      </c>
      <c r="D57" s="29" t="s">
        <v>369</v>
      </c>
      <c r="E57" s="29" t="str">
        <f>VLOOKUP(D57,Harvest_2017_Formulae!$C$2:$D$968,2,FALSE)</f>
        <v>ORNGADIDA</v>
      </c>
      <c r="F57" s="29" t="s">
        <v>777</v>
      </c>
      <c r="G57" s="29">
        <v>0</v>
      </c>
      <c r="H57" s="61" t="str">
        <f>IF(G57&lt;0.05,"Homefield",IF(G57&lt;0.5,"Midfield","outfield"))</f>
        <v>Homefield</v>
      </c>
      <c r="I57" s="29" t="s">
        <v>557</v>
      </c>
      <c r="J57" s="61" t="s">
        <v>2233</v>
      </c>
      <c r="K57" s="61" t="s">
        <v>2233</v>
      </c>
      <c r="L57" s="67">
        <v>0</v>
      </c>
      <c r="M57" s="29"/>
      <c r="N57" s="29"/>
      <c r="O57" s="29" t="s">
        <v>547</v>
      </c>
      <c r="P57" s="29"/>
      <c r="Q57" s="67">
        <v>0</v>
      </c>
      <c r="R57" s="29" t="s">
        <v>547</v>
      </c>
      <c r="S57" s="29"/>
      <c r="T57" s="29"/>
      <c r="U57" s="29" t="s">
        <v>547</v>
      </c>
      <c r="V57" s="29"/>
      <c r="W57" s="29" t="s">
        <v>547</v>
      </c>
      <c r="X57" s="29"/>
      <c r="Y57" s="29"/>
      <c r="Z57" s="29" t="s">
        <v>547</v>
      </c>
      <c r="AA57" s="61" t="s">
        <v>546</v>
      </c>
      <c r="AB57" s="29" t="s">
        <v>547</v>
      </c>
      <c r="AC57" s="67">
        <v>0</v>
      </c>
      <c r="AD57" s="29" t="s">
        <v>547</v>
      </c>
      <c r="AE57" s="29"/>
      <c r="AF57" s="29" t="s">
        <v>547</v>
      </c>
      <c r="AG57" s="29" t="s">
        <v>547</v>
      </c>
      <c r="AH57" s="29" t="s">
        <v>546</v>
      </c>
      <c r="AI57" s="29" t="s">
        <v>546</v>
      </c>
      <c r="AJ57" s="29" t="s">
        <v>547</v>
      </c>
      <c r="AK57" s="67">
        <v>0</v>
      </c>
      <c r="AL57" s="29" t="s">
        <v>547</v>
      </c>
      <c r="AM57" s="29"/>
      <c r="AN57" s="29"/>
      <c r="AO57" s="29" t="s">
        <v>547</v>
      </c>
      <c r="AP57" s="29" t="s">
        <v>547</v>
      </c>
      <c r="AQ57" s="4">
        <f>Q57+AK57</f>
        <v>0</v>
      </c>
      <c r="AR57" s="4">
        <f>L57+AC57</f>
        <v>0</v>
      </c>
      <c r="AS57" t="str">
        <f>AQ57&amp;AR57</f>
        <v>00</v>
      </c>
      <c r="AT57" s="49">
        <f>AQ57-AR57</f>
        <v>0</v>
      </c>
      <c r="AU57">
        <v>1</v>
      </c>
      <c r="AV57" s="29" t="s">
        <v>548</v>
      </c>
      <c r="AW57" s="29">
        <v>0.5</v>
      </c>
      <c r="AX57" s="29" t="s">
        <v>546</v>
      </c>
      <c r="AY57" s="29"/>
      <c r="AZ57" s="29"/>
      <c r="BA57" s="29" t="s">
        <v>548</v>
      </c>
      <c r="BB57" s="29" t="s">
        <v>584</v>
      </c>
      <c r="BC57" s="29">
        <v>1</v>
      </c>
      <c r="BD57" s="29">
        <f>AW57+AZ57</f>
        <v>0.5</v>
      </c>
      <c r="BE57" s="29">
        <f>BD57+BC57</f>
        <v>1.5</v>
      </c>
      <c r="BF57" s="29" t="s">
        <v>546</v>
      </c>
      <c r="BG57" s="29" t="s">
        <v>548</v>
      </c>
      <c r="BH57" s="29" t="s">
        <v>548</v>
      </c>
      <c r="BI57" s="29" t="s">
        <v>546</v>
      </c>
      <c r="BJ57" s="29" t="s">
        <v>546</v>
      </c>
      <c r="BK57" s="29" t="s">
        <v>546</v>
      </c>
      <c r="BL57" s="29"/>
      <c r="BM57" s="29" t="s">
        <v>547</v>
      </c>
      <c r="BN57" s="29">
        <v>2</v>
      </c>
      <c r="BO57" s="29" t="s">
        <v>549</v>
      </c>
      <c r="BP57" s="29">
        <v>3</v>
      </c>
      <c r="BQ57" s="29" t="s">
        <v>549</v>
      </c>
      <c r="BR57" s="29"/>
      <c r="BS57" s="29" t="s">
        <v>547</v>
      </c>
      <c r="BT57" s="29"/>
      <c r="BU57" s="29" t="s">
        <v>547</v>
      </c>
      <c r="BV57" s="29"/>
      <c r="BW57" s="29">
        <f>(BL57*1)+(BN57*0.1)+(BP57*0.01)+(BR57*0.1)+(BT57*0.3)+(BV57*0.4)</f>
        <v>0.23</v>
      </c>
      <c r="BX57" s="29" t="s">
        <v>2223</v>
      </c>
      <c r="BY57" s="29">
        <v>1</v>
      </c>
      <c r="BZ57" s="29">
        <v>1</v>
      </c>
      <c r="CA57" s="29">
        <v>1</v>
      </c>
      <c r="CB57" s="29">
        <v>3</v>
      </c>
      <c r="CC57" s="29">
        <v>0</v>
      </c>
      <c r="CD57" s="29">
        <v>0</v>
      </c>
      <c r="CE57" s="29">
        <v>0</v>
      </c>
      <c r="CF57" s="29" t="s">
        <v>547</v>
      </c>
      <c r="CG57" s="29">
        <f>(CC57*15)+(CD57*0.8)+(CE57*0.3)+((AW57+AZ57)*15)</f>
        <v>7.5</v>
      </c>
      <c r="CH57" s="29" t="s">
        <v>2219</v>
      </c>
      <c r="CI57" s="29">
        <f>(BL57*1)+(BN57*0.1)+(BP57*0.01)+(BR57*0.1)+(BT57*0.3)+(BV57*0.4)+(CC57*15)+(CD57*0.8)+(CE57*0.3)+((AW57+AZ57)*15)</f>
        <v>7.73</v>
      </c>
      <c r="CJ57" s="29" t="s">
        <v>546</v>
      </c>
      <c r="CK57" s="29" t="s">
        <v>547</v>
      </c>
      <c r="CL57" s="29" t="s">
        <v>546</v>
      </c>
      <c r="CM57" s="29" t="s">
        <v>547</v>
      </c>
      <c r="CN57" s="29">
        <v>0.25</v>
      </c>
      <c r="CO57" s="29"/>
      <c r="CP57" s="29"/>
      <c r="CQ57" s="29" t="s">
        <v>546</v>
      </c>
      <c r="CR57" s="29">
        <v>0.25</v>
      </c>
      <c r="CS57" s="29">
        <v>2</v>
      </c>
      <c r="CT57" s="29" t="s">
        <v>552</v>
      </c>
      <c r="CU57" s="30">
        <v>0.32063999999999998</v>
      </c>
      <c r="CV57" s="29">
        <v>0.25</v>
      </c>
      <c r="CW57" s="29">
        <v>999</v>
      </c>
      <c r="CX57" s="29" t="s">
        <v>551</v>
      </c>
      <c r="CY57" s="62"/>
      <c r="CZ57" s="29">
        <v>0.25</v>
      </c>
      <c r="DA57" s="29">
        <v>2</v>
      </c>
      <c r="DB57" s="29" t="s">
        <v>552</v>
      </c>
      <c r="DC57" s="62">
        <v>0.32063999999999998</v>
      </c>
      <c r="DD57" s="29" t="s">
        <v>546</v>
      </c>
      <c r="DE57" s="29" t="s">
        <v>546</v>
      </c>
      <c r="DF57" s="29" t="s">
        <v>546</v>
      </c>
      <c r="DG57" s="29" t="s">
        <v>546</v>
      </c>
      <c r="DH57" s="29" t="s">
        <v>546</v>
      </c>
      <c r="DI57" s="29">
        <v>0</v>
      </c>
      <c r="DJ57" s="29">
        <v>2</v>
      </c>
      <c r="DK57" s="29" t="s">
        <v>1101</v>
      </c>
      <c r="DL57" s="29" t="s">
        <v>1102</v>
      </c>
      <c r="DM57" s="29">
        <v>-4.3045344352722168</v>
      </c>
      <c r="DN57" s="29">
        <v>35.866374969482422</v>
      </c>
      <c r="DO57" s="29">
        <v>1243.699951171875</v>
      </c>
      <c r="DP57" s="29">
        <v>5</v>
      </c>
      <c r="DQ57" s="29">
        <v>1706031849</v>
      </c>
      <c r="DR57" s="29" t="s">
        <v>1103</v>
      </c>
      <c r="DS57" s="31">
        <v>42950.967650462961</v>
      </c>
      <c r="DT57" s="31">
        <v>42949.572800925926</v>
      </c>
      <c r="DU57" s="31">
        <v>42950.852106481485</v>
      </c>
      <c r="DV57" s="32">
        <v>42794</v>
      </c>
      <c r="DW57" s="29"/>
      <c r="DX57" s="44">
        <v>7.1560905349794242</v>
      </c>
      <c r="DY57" s="44">
        <v>5.4881893004115225</v>
      </c>
      <c r="DZ57" s="44">
        <v>5.0021241830065355</v>
      </c>
      <c r="EA57" s="44">
        <v>4.5060457516339865</v>
      </c>
      <c r="EB57" s="29"/>
      <c r="EC57" s="29">
        <f>IF(EQ57&lt;EP57,"FALSEE",1)</f>
        <v>1</v>
      </c>
      <c r="ED57" s="29"/>
      <c r="EE57" s="29" t="s">
        <v>2171</v>
      </c>
      <c r="EF57" s="29">
        <v>1.0361100435299999</v>
      </c>
      <c r="EG57" s="29" t="str">
        <f>IF(EF57&lt;0.5,"Depression",IF(EF57&lt;2,"Very gentle",IF(EF57&lt;5,"Gentle",IF(EF57&lt;9,"Moderate",IF(EF57&lt;15,"Strong",IF(EF57&lt;30,"Steep",IF(EF57&lt;1,"Very steep")))))))</f>
        <v>Very gentle</v>
      </c>
      <c r="EH57" s="29" t="s">
        <v>2177</v>
      </c>
      <c r="EI57" s="29">
        <v>0.54385989904400001</v>
      </c>
      <c r="EJ57" s="43">
        <v>8.8965396881099998</v>
      </c>
      <c r="EK57" s="43">
        <f>VLOOKUP(D57,[1]SoilData!$G$15:$K$237,5,FALSE)</f>
        <v>253.25475489831277</v>
      </c>
      <c r="EL57" s="43">
        <f>VLOOKUP(D57,[1]SoilData!$G$245:$K$451,5,FALSE)</f>
        <v>331.97159242310181</v>
      </c>
      <c r="EM57" s="43">
        <f>VLOOKUP(D57,[1]SoilData!$G$15:$M$238,7,FALSE)</f>
        <v>1.5629999999999999</v>
      </c>
      <c r="EN57" s="43">
        <f>VLOOKUP(D57,[1]SoilData!$G$245:$M$454,7,FALSE)</f>
        <v>1.734</v>
      </c>
      <c r="EO57" s="60">
        <f>EM57-EN57</f>
        <v>-0.17100000000000004</v>
      </c>
      <c r="EP57" s="44">
        <f>AVERAGE(DZ57:EA57)</f>
        <v>4.754084967320261</v>
      </c>
      <c r="EQ57" s="44">
        <f>AVERAGE(DX57:DY57)</f>
        <v>6.3221399176954733</v>
      </c>
      <c r="ER57" s="43">
        <f>EQ57-EP57</f>
        <v>1.5680549503752124</v>
      </c>
      <c r="ES57" s="64">
        <f>IF(CU57&gt;0.000001,CU57*352,0)</f>
        <v>112.86528</v>
      </c>
      <c r="ET57" s="64">
        <f>IF(DC57&gt;0.0001,DC57*682,0)</f>
        <v>218.67648</v>
      </c>
      <c r="EU57" s="64">
        <f>CY57*795</f>
        <v>0</v>
      </c>
      <c r="EV57" s="64">
        <f>ES57+ET57+EU57</f>
        <v>331.54176000000001</v>
      </c>
      <c r="EW57" s="64">
        <f>IF(AA57="YES",3.5*18.2,0)</f>
        <v>0</v>
      </c>
      <c r="EX57" s="64">
        <f>EV57-EW57</f>
        <v>331.54176000000001</v>
      </c>
    </row>
    <row r="58" spans="1:154" ht="15" x14ac:dyDescent="0.2">
      <c r="A58" s="29" t="s">
        <v>556</v>
      </c>
      <c r="B58" s="29">
        <v>216</v>
      </c>
      <c r="C58" s="29" t="s">
        <v>131</v>
      </c>
      <c r="D58" s="29" t="s">
        <v>131</v>
      </c>
      <c r="E58" s="29" t="str">
        <f>VLOOKUP(D58,Harvest_2017_Formulae!$C$2:$D$968,2,FALSE)</f>
        <v>ENDAGWE</v>
      </c>
      <c r="F58" s="29" t="s">
        <v>777</v>
      </c>
      <c r="G58" s="29">
        <v>0.75</v>
      </c>
      <c r="H58" s="61" t="str">
        <f>IF(G58&lt;0.05,"Homefield",IF(G58&lt;0.5,"Midfield","outfield"))</f>
        <v>outfield</v>
      </c>
      <c r="I58" s="29" t="s">
        <v>557</v>
      </c>
      <c r="J58" s="61" t="s">
        <v>2233</v>
      </c>
      <c r="K58" s="61" t="s">
        <v>2233</v>
      </c>
      <c r="L58" s="67">
        <v>0</v>
      </c>
      <c r="O58" s="29" t="s">
        <v>547</v>
      </c>
      <c r="Q58" s="67">
        <v>0</v>
      </c>
      <c r="R58" s="29" t="s">
        <v>547</v>
      </c>
      <c r="U58" s="29" t="s">
        <v>547</v>
      </c>
      <c r="W58" s="29" t="s">
        <v>547</v>
      </c>
      <c r="Z58" s="29" t="s">
        <v>547</v>
      </c>
      <c r="AA58" s="61" t="s">
        <v>546</v>
      </c>
      <c r="AB58" s="29" t="s">
        <v>547</v>
      </c>
      <c r="AC58" s="67">
        <v>0</v>
      </c>
      <c r="AD58" s="29" t="s">
        <v>547</v>
      </c>
      <c r="AF58" s="29" t="s">
        <v>547</v>
      </c>
      <c r="AG58" s="29" t="s">
        <v>547</v>
      </c>
      <c r="AH58" s="29" t="s">
        <v>546</v>
      </c>
      <c r="AI58" s="29" t="s">
        <v>546</v>
      </c>
      <c r="AJ58" s="29" t="s">
        <v>547</v>
      </c>
      <c r="AK58" s="67">
        <v>0</v>
      </c>
      <c r="AL58" s="29" t="s">
        <v>547</v>
      </c>
      <c r="AO58" s="29" t="s">
        <v>547</v>
      </c>
      <c r="AP58" s="29" t="s">
        <v>547</v>
      </c>
      <c r="AQ58" s="4">
        <f>Q58+AK58</f>
        <v>0</v>
      </c>
      <c r="AR58" s="4">
        <f>L58+AC58</f>
        <v>0</v>
      </c>
      <c r="AS58" t="str">
        <f>AQ58&amp;AR58</f>
        <v>00</v>
      </c>
      <c r="AT58" s="49">
        <f>AQ58-AR58</f>
        <v>0</v>
      </c>
      <c r="AU58">
        <v>1</v>
      </c>
      <c r="AV58" s="29" t="s">
        <v>548</v>
      </c>
      <c r="AW58" s="29">
        <v>2</v>
      </c>
      <c r="AX58" s="29" t="s">
        <v>548</v>
      </c>
      <c r="AY58" s="29">
        <v>2</v>
      </c>
      <c r="AZ58" s="29">
        <v>2.5</v>
      </c>
      <c r="BA58" s="29" t="s">
        <v>546</v>
      </c>
      <c r="BB58" s="29" t="s">
        <v>547</v>
      </c>
      <c r="BD58" s="29">
        <f>AW58+AZ58</f>
        <v>4.5</v>
      </c>
      <c r="BE58" s="29">
        <f>BD58+BC58</f>
        <v>4.5</v>
      </c>
      <c r="BF58" s="29" t="s">
        <v>546</v>
      </c>
      <c r="BG58" s="29" t="s">
        <v>548</v>
      </c>
      <c r="BH58" s="29" t="s">
        <v>548</v>
      </c>
      <c r="BI58" s="29" t="s">
        <v>546</v>
      </c>
      <c r="BJ58" s="29" t="s">
        <v>546</v>
      </c>
      <c r="BK58" s="29" t="s">
        <v>546</v>
      </c>
      <c r="BM58" s="29" t="s">
        <v>547</v>
      </c>
      <c r="BN58" s="29">
        <v>2</v>
      </c>
      <c r="BO58" s="29" t="s">
        <v>580</v>
      </c>
      <c r="BP58" s="29">
        <v>6</v>
      </c>
      <c r="BQ58" s="29" t="s">
        <v>549</v>
      </c>
      <c r="BS58" s="29" t="s">
        <v>547</v>
      </c>
      <c r="BU58" s="29" t="s">
        <v>547</v>
      </c>
      <c r="BW58" s="29">
        <f>(BL58*1)+(BN58*0.1)+(BP58*0.01)+(BR58*0.1)+(BT58*0.3)+(BV58*0.4)</f>
        <v>0.26</v>
      </c>
      <c r="BX58" s="29" t="s">
        <v>2223</v>
      </c>
      <c r="BY58" s="29">
        <v>1</v>
      </c>
      <c r="BZ58" s="29">
        <v>1</v>
      </c>
      <c r="CA58" s="29">
        <v>3</v>
      </c>
      <c r="CB58" s="29">
        <v>5</v>
      </c>
      <c r="CC58" s="29">
        <v>0</v>
      </c>
      <c r="CD58" s="29">
        <v>0</v>
      </c>
      <c r="CE58" s="29">
        <v>1</v>
      </c>
      <c r="CF58" s="29" t="s">
        <v>547</v>
      </c>
      <c r="CG58" s="29">
        <f>(CC58*15)+(CD58*0.8)+(CE58*0.3)+((AW58+AZ58)*15)</f>
        <v>67.8</v>
      </c>
      <c r="CH58" s="29" t="s">
        <v>2221</v>
      </c>
      <c r="CI58" s="29">
        <f>(BL58*1)+(BN58*0.1)+(BP58*0.01)+(BR58*0.1)+(BT58*0.3)+(BV58*0.4)+(CC58*15)+(CD58*0.8)+(CE58*0.3)+((AW58+AZ58)*15)</f>
        <v>68.06</v>
      </c>
      <c r="CJ58" s="29" t="s">
        <v>548</v>
      </c>
      <c r="CK58" s="29" t="s">
        <v>778</v>
      </c>
      <c r="CL58" s="29" t="s">
        <v>548</v>
      </c>
      <c r="CM58" s="29" t="s">
        <v>550</v>
      </c>
      <c r="CN58" s="29">
        <v>0.25</v>
      </c>
      <c r="CO58" s="29">
        <v>0.25</v>
      </c>
      <c r="CQ58" s="29" t="s">
        <v>548</v>
      </c>
      <c r="CR58" s="29">
        <v>0.5</v>
      </c>
      <c r="CS58" s="29">
        <v>7</v>
      </c>
      <c r="CT58" s="29" t="s">
        <v>551</v>
      </c>
      <c r="CU58" s="30">
        <v>3.3600000000000003</v>
      </c>
      <c r="CW58" s="29">
        <v>999</v>
      </c>
      <c r="CX58" s="29" t="s">
        <v>551</v>
      </c>
      <c r="CY58" s="62"/>
      <c r="CZ58" s="29">
        <v>0.5</v>
      </c>
      <c r="DA58" s="29">
        <v>5</v>
      </c>
      <c r="DB58" s="29" t="s">
        <v>552</v>
      </c>
      <c r="DC58" s="62">
        <v>0.40079999999999999</v>
      </c>
      <c r="DD58" s="29" t="s">
        <v>546</v>
      </c>
      <c r="DE58" s="29" t="s">
        <v>546</v>
      </c>
      <c r="DF58" s="29" t="s">
        <v>546</v>
      </c>
      <c r="DG58" s="29" t="s">
        <v>546</v>
      </c>
      <c r="DH58" s="29" t="s">
        <v>546</v>
      </c>
      <c r="DI58" s="29">
        <v>0</v>
      </c>
      <c r="DJ58" s="29">
        <v>2</v>
      </c>
      <c r="DK58" s="29" t="s">
        <v>779</v>
      </c>
      <c r="DL58" s="29" t="s">
        <v>780</v>
      </c>
      <c r="DM58" s="29">
        <v>-4.3781700134277344</v>
      </c>
      <c r="DN58" s="29">
        <v>35.645359039306641</v>
      </c>
      <c r="DO58" s="29">
        <v>1671.199951171875</v>
      </c>
      <c r="DP58" s="29">
        <v>5</v>
      </c>
      <c r="DQ58" s="29">
        <v>1706031849</v>
      </c>
      <c r="DR58" s="29" t="s">
        <v>781</v>
      </c>
      <c r="DS58" s="31">
        <v>42950.967453703706</v>
      </c>
      <c r="DT58" s="31">
        <v>42935.456076388888</v>
      </c>
      <c r="DU58" s="31">
        <v>42950.893634259264</v>
      </c>
      <c r="DV58" s="32">
        <v>42827</v>
      </c>
      <c r="DX58" s="44">
        <v>1.4233766233766234</v>
      </c>
      <c r="DY58" s="44">
        <v>1.2335930735930736</v>
      </c>
      <c r="DZ58" s="44">
        <v>1.9072628726287266</v>
      </c>
      <c r="EA58" s="44">
        <v>2.359308943089431</v>
      </c>
      <c r="EC58" s="29" t="str">
        <f>IF(EQ58&lt;EP58,"FALSEE",1)</f>
        <v>FALSEE</v>
      </c>
      <c r="EE58" s="29" t="s">
        <v>2180</v>
      </c>
      <c r="EF58" s="29">
        <v>1.3195674419400001</v>
      </c>
      <c r="EG58" s="29" t="str">
        <f>IF(EF58&lt;0.5,"Depression",IF(EF58&lt;2,"Very gentle",IF(EF58&lt;5,"Gentle",IF(EF58&lt;9,"Moderate",IF(EF58&lt;15,"Strong",IF(EF58&lt;30,"Steep",IF(EF58&lt;1,"Very steep")))))))</f>
        <v>Very gentle</v>
      </c>
      <c r="EH58" s="29" t="s">
        <v>2177</v>
      </c>
      <c r="EI58" s="29">
        <v>0.815785527229</v>
      </c>
      <c r="EJ58" s="43">
        <v>7.9470510482799996</v>
      </c>
      <c r="EK58" s="43">
        <f>VLOOKUP(D58,[1]SoilData!$G$15:$K$237,5,FALSE)</f>
        <v>120.10482534901254</v>
      </c>
      <c r="EL58" s="43">
        <f>VLOOKUP(D58,[1]SoilData!$G$245:$K$451,5,FALSE)</f>
        <v>139.12203732794822</v>
      </c>
      <c r="EM58" s="43">
        <f>VLOOKUP(D58,[1]SoilData!$G$15:$M$238,7,FALSE)</f>
        <v>0.79600000000000004</v>
      </c>
      <c r="EN58" s="43">
        <f>VLOOKUP(D58,[1]SoilData!$G$245:$M$454,7,FALSE)</f>
        <v>1.0389999999999999</v>
      </c>
      <c r="EO58" s="60">
        <f>EM58-EN58</f>
        <v>-0.24299999999999988</v>
      </c>
      <c r="EP58" s="44">
        <f>AVERAGE(DZ58:EA58)</f>
        <v>2.1332859078590789</v>
      </c>
      <c r="EQ58" s="44">
        <f>AVERAGE(DX58:DY58)</f>
        <v>1.3284848484848486</v>
      </c>
      <c r="ER58" s="43">
        <f>EQ58-EP58</f>
        <v>-0.8048010593742303</v>
      </c>
      <c r="ES58" s="64">
        <f>IF(CU58&gt;0.000001,CU58*352,0)</f>
        <v>1182.72</v>
      </c>
      <c r="ET58" s="64">
        <f>IF(DC58&gt;0.0001,DC58*682,0)</f>
        <v>273.34559999999999</v>
      </c>
      <c r="EU58" s="64">
        <f>CY58*795</f>
        <v>0</v>
      </c>
      <c r="EV58" s="64">
        <f>ES58+ET58+EU58</f>
        <v>1456.0655999999999</v>
      </c>
      <c r="EW58" s="64">
        <f>IF(AA58="YES",3.5*18.2,0)</f>
        <v>0</v>
      </c>
      <c r="EX58" s="64">
        <f>EV58-EW58</f>
        <v>1456.0655999999999</v>
      </c>
    </row>
    <row r="59" spans="1:154" ht="15" x14ac:dyDescent="0.2">
      <c r="A59" s="33" t="s">
        <v>556</v>
      </c>
      <c r="B59" s="33">
        <v>131</v>
      </c>
      <c r="C59" s="33" t="s">
        <v>174</v>
      </c>
      <c r="D59" s="33" t="s">
        <v>174</v>
      </c>
      <c r="E59" s="33" t="str">
        <f>VLOOKUP(D59,Harvest_2017_Formulae!$C$2:$D$968,2,FALSE)</f>
        <v>HALLU</v>
      </c>
      <c r="F59" s="33" t="s">
        <v>938</v>
      </c>
      <c r="G59" s="33">
        <v>0</v>
      </c>
      <c r="H59" s="61" t="str">
        <f>IF(G59&lt;0.05,"Homefield",IF(G59&lt;0.5,"Midfield","outfield"))</f>
        <v>Homefield</v>
      </c>
      <c r="I59" s="33" t="s">
        <v>557</v>
      </c>
      <c r="J59" s="61" t="s">
        <v>2234</v>
      </c>
      <c r="K59" s="61" t="s">
        <v>2234</v>
      </c>
      <c r="L59" s="67">
        <v>0</v>
      </c>
      <c r="M59" s="33"/>
      <c r="N59" s="33"/>
      <c r="O59" s="33" t="s">
        <v>547</v>
      </c>
      <c r="P59" s="33"/>
      <c r="Q59" s="67">
        <v>0</v>
      </c>
      <c r="R59" s="33" t="s">
        <v>547</v>
      </c>
      <c r="S59" s="33"/>
      <c r="T59" s="33"/>
      <c r="U59" s="33" t="s">
        <v>547</v>
      </c>
      <c r="V59" s="33"/>
      <c r="W59" s="33" t="s">
        <v>547</v>
      </c>
      <c r="X59" s="33"/>
      <c r="Y59" s="33"/>
      <c r="Z59" s="33" t="s">
        <v>547</v>
      </c>
      <c r="AA59" s="61" t="s">
        <v>546</v>
      </c>
      <c r="AB59" s="33" t="s">
        <v>547</v>
      </c>
      <c r="AC59" s="67">
        <v>0</v>
      </c>
      <c r="AD59" s="33" t="s">
        <v>547</v>
      </c>
      <c r="AE59" s="33"/>
      <c r="AF59" s="33" t="s">
        <v>547</v>
      </c>
      <c r="AG59" s="33" t="s">
        <v>547</v>
      </c>
      <c r="AH59" s="33" t="s">
        <v>546</v>
      </c>
      <c r="AI59" s="33" t="s">
        <v>546</v>
      </c>
      <c r="AJ59" s="33" t="s">
        <v>547</v>
      </c>
      <c r="AK59" s="67">
        <v>0</v>
      </c>
      <c r="AL59" s="33" t="s">
        <v>547</v>
      </c>
      <c r="AM59" s="33"/>
      <c r="AN59" s="33"/>
      <c r="AO59" s="33" t="s">
        <v>547</v>
      </c>
      <c r="AP59" s="33" t="s">
        <v>547</v>
      </c>
      <c r="AQ59" s="4">
        <f>Q59+AK59</f>
        <v>0</v>
      </c>
      <c r="AR59" s="4">
        <f>L59+AC59</f>
        <v>0</v>
      </c>
      <c r="AS59" t="str">
        <f>AQ59&amp;AR59</f>
        <v>00</v>
      </c>
      <c r="AT59" s="49">
        <f>AQ59-AR59</f>
        <v>0</v>
      </c>
      <c r="AU59">
        <v>1</v>
      </c>
      <c r="AV59" s="33" t="s">
        <v>546</v>
      </c>
      <c r="AW59" s="33"/>
      <c r="AX59" s="33" t="s">
        <v>546</v>
      </c>
      <c r="AY59" s="33"/>
      <c r="AZ59" s="33"/>
      <c r="BA59" s="33" t="s">
        <v>548</v>
      </c>
      <c r="BB59" s="33" t="s">
        <v>584</v>
      </c>
      <c r="BC59" s="33">
        <v>2</v>
      </c>
      <c r="BD59" s="29">
        <f>AW59+AZ59</f>
        <v>0</v>
      </c>
      <c r="BE59" s="29">
        <f>BD59+BC59</f>
        <v>2</v>
      </c>
      <c r="BF59" s="33" t="s">
        <v>546</v>
      </c>
      <c r="BG59" s="33" t="s">
        <v>548</v>
      </c>
      <c r="BH59" s="33" t="s">
        <v>548</v>
      </c>
      <c r="BI59" s="33" t="s">
        <v>546</v>
      </c>
      <c r="BJ59" s="33" t="s">
        <v>546</v>
      </c>
      <c r="BK59" s="33" t="s">
        <v>546</v>
      </c>
      <c r="BL59" s="33"/>
      <c r="BM59" s="33" t="s">
        <v>547</v>
      </c>
      <c r="BN59" s="33">
        <v>2</v>
      </c>
      <c r="BO59" s="33" t="s">
        <v>549</v>
      </c>
      <c r="BP59" s="33">
        <v>15</v>
      </c>
      <c r="BQ59" s="33" t="s">
        <v>549</v>
      </c>
      <c r="BR59" s="33"/>
      <c r="BS59" s="33" t="s">
        <v>547</v>
      </c>
      <c r="BT59" s="33"/>
      <c r="BU59" s="33" t="s">
        <v>547</v>
      </c>
      <c r="BV59" s="33"/>
      <c r="BW59" s="29">
        <f>(BL59*1)+(BN59*0.1)+(BP59*0.01)+(BR59*0.1)+(BT59*0.3)+(BV59*0.4)</f>
        <v>0.35</v>
      </c>
      <c r="BX59" s="29" t="s">
        <v>2223</v>
      </c>
      <c r="BY59" s="33">
        <v>1</v>
      </c>
      <c r="BZ59" s="33">
        <v>0</v>
      </c>
      <c r="CA59" s="33">
        <v>0</v>
      </c>
      <c r="CB59" s="33">
        <v>1</v>
      </c>
      <c r="CC59" s="33">
        <v>0</v>
      </c>
      <c r="CD59" s="33">
        <v>0</v>
      </c>
      <c r="CE59" s="33">
        <v>0</v>
      </c>
      <c r="CF59" s="33" t="s">
        <v>547</v>
      </c>
      <c r="CG59" s="29">
        <f>(CC59*15)+(CD59*0.8)+(CE59*0.3)+((AW59+AZ59)*15)</f>
        <v>0</v>
      </c>
      <c r="CH59" s="29" t="s">
        <v>2219</v>
      </c>
      <c r="CI59" s="29">
        <f>(BL59*1)+(BN59*0.1)+(BP59*0.01)+(BR59*0.1)+(BT59*0.3)+(BV59*0.4)+(CC59*15)+(CD59*0.8)+(CE59*0.3)+((AW59+AZ59)*15)</f>
        <v>0.35</v>
      </c>
      <c r="CJ59" s="33" t="s">
        <v>546</v>
      </c>
      <c r="CK59" s="33" t="s">
        <v>547</v>
      </c>
      <c r="CL59" s="33" t="s">
        <v>546</v>
      </c>
      <c r="CM59" s="33" t="s">
        <v>547</v>
      </c>
      <c r="CN59" s="33">
        <v>0.25</v>
      </c>
      <c r="CO59" s="33">
        <v>1.75</v>
      </c>
      <c r="CP59" s="33"/>
      <c r="CQ59" s="33" t="s">
        <v>548</v>
      </c>
      <c r="CR59" s="33">
        <v>2</v>
      </c>
      <c r="CS59" s="33">
        <v>13</v>
      </c>
      <c r="CT59" s="33" t="s">
        <v>551</v>
      </c>
      <c r="CU59" s="33">
        <v>1.56</v>
      </c>
      <c r="CV59" s="33"/>
      <c r="CW59" s="33">
        <v>999</v>
      </c>
      <c r="CX59" s="33" t="s">
        <v>551</v>
      </c>
      <c r="CY59" s="63"/>
      <c r="CZ59" s="33">
        <v>2</v>
      </c>
      <c r="DA59" s="33">
        <v>1.5</v>
      </c>
      <c r="DB59" s="33" t="s">
        <v>551</v>
      </c>
      <c r="DC59" s="63">
        <v>0.18</v>
      </c>
      <c r="DD59" s="33" t="s">
        <v>546</v>
      </c>
      <c r="DE59" s="33" t="s">
        <v>546</v>
      </c>
      <c r="DF59" s="33" t="s">
        <v>548</v>
      </c>
      <c r="DG59" s="33" t="s">
        <v>546</v>
      </c>
      <c r="DH59" s="33" t="s">
        <v>546</v>
      </c>
      <c r="DI59" s="33">
        <v>1</v>
      </c>
      <c r="DJ59" s="33">
        <v>2</v>
      </c>
      <c r="DK59" s="33" t="s">
        <v>950</v>
      </c>
      <c r="DL59" s="33" t="s">
        <v>951</v>
      </c>
      <c r="DM59" s="33">
        <v>-4.28460693359375</v>
      </c>
      <c r="DN59" s="33">
        <v>35.8924560546875</v>
      </c>
      <c r="DO59" s="33">
        <v>1222.0999755859375</v>
      </c>
      <c r="DP59" s="33">
        <v>5</v>
      </c>
      <c r="DQ59" s="33">
        <v>1706031849</v>
      </c>
      <c r="DR59" s="33" t="s">
        <v>952</v>
      </c>
      <c r="DS59" s="37">
        <v>42907.59306712963</v>
      </c>
      <c r="DT59" s="37">
        <v>42906.673738425925</v>
      </c>
      <c r="DU59" s="37">
        <v>42906.678935185184</v>
      </c>
      <c r="DV59" s="38">
        <v>42789</v>
      </c>
      <c r="DX59" s="44">
        <v>6.7044444444444444</v>
      </c>
      <c r="DY59" s="44">
        <v>4.511111111111112</v>
      </c>
      <c r="DZ59" s="44">
        <v>4.1539094650205763</v>
      </c>
      <c r="EA59" s="44">
        <v>4.5947325102880656</v>
      </c>
      <c r="EC59" s="29">
        <f>IF(EQ59&lt;EP59,"FALSEE",1)</f>
        <v>1</v>
      </c>
      <c r="EE59" s="29" t="s">
        <v>2171</v>
      </c>
      <c r="EF59" s="29">
        <v>0.87375217676200001</v>
      </c>
      <c r="EG59" s="29" t="str">
        <f>IF(EF59&lt;0.5,"Depression",IF(EF59&lt;2,"Very gentle",IF(EF59&lt;5,"Gentle",IF(EF59&lt;9,"Moderate",IF(EF59&lt;15,"Strong",IF(EF59&lt;30,"Steep",IF(EF59&lt;1,"Very steep")))))))</f>
        <v>Very gentle</v>
      </c>
      <c r="EH59" s="29" t="s">
        <v>2173</v>
      </c>
      <c r="EI59" s="29">
        <v>-9.0633422136300004E-2</v>
      </c>
      <c r="EJ59" s="43">
        <v>10.7202291489</v>
      </c>
      <c r="EK59" s="43">
        <f>VLOOKUP(D59,[1]SoilData!$G$15:$K$237,5,FALSE)</f>
        <v>374.43608098413478</v>
      </c>
      <c r="EL59" s="43">
        <f>VLOOKUP(D59,[1]SoilData!$G$245:$K$451,5,FALSE)</f>
        <v>338.18432165100319</v>
      </c>
      <c r="EM59" s="43">
        <f>VLOOKUP(D59,[1]SoilData!$G$15:$M$238,7,FALSE)</f>
        <v>1.9690000000000001</v>
      </c>
      <c r="EN59" s="43">
        <f>VLOOKUP(D59,[1]SoilData!$G$245:$M$454,7,FALSE)</f>
        <v>1.758</v>
      </c>
      <c r="EO59" s="60">
        <f>EM59-EN59</f>
        <v>0.21100000000000008</v>
      </c>
      <c r="EP59" s="44">
        <f>AVERAGE(DZ59:EA59)</f>
        <v>4.374320987654321</v>
      </c>
      <c r="EQ59" s="44">
        <f>AVERAGE(DX59:DY59)</f>
        <v>5.6077777777777786</v>
      </c>
      <c r="ER59" s="43">
        <f>EQ59-EP59</f>
        <v>1.2334567901234577</v>
      </c>
      <c r="ES59" s="64">
        <f>IF(CU59&gt;0.000001,CU59*352,0)</f>
        <v>549.12</v>
      </c>
      <c r="ET59" s="64">
        <f>IF(DC59&gt;0.0001,DC59*682,0)</f>
        <v>122.75999999999999</v>
      </c>
      <c r="EU59" s="64">
        <f>CY59*795</f>
        <v>0</v>
      </c>
      <c r="EV59" s="64">
        <f>ES59+ET59+EU59</f>
        <v>671.88</v>
      </c>
      <c r="EW59" s="64">
        <f>IF(AA59="YES",3.5*18.2,0)</f>
        <v>0</v>
      </c>
      <c r="EX59" s="64">
        <f>EV59-EW59</f>
        <v>671.88</v>
      </c>
    </row>
    <row r="60" spans="1:154" ht="15" x14ac:dyDescent="0.2">
      <c r="A60" s="29" t="s">
        <v>556</v>
      </c>
      <c r="B60" s="29">
        <v>226</v>
      </c>
      <c r="C60" s="29" t="s">
        <v>756</v>
      </c>
      <c r="D60" s="29" t="s">
        <v>127</v>
      </c>
      <c r="E60" s="29" t="str">
        <f>VLOOKUP(D60,Harvest_2017_Formulae!$C$2:$D$968,2,FALSE)</f>
        <v>ENDAGWE</v>
      </c>
      <c r="F60" s="29" t="s">
        <v>732</v>
      </c>
      <c r="G60" s="29">
        <v>2</v>
      </c>
      <c r="H60" s="61" t="str">
        <f>IF(G60&lt;0.05,"Homefield",IF(G60&lt;0.5,"Midfield","outfield"))</f>
        <v>outfield</v>
      </c>
      <c r="I60" s="29" t="s">
        <v>557</v>
      </c>
      <c r="J60" s="61" t="s">
        <v>2233</v>
      </c>
      <c r="K60" s="61" t="s">
        <v>2233</v>
      </c>
      <c r="L60" s="67">
        <v>0</v>
      </c>
      <c r="O60" s="29" t="s">
        <v>547</v>
      </c>
      <c r="Q60" s="67">
        <v>0</v>
      </c>
      <c r="R60" s="29" t="s">
        <v>547</v>
      </c>
      <c r="U60" s="29" t="s">
        <v>547</v>
      </c>
      <c r="W60" s="29" t="s">
        <v>547</v>
      </c>
      <c r="Z60" s="29" t="s">
        <v>547</v>
      </c>
      <c r="AA60" s="61" t="s">
        <v>546</v>
      </c>
      <c r="AB60" s="29" t="s">
        <v>547</v>
      </c>
      <c r="AC60" s="67">
        <v>0</v>
      </c>
      <c r="AD60" s="29" t="s">
        <v>547</v>
      </c>
      <c r="AF60" s="29" t="s">
        <v>547</v>
      </c>
      <c r="AG60" s="29" t="s">
        <v>547</v>
      </c>
      <c r="AH60" s="29" t="s">
        <v>548</v>
      </c>
      <c r="AI60" s="29" t="s">
        <v>546</v>
      </c>
      <c r="AJ60" s="29" t="s">
        <v>547</v>
      </c>
      <c r="AK60" s="67">
        <v>0</v>
      </c>
      <c r="AL60" s="29" t="s">
        <v>547</v>
      </c>
      <c r="AO60" s="29" t="s">
        <v>547</v>
      </c>
      <c r="AP60" s="29" t="s">
        <v>547</v>
      </c>
      <c r="AQ60" s="4">
        <f>Q60+AK60</f>
        <v>0</v>
      </c>
      <c r="AR60" s="4">
        <f>L60+AC60</f>
        <v>0</v>
      </c>
      <c r="AS60" t="str">
        <f>AQ60&amp;AR60</f>
        <v>00</v>
      </c>
      <c r="AT60" s="49">
        <f>AQ60-AR60</f>
        <v>0</v>
      </c>
      <c r="AU60">
        <v>1</v>
      </c>
      <c r="AV60" s="29" t="s">
        <v>548</v>
      </c>
      <c r="AW60" s="29">
        <v>0.5</v>
      </c>
      <c r="AX60" s="29" t="s">
        <v>548</v>
      </c>
      <c r="AY60" s="29">
        <v>1</v>
      </c>
      <c r="AZ60" s="29">
        <v>2</v>
      </c>
      <c r="BA60" s="29" t="s">
        <v>546</v>
      </c>
      <c r="BB60" s="29" t="s">
        <v>547</v>
      </c>
      <c r="BD60" s="29">
        <f>AW60+AZ60</f>
        <v>2.5</v>
      </c>
      <c r="BE60" s="29">
        <f>BD60+BC60</f>
        <v>2.5</v>
      </c>
      <c r="BF60" s="29" t="s">
        <v>546</v>
      </c>
      <c r="BG60" s="29" t="s">
        <v>548</v>
      </c>
      <c r="BH60" s="29" t="s">
        <v>548</v>
      </c>
      <c r="BI60" s="29" t="s">
        <v>546</v>
      </c>
      <c r="BJ60" s="29" t="s">
        <v>546</v>
      </c>
      <c r="BK60" s="29" t="s">
        <v>546</v>
      </c>
      <c r="BM60" s="29" t="s">
        <v>547</v>
      </c>
      <c r="BN60" s="29">
        <v>3</v>
      </c>
      <c r="BO60" s="29" t="s">
        <v>562</v>
      </c>
      <c r="BP60" s="29">
        <v>5</v>
      </c>
      <c r="BQ60" s="29" t="s">
        <v>580</v>
      </c>
      <c r="BS60" s="29" t="s">
        <v>547</v>
      </c>
      <c r="BU60" s="29" t="s">
        <v>547</v>
      </c>
      <c r="BW60" s="29">
        <f>(BL60*1)+(BN60*0.1)+(BP60*0.01)+(BR60*0.1)+(BT60*0.3)+(BV60*0.4)</f>
        <v>0.35000000000000003</v>
      </c>
      <c r="BX60" s="29" t="s">
        <v>2223</v>
      </c>
      <c r="BY60" s="29">
        <v>1</v>
      </c>
      <c r="BZ60" s="29">
        <v>1</v>
      </c>
      <c r="CA60" s="29">
        <v>3</v>
      </c>
      <c r="CB60" s="29">
        <v>5</v>
      </c>
      <c r="CC60" s="29">
        <v>0</v>
      </c>
      <c r="CD60" s="29">
        <v>0</v>
      </c>
      <c r="CE60" s="29">
        <v>0</v>
      </c>
      <c r="CF60" s="29" t="s">
        <v>547</v>
      </c>
      <c r="CG60" s="29">
        <f>(CC60*15)+(CD60*0.8)+(CE60*0.3)+((AW60+AZ60)*15)</f>
        <v>37.5</v>
      </c>
      <c r="CH60" s="29" t="s">
        <v>2220</v>
      </c>
      <c r="CI60" s="29">
        <f>(BL60*1)+(BN60*0.1)+(BP60*0.01)+(BR60*0.1)+(BT60*0.3)+(BV60*0.4)+(CC60*15)+(CD60*0.8)+(CE60*0.3)+((AW60+AZ60)*15)</f>
        <v>37.85</v>
      </c>
      <c r="CJ60" s="29" t="s">
        <v>546</v>
      </c>
      <c r="CK60" s="29" t="s">
        <v>547</v>
      </c>
      <c r="CL60" s="29" t="s">
        <v>546</v>
      </c>
      <c r="CM60" s="29" t="s">
        <v>547</v>
      </c>
      <c r="CN60" s="29">
        <v>0.25</v>
      </c>
      <c r="CO60" s="29">
        <v>0.25</v>
      </c>
      <c r="CQ60" s="29" t="s">
        <v>546</v>
      </c>
      <c r="CR60" s="29">
        <v>0.5</v>
      </c>
      <c r="CS60" s="29">
        <v>4</v>
      </c>
      <c r="CT60" s="29" t="s">
        <v>551</v>
      </c>
      <c r="CU60" s="30">
        <v>1.92</v>
      </c>
      <c r="CW60" s="29">
        <v>999</v>
      </c>
      <c r="CX60" s="29" t="s">
        <v>551</v>
      </c>
      <c r="CY60" s="62"/>
      <c r="CZ60" s="29">
        <v>0.5</v>
      </c>
      <c r="DA60" s="29">
        <v>4</v>
      </c>
      <c r="DB60" s="29" t="s">
        <v>552</v>
      </c>
      <c r="DC60" s="62">
        <v>0.32063999999999998</v>
      </c>
      <c r="DD60" s="29" t="s">
        <v>546</v>
      </c>
      <c r="DE60" s="29" t="s">
        <v>546</v>
      </c>
      <c r="DF60" s="29" t="s">
        <v>546</v>
      </c>
      <c r="DG60" s="29" t="s">
        <v>546</v>
      </c>
      <c r="DH60" s="29" t="s">
        <v>546</v>
      </c>
      <c r="DI60" s="29">
        <v>0</v>
      </c>
      <c r="DJ60" s="29">
        <v>2</v>
      </c>
      <c r="DK60" s="29" t="s">
        <v>757</v>
      </c>
      <c r="DL60" s="29" t="s">
        <v>758</v>
      </c>
      <c r="DM60" s="29">
        <v>-4.3485698699951172</v>
      </c>
      <c r="DN60" s="29">
        <v>35.658477783203125</v>
      </c>
      <c r="DO60" s="29">
        <v>1633.4000244140625</v>
      </c>
      <c r="DP60" s="29">
        <v>5</v>
      </c>
      <c r="DQ60" s="29">
        <v>1706031849</v>
      </c>
      <c r="DR60" s="29" t="s">
        <v>759</v>
      </c>
      <c r="DS60" s="31">
        <v>42950.967800925922</v>
      </c>
      <c r="DT60" s="31">
        <v>42950.68677083333</v>
      </c>
      <c r="DU60" s="31">
        <v>42950.833680555559</v>
      </c>
      <c r="DV60" s="32">
        <v>42793</v>
      </c>
      <c r="DX60" s="44">
        <v>1.1444444444444446</v>
      </c>
      <c r="DY60" s="44">
        <v>1.4907894736842107</v>
      </c>
      <c r="DZ60" s="44">
        <v>0.98685185185185198</v>
      </c>
      <c r="EA60" s="44"/>
      <c r="EC60" s="29">
        <f>IF(EQ60&lt;EP60,"FALSEE",1)</f>
        <v>1</v>
      </c>
      <c r="EE60" s="29" t="s">
        <v>2180</v>
      </c>
      <c r="EF60" s="29">
        <v>11.3292856216</v>
      </c>
      <c r="EG60" s="29" t="str">
        <f>IF(EF60&lt;0.5,"Depression",IF(EF60&lt;2,"Very gentle",IF(EF60&lt;5,"Gentle",IF(EF60&lt;9,"Moderate",IF(EF60&lt;15,"Strong",IF(EF60&lt;30,"Steep",IF(EF60&lt;1,"Very steep")))))))</f>
        <v>Strong</v>
      </c>
      <c r="EH60" s="29" t="s">
        <v>2178</v>
      </c>
      <c r="EI60" s="29">
        <v>9.0650379657699995E-2</v>
      </c>
      <c r="EJ60" s="43">
        <v>6.8279480934099999</v>
      </c>
      <c r="EK60" s="56">
        <f>VLOOKUP(D60,[1]SoilData!$G$15:$K$237,5,FALSE)</f>
        <v>9.1511340106900931</v>
      </c>
      <c r="EL60" s="43">
        <f>VLOOKUP(D60,[1]SoilData!$G$245:$K$451,5,FALSE)</f>
        <v>95.973188231328663</v>
      </c>
      <c r="EM60" s="43">
        <f>VLOOKUP(D60,[1]SoilData!$G$15:$M$238,7,FALSE)</f>
        <v>0.56399999999999995</v>
      </c>
      <c r="EN60" s="43">
        <f>VLOOKUP(D60,[1]SoilData!$G$245:$M$454,7,FALSE)</f>
        <v>0.77</v>
      </c>
      <c r="EO60" s="60">
        <f>EM60-EN60</f>
        <v>-0.20600000000000007</v>
      </c>
      <c r="EP60" s="44">
        <f>AVERAGE(DZ60:EA60)</f>
        <v>0.98685185185185198</v>
      </c>
      <c r="EQ60" s="44">
        <f>AVERAGE(DX60:DY60)</f>
        <v>1.3176169590643276</v>
      </c>
      <c r="ER60" s="43">
        <f>EQ60-EP60</f>
        <v>0.33076510721247565</v>
      </c>
      <c r="ES60" s="64">
        <f>IF(CU60&gt;0.000001,CU60*352,0)</f>
        <v>675.83999999999992</v>
      </c>
      <c r="ET60" s="64">
        <f>IF(DC60&gt;0.0001,DC60*682,0)</f>
        <v>218.67648</v>
      </c>
      <c r="EU60" s="64">
        <f>CY60*795</f>
        <v>0</v>
      </c>
      <c r="EV60" s="64">
        <f>ES60+ET60+EU60</f>
        <v>894.51647999999989</v>
      </c>
      <c r="EW60" s="64">
        <f>IF(AA60="YES",3.5*18.2,0)</f>
        <v>0</v>
      </c>
      <c r="EX60" s="64">
        <f>EV60-EW60</f>
        <v>894.51647999999989</v>
      </c>
    </row>
    <row r="61" spans="1:154" ht="15" x14ac:dyDescent="0.2">
      <c r="A61" s="29" t="s">
        <v>841</v>
      </c>
      <c r="B61" s="29">
        <v>248</v>
      </c>
      <c r="C61" s="29" t="s">
        <v>853</v>
      </c>
      <c r="D61" s="33" t="s">
        <v>147</v>
      </c>
      <c r="E61" s="29" t="str">
        <f>VLOOKUP(D61,Harvest_2017_Formulae!$C$2:$D$968,2,FALSE)</f>
        <v>ENDANOGA</v>
      </c>
      <c r="F61" s="29" t="s">
        <v>843</v>
      </c>
      <c r="G61" s="29">
        <v>0</v>
      </c>
      <c r="H61" s="61" t="str">
        <f>IF(G61&lt;0.05,"Homefield",IF(G61&lt;0.5,"Midfield","outfield"))</f>
        <v>Homefield</v>
      </c>
      <c r="I61" s="29" t="s">
        <v>557</v>
      </c>
      <c r="J61" s="61" t="s">
        <v>2233</v>
      </c>
      <c r="K61" s="61" t="s">
        <v>2233</v>
      </c>
      <c r="L61" s="67">
        <v>0</v>
      </c>
      <c r="O61" s="29" t="s">
        <v>547</v>
      </c>
      <c r="Q61" s="67">
        <v>0</v>
      </c>
      <c r="R61" s="29" t="s">
        <v>547</v>
      </c>
      <c r="U61" s="29" t="s">
        <v>547</v>
      </c>
      <c r="W61" s="29" t="s">
        <v>547</v>
      </c>
      <c r="Z61" s="29" t="s">
        <v>547</v>
      </c>
      <c r="AA61" s="61" t="s">
        <v>548</v>
      </c>
      <c r="AB61" s="29" t="s">
        <v>568</v>
      </c>
      <c r="AC61" s="67">
        <v>0</v>
      </c>
      <c r="AD61" s="29" t="s">
        <v>547</v>
      </c>
      <c r="AF61" s="29" t="s">
        <v>547</v>
      </c>
      <c r="AG61" s="29" t="s">
        <v>547</v>
      </c>
      <c r="AH61" s="29" t="s">
        <v>548</v>
      </c>
      <c r="AI61" s="29" t="s">
        <v>546</v>
      </c>
      <c r="AJ61" s="29" t="s">
        <v>547</v>
      </c>
      <c r="AK61" s="67">
        <v>0</v>
      </c>
      <c r="AL61" s="29" t="s">
        <v>547</v>
      </c>
      <c r="AO61" s="29" t="s">
        <v>547</v>
      </c>
      <c r="AP61" s="29" t="s">
        <v>547</v>
      </c>
      <c r="AQ61" s="4">
        <f>Q61+AK61</f>
        <v>0</v>
      </c>
      <c r="AR61" s="4">
        <f>L61+AC61</f>
        <v>0</v>
      </c>
      <c r="AS61" t="str">
        <f>AQ61&amp;AR61</f>
        <v>00</v>
      </c>
      <c r="AT61" s="49">
        <f>AQ61-AR61</f>
        <v>0</v>
      </c>
      <c r="AU61">
        <v>1</v>
      </c>
      <c r="AV61" s="29" t="s">
        <v>548</v>
      </c>
      <c r="AW61" s="29">
        <v>0.5</v>
      </c>
      <c r="AX61" s="29" t="s">
        <v>548</v>
      </c>
      <c r="AY61" s="29">
        <v>3</v>
      </c>
      <c r="AZ61" s="29">
        <v>3</v>
      </c>
      <c r="BA61" s="29" t="s">
        <v>546</v>
      </c>
      <c r="BB61" s="29" t="s">
        <v>547</v>
      </c>
      <c r="BD61" s="29">
        <f>AW61+AZ61</f>
        <v>3.5</v>
      </c>
      <c r="BE61" s="29">
        <f>BD61+BC61</f>
        <v>3.5</v>
      </c>
      <c r="BF61" s="29" t="s">
        <v>546</v>
      </c>
      <c r="BG61" s="29" t="s">
        <v>548</v>
      </c>
      <c r="BH61" s="29" t="s">
        <v>548</v>
      </c>
      <c r="BI61" s="29" t="s">
        <v>548</v>
      </c>
      <c r="BJ61" s="29" t="s">
        <v>546</v>
      </c>
      <c r="BK61" s="29" t="s">
        <v>546</v>
      </c>
      <c r="BM61" s="29" t="s">
        <v>547</v>
      </c>
      <c r="BN61" s="29">
        <v>2</v>
      </c>
      <c r="BO61" s="29" t="s">
        <v>562</v>
      </c>
      <c r="BP61" s="29">
        <v>15</v>
      </c>
      <c r="BQ61" s="29" t="s">
        <v>562</v>
      </c>
      <c r="BR61" s="29">
        <v>4</v>
      </c>
      <c r="BS61" s="29" t="s">
        <v>562</v>
      </c>
      <c r="BU61" s="29" t="s">
        <v>547</v>
      </c>
      <c r="BW61" s="29">
        <f>(BL61*1)+(BN61*0.1)+(BP61*0.01)+(BR61*0.1)+(BT61*0.3)+(BV61*0.4)</f>
        <v>0.75</v>
      </c>
      <c r="BX61" s="29" t="s">
        <v>2223</v>
      </c>
      <c r="BY61" s="29">
        <v>1</v>
      </c>
      <c r="BZ61" s="29">
        <v>1</v>
      </c>
      <c r="CA61" s="29">
        <v>0</v>
      </c>
      <c r="CB61" s="29">
        <v>2</v>
      </c>
      <c r="CC61" s="29">
        <v>0</v>
      </c>
      <c r="CD61" s="29">
        <v>0</v>
      </c>
      <c r="CE61" s="29">
        <v>0</v>
      </c>
      <c r="CF61" s="29" t="s">
        <v>547</v>
      </c>
      <c r="CG61" s="29">
        <f>(CC61*15)+(CD61*0.8)+(CE61*0.3)+((AW61+AZ61)*15)</f>
        <v>52.5</v>
      </c>
      <c r="CH61" s="29" t="s">
        <v>2220</v>
      </c>
      <c r="CI61" s="29">
        <f>(BL61*1)+(BN61*0.1)+(BP61*0.01)+(BR61*0.1)+(BT61*0.3)+(BV61*0.4)+(CC61*15)+(CD61*0.8)+(CE61*0.3)+((AW61+AZ61)*15)</f>
        <v>53.25</v>
      </c>
      <c r="CJ61" s="29" t="s">
        <v>548</v>
      </c>
      <c r="CK61" s="29" t="s">
        <v>563</v>
      </c>
      <c r="CL61" s="29" t="s">
        <v>548</v>
      </c>
      <c r="CM61" s="29" t="s">
        <v>550</v>
      </c>
      <c r="CN61" s="29">
        <v>0.25</v>
      </c>
      <c r="CO61" s="29">
        <v>0</v>
      </c>
      <c r="CP61" s="29">
        <v>2</v>
      </c>
      <c r="CQ61" s="29" t="s">
        <v>546</v>
      </c>
      <c r="CR61" s="29">
        <v>2.5</v>
      </c>
      <c r="CS61" s="29">
        <v>13</v>
      </c>
      <c r="CT61" s="29" t="s">
        <v>551</v>
      </c>
      <c r="CU61" s="30">
        <v>1.248</v>
      </c>
      <c r="CX61" s="29" t="s">
        <v>551</v>
      </c>
      <c r="CY61" s="62"/>
      <c r="CZ61" s="29">
        <v>2.5</v>
      </c>
      <c r="DA61" s="29">
        <v>5</v>
      </c>
      <c r="DB61" s="29" t="s">
        <v>551</v>
      </c>
      <c r="DC61" s="62">
        <v>0.48</v>
      </c>
      <c r="DD61" s="29" t="s">
        <v>546</v>
      </c>
      <c r="DE61" s="29" t="s">
        <v>548</v>
      </c>
      <c r="DF61" s="29" t="s">
        <v>546</v>
      </c>
      <c r="DG61" s="29" t="s">
        <v>546</v>
      </c>
      <c r="DH61" s="29" t="s">
        <v>546</v>
      </c>
      <c r="DI61" s="29">
        <v>1</v>
      </c>
      <c r="DJ61" s="29">
        <v>2</v>
      </c>
      <c r="DK61" s="29" t="s">
        <v>854</v>
      </c>
      <c r="DL61" s="29" t="s">
        <v>855</v>
      </c>
      <c r="DM61" s="29">
        <v>-4.2677412033081055</v>
      </c>
      <c r="DN61" s="29">
        <v>35.853012084960938</v>
      </c>
      <c r="DO61" s="29">
        <v>1341.199951171875</v>
      </c>
      <c r="DP61" s="29">
        <v>5</v>
      </c>
      <c r="DQ61" s="29">
        <v>1706031849</v>
      </c>
      <c r="DR61" s="29" t="s">
        <v>856</v>
      </c>
      <c r="DS61" s="31">
        <v>42978.591342592597</v>
      </c>
      <c r="DT61" s="31">
        <v>42895.637037037042</v>
      </c>
      <c r="DU61" s="31">
        <v>42978.58929398148</v>
      </c>
      <c r="DV61" s="32">
        <v>42774</v>
      </c>
      <c r="DX61" s="44">
        <v>7.9535135135135127</v>
      </c>
      <c r="DY61" s="44">
        <v>5.6529729729729725</v>
      </c>
      <c r="DZ61" s="44">
        <v>1.9796335697399532</v>
      </c>
      <c r="EA61" s="44">
        <v>2.2926713947990547</v>
      </c>
      <c r="EB61" s="34"/>
      <c r="EC61" s="29">
        <f>IF(EQ61&lt;EP61,"FALSEE",1)</f>
        <v>1</v>
      </c>
      <c r="ED61" s="34"/>
      <c r="EE61" s="29" t="s">
        <v>2171</v>
      </c>
      <c r="EF61" s="29">
        <v>2.1943719387099998</v>
      </c>
      <c r="EG61" s="29" t="str">
        <f>IF(EF61&lt;0.5,"Depression",IF(EF61&lt;2,"Very gentle",IF(EF61&lt;5,"Gentle",IF(EF61&lt;9,"Moderate",IF(EF61&lt;15,"Strong",IF(EF61&lt;30,"Steep",IF(EF61&lt;1,"Very steep")))))))</f>
        <v>Gentle</v>
      </c>
      <c r="EH61" s="29" t="s">
        <v>2173</v>
      </c>
      <c r="EI61" s="29">
        <v>-0.27191722393000001</v>
      </c>
      <c r="EJ61" s="43">
        <v>11.7191648483</v>
      </c>
      <c r="EK61" s="43">
        <f>VLOOKUP(D61,[1]SoilData!$G$15:$K$237,5,FALSE)</f>
        <v>48.565397505813927</v>
      </c>
      <c r="EL61" s="43">
        <f>VLOOKUP(D61,[1]SoilData!$G$245:$K$451,5,FALSE)</f>
        <v>47.189639278059829</v>
      </c>
      <c r="EM61" s="43">
        <f>VLOOKUP(D61,[1]SoilData!$G$15:$M$238,7,FALSE)</f>
        <v>0.83099999999999996</v>
      </c>
      <c r="EN61" s="43">
        <f>VLOOKUP(D61,[1]SoilData!$G$245:$M$454,7,FALSE)</f>
        <v>0.82199999999999995</v>
      </c>
      <c r="EO61" s="60">
        <f>EM61-EN61</f>
        <v>9.000000000000008E-3</v>
      </c>
      <c r="EP61" s="44">
        <f>AVERAGE(DZ61:EA61)</f>
        <v>2.1361524822695039</v>
      </c>
      <c r="EQ61" s="44">
        <f>AVERAGE(DX61:DY61)</f>
        <v>6.8032432432432426</v>
      </c>
      <c r="ER61" s="43">
        <f>EQ61-EP61</f>
        <v>4.6670907609737391</v>
      </c>
      <c r="ES61" s="64">
        <f>IF(CU61&gt;0.000001,CU61*352,0)</f>
        <v>439.29599999999999</v>
      </c>
      <c r="ET61" s="64">
        <f>IF(DC61&gt;0.0001,DC61*682,0)</f>
        <v>327.36</v>
      </c>
      <c r="EU61" s="64">
        <f>CY61*795</f>
        <v>0</v>
      </c>
      <c r="EV61" s="64">
        <f>ES61+ET61+EU61</f>
        <v>766.65599999999995</v>
      </c>
      <c r="EW61" s="64">
        <f>IF(AA61="YES",3.5*18.2,0)</f>
        <v>63.699999999999996</v>
      </c>
      <c r="EX61" s="64">
        <f>EV61-EW61</f>
        <v>702.9559999999999</v>
      </c>
    </row>
    <row r="62" spans="1:154" ht="15" x14ac:dyDescent="0.2">
      <c r="A62" s="29" t="s">
        <v>556</v>
      </c>
      <c r="B62" s="29">
        <v>7</v>
      </c>
      <c r="C62" s="29" t="s">
        <v>432</v>
      </c>
      <c r="D62" s="29" t="s">
        <v>432</v>
      </c>
      <c r="E62" s="29" t="str">
        <f>VLOOKUP(D62,Harvest_2017_Formulae!$C$2:$D$968,2,FALSE)</f>
        <v>ORNGADIDA</v>
      </c>
      <c r="F62" s="29" t="s">
        <v>777</v>
      </c>
      <c r="G62" s="29">
        <v>2</v>
      </c>
      <c r="H62" s="61" t="str">
        <f>IF(G62&lt;0.05,"Homefield",IF(G62&lt;0.5,"Midfield","outfield"))</f>
        <v>outfield</v>
      </c>
      <c r="I62" s="29" t="s">
        <v>545</v>
      </c>
      <c r="J62" s="61" t="s">
        <v>545</v>
      </c>
      <c r="K62" s="61" t="s">
        <v>2234</v>
      </c>
      <c r="L62" s="67">
        <v>0</v>
      </c>
      <c r="O62" s="29" t="s">
        <v>547</v>
      </c>
      <c r="Q62" s="67">
        <v>0</v>
      </c>
      <c r="R62" s="29" t="s">
        <v>547</v>
      </c>
      <c r="T62" s="29" t="s">
        <v>559</v>
      </c>
      <c r="U62" s="29" t="s">
        <v>560</v>
      </c>
      <c r="W62" s="29" t="s">
        <v>819</v>
      </c>
      <c r="X62" s="29">
        <v>999</v>
      </c>
      <c r="Z62" s="29" t="s">
        <v>547</v>
      </c>
      <c r="AA62" s="61" t="s">
        <v>546</v>
      </c>
      <c r="AB62" s="29" t="s">
        <v>547</v>
      </c>
      <c r="AC62" s="67">
        <v>0</v>
      </c>
      <c r="AD62" s="29" t="s">
        <v>547</v>
      </c>
      <c r="AF62" s="29" t="s">
        <v>547</v>
      </c>
      <c r="AG62" s="29" t="s">
        <v>547</v>
      </c>
      <c r="AH62" s="29" t="s">
        <v>546</v>
      </c>
      <c r="AI62" s="29" t="s">
        <v>546</v>
      </c>
      <c r="AJ62" s="29" t="s">
        <v>547</v>
      </c>
      <c r="AK62" s="67">
        <v>0</v>
      </c>
      <c r="AL62" s="29" t="s">
        <v>547</v>
      </c>
      <c r="AO62" s="29" t="s">
        <v>547</v>
      </c>
      <c r="AP62" s="29" t="s">
        <v>547</v>
      </c>
      <c r="AQ62" s="4">
        <f>Q62+AK62</f>
        <v>0</v>
      </c>
      <c r="AR62" s="4">
        <f>L62+AC62</f>
        <v>0</v>
      </c>
      <c r="AS62" t="str">
        <f>AQ62&amp;AR62</f>
        <v>00</v>
      </c>
      <c r="AT62" s="49">
        <f>AQ62-AR62</f>
        <v>0</v>
      </c>
      <c r="AU62">
        <v>1</v>
      </c>
      <c r="AV62" s="29" t="s">
        <v>546</v>
      </c>
      <c r="AX62" s="29" t="s">
        <v>546</v>
      </c>
      <c r="BA62" s="29" t="s">
        <v>548</v>
      </c>
      <c r="BB62" s="29" t="s">
        <v>584</v>
      </c>
      <c r="BC62" s="29">
        <v>1</v>
      </c>
      <c r="BD62" s="29">
        <f>AW62+AZ62</f>
        <v>0</v>
      </c>
      <c r="BE62" s="29">
        <f>BD62+BC62</f>
        <v>1</v>
      </c>
      <c r="BF62" s="29" t="s">
        <v>546</v>
      </c>
      <c r="BG62" s="29" t="s">
        <v>548</v>
      </c>
      <c r="BH62" s="29" t="s">
        <v>548</v>
      </c>
      <c r="BI62" s="29" t="s">
        <v>546</v>
      </c>
      <c r="BJ62" s="29" t="s">
        <v>546</v>
      </c>
      <c r="BK62" s="29" t="s">
        <v>546</v>
      </c>
      <c r="BM62" s="29" t="s">
        <v>547</v>
      </c>
      <c r="BN62" s="29">
        <v>8</v>
      </c>
      <c r="BO62" s="29" t="s">
        <v>580</v>
      </c>
      <c r="BP62" s="29">
        <v>13</v>
      </c>
      <c r="BQ62" s="29" t="s">
        <v>580</v>
      </c>
      <c r="BS62" s="29" t="s">
        <v>547</v>
      </c>
      <c r="BU62" s="29" t="s">
        <v>547</v>
      </c>
      <c r="BW62" s="29">
        <f>(BL62*1)+(BN62*0.1)+(BP62*0.01)+(BR62*0.1)+(BT62*0.3)+(BV62*0.4)</f>
        <v>0.93</v>
      </c>
      <c r="BX62" s="29" t="s">
        <v>2223</v>
      </c>
      <c r="BY62" s="29">
        <v>2</v>
      </c>
      <c r="BZ62" s="29">
        <v>2</v>
      </c>
      <c r="CA62" s="29">
        <v>0</v>
      </c>
      <c r="CB62" s="29">
        <v>4</v>
      </c>
      <c r="CC62" s="29">
        <v>1</v>
      </c>
      <c r="CD62" s="29">
        <v>0</v>
      </c>
      <c r="CE62" s="29">
        <v>0</v>
      </c>
      <c r="CF62" s="29" t="s">
        <v>547</v>
      </c>
      <c r="CG62" s="29">
        <f>(CC62*15)+(CD62*0.8)+(CE62*0.3)+((AW62+AZ62)*15)</f>
        <v>15</v>
      </c>
      <c r="CH62" s="29" t="s">
        <v>2219</v>
      </c>
      <c r="CI62" s="29">
        <f>(BL62*1)+(BN62*0.1)+(BP62*0.01)+(BR62*0.1)+(BT62*0.3)+(BV62*0.4)+(CC62*15)+(CD62*0.8)+(CE62*0.3)+((AW62+AZ62)*15)</f>
        <v>15.93</v>
      </c>
      <c r="CJ62" s="29" t="s">
        <v>546</v>
      </c>
      <c r="CK62" s="29" t="s">
        <v>547</v>
      </c>
      <c r="CL62" s="29" t="s">
        <v>548</v>
      </c>
      <c r="CM62" s="29" t="s">
        <v>550</v>
      </c>
      <c r="CN62" s="29">
        <v>1</v>
      </c>
      <c r="CO62" s="29">
        <v>0</v>
      </c>
      <c r="CP62" s="29">
        <v>0</v>
      </c>
      <c r="CQ62" s="29" t="s">
        <v>548</v>
      </c>
      <c r="CR62" s="29">
        <v>1</v>
      </c>
      <c r="CS62" s="29">
        <v>15</v>
      </c>
      <c r="CT62" s="29" t="s">
        <v>551</v>
      </c>
      <c r="CU62" s="30">
        <v>3.5999999999999996</v>
      </c>
      <c r="CW62" s="29">
        <v>999</v>
      </c>
      <c r="CX62" s="29" t="s">
        <v>551</v>
      </c>
      <c r="CY62" s="62"/>
      <c r="CZ62" s="29">
        <v>1</v>
      </c>
      <c r="DA62" s="29">
        <v>5</v>
      </c>
      <c r="DB62" s="29" t="s">
        <v>551</v>
      </c>
      <c r="DC62" s="62">
        <v>1.2</v>
      </c>
      <c r="DD62" s="29" t="s">
        <v>546</v>
      </c>
      <c r="DE62" s="29" t="s">
        <v>546</v>
      </c>
      <c r="DF62" s="29" t="s">
        <v>546</v>
      </c>
      <c r="DG62" s="29" t="s">
        <v>546</v>
      </c>
      <c r="DH62" s="29" t="s">
        <v>546</v>
      </c>
      <c r="DI62" s="29">
        <v>0</v>
      </c>
      <c r="DJ62" s="29">
        <v>2</v>
      </c>
      <c r="DK62" s="29" t="s">
        <v>1151</v>
      </c>
      <c r="DL62" s="29" t="s">
        <v>1152</v>
      </c>
      <c r="DM62" s="29">
        <v>-4.310492992401123</v>
      </c>
      <c r="DN62" s="29">
        <v>35.873733520507812</v>
      </c>
      <c r="DO62" s="29">
        <v>1235.5</v>
      </c>
      <c r="DP62" s="29">
        <v>5</v>
      </c>
      <c r="DQ62" s="29">
        <v>1705231439</v>
      </c>
      <c r="DR62" s="29" t="s">
        <v>1153</v>
      </c>
      <c r="DS62" s="31">
        <v>42893.595509259263</v>
      </c>
      <c r="DT62" s="31">
        <v>42892.550277777773</v>
      </c>
      <c r="DU62" s="31">
        <v>42892.614664351851</v>
      </c>
      <c r="DV62" s="32">
        <v>42792</v>
      </c>
      <c r="DX62" s="44">
        <v>4.3676480129764803</v>
      </c>
      <c r="DY62" s="44">
        <v>5.5825709651257096</v>
      </c>
      <c r="DZ62" s="44">
        <v>1.9998039215686274</v>
      </c>
      <c r="EA62" s="44">
        <v>4.2488235294117649</v>
      </c>
      <c r="EC62" s="29">
        <f>IF(EQ62&lt;EP62,"FALSEE",1)</f>
        <v>1</v>
      </c>
      <c r="EE62" s="29" t="s">
        <v>2171</v>
      </c>
      <c r="EF62" s="29">
        <v>1.1402179002799999</v>
      </c>
      <c r="EG62" s="29" t="str">
        <f>IF(EF62&lt;0.5,"Depression",IF(EF62&lt;2,"Very gentle",IF(EF62&lt;5,"Gentle",IF(EF62&lt;9,"Moderate",IF(EF62&lt;15,"Strong",IF(EF62&lt;30,"Steep",IF(EF62&lt;1,"Very steep")))))))</f>
        <v>Very gentle</v>
      </c>
      <c r="EH62" s="29" t="s">
        <v>2173</v>
      </c>
      <c r="EI62" s="29">
        <v>-0.27191722393000001</v>
      </c>
      <c r="EJ62" s="43">
        <v>11.7633571625</v>
      </c>
      <c r="EK62" s="43">
        <f>VLOOKUP(D62,[1]SoilData!$G$15:$K$237,5,FALSE)</f>
        <v>281.01808577952613</v>
      </c>
      <c r="EL62" s="43">
        <f>VLOOKUP(D62,[1]SoilData!$G$245:$K$451,5,FALSE)</f>
        <v>187.6000905749178</v>
      </c>
      <c r="EM62" s="43">
        <f>VLOOKUP(D62,[1]SoilData!$G$15:$M$238,7,FALSE)</f>
        <v>1.68</v>
      </c>
      <c r="EN62" s="43">
        <f>VLOOKUP(D62,[1]SoilData!$G$245:$M$454,7,FALSE)</f>
        <v>0.77400000000000002</v>
      </c>
      <c r="EO62" s="60">
        <f>EM62-EN62</f>
        <v>0.90599999999999992</v>
      </c>
      <c r="EP62" s="44">
        <f>AVERAGE(DZ62:EA62)</f>
        <v>3.1243137254901963</v>
      </c>
      <c r="EQ62" s="44">
        <f>AVERAGE(DX62:DY62)</f>
        <v>4.9751094890510945</v>
      </c>
      <c r="ER62" s="43">
        <f>EQ62-EP62</f>
        <v>1.8507957635608983</v>
      </c>
      <c r="ES62" s="64">
        <f>IF(CU62&gt;0.000001,CU62*352,0)</f>
        <v>1267.1999999999998</v>
      </c>
      <c r="ET62" s="64">
        <f>IF(DC62&gt;0.0001,DC62*682,0)</f>
        <v>818.4</v>
      </c>
      <c r="EU62" s="64">
        <f>CY62*795</f>
        <v>0</v>
      </c>
      <c r="EV62" s="64">
        <f>ES62+ET62+EU62</f>
        <v>2085.6</v>
      </c>
      <c r="EW62" s="64">
        <f>IF(AA62="YES",3.5*18.2,0)</f>
        <v>0</v>
      </c>
      <c r="EX62" s="64">
        <f>EV62-EW62</f>
        <v>2085.6</v>
      </c>
    </row>
    <row r="63" spans="1:154" ht="15" x14ac:dyDescent="0.2">
      <c r="A63" s="29" t="s">
        <v>556</v>
      </c>
      <c r="B63" s="29">
        <v>180</v>
      </c>
      <c r="C63" s="29" t="s">
        <v>698</v>
      </c>
      <c r="D63" s="29" t="s">
        <v>108</v>
      </c>
      <c r="E63" s="29" t="str">
        <f>VLOOKUP(D63,Harvest_2017_Formulae!$C$2:$D$968,2,FALSE)</f>
        <v>DURU</v>
      </c>
      <c r="F63" s="29" t="s">
        <v>645</v>
      </c>
      <c r="G63" s="29">
        <v>3</v>
      </c>
      <c r="H63" s="61" t="str">
        <f>IF(G63&lt;0.05,"Homefield",IF(G63&lt;0.5,"Midfield","outfield"))</f>
        <v>outfield</v>
      </c>
      <c r="I63" s="29" t="s">
        <v>557</v>
      </c>
      <c r="J63" s="61" t="s">
        <v>2233</v>
      </c>
      <c r="K63" s="61" t="s">
        <v>2233</v>
      </c>
      <c r="L63" s="67">
        <v>0</v>
      </c>
      <c r="O63" s="29" t="s">
        <v>547</v>
      </c>
      <c r="Q63" s="67">
        <v>0</v>
      </c>
      <c r="R63" s="29" t="s">
        <v>547</v>
      </c>
      <c r="U63" s="29" t="s">
        <v>547</v>
      </c>
      <c r="W63" s="29" t="s">
        <v>547</v>
      </c>
      <c r="Z63" s="29" t="s">
        <v>547</v>
      </c>
      <c r="AA63" s="61" t="s">
        <v>546</v>
      </c>
      <c r="AB63" s="29" t="s">
        <v>547</v>
      </c>
      <c r="AC63" s="67">
        <v>0</v>
      </c>
      <c r="AD63" s="29" t="s">
        <v>547</v>
      </c>
      <c r="AF63" s="29" t="s">
        <v>547</v>
      </c>
      <c r="AG63" s="29" t="s">
        <v>547</v>
      </c>
      <c r="AH63" s="29" t="s">
        <v>546</v>
      </c>
      <c r="AI63" s="29" t="s">
        <v>546</v>
      </c>
      <c r="AJ63" s="29" t="s">
        <v>547</v>
      </c>
      <c r="AK63" s="67">
        <v>0</v>
      </c>
      <c r="AL63" s="29" t="s">
        <v>547</v>
      </c>
      <c r="AO63" s="29" t="s">
        <v>547</v>
      </c>
      <c r="AP63" s="29" t="s">
        <v>547</v>
      </c>
      <c r="AQ63" s="4">
        <f>Q63+AK63</f>
        <v>0</v>
      </c>
      <c r="AR63" s="4">
        <f>L63+AC63</f>
        <v>0</v>
      </c>
      <c r="AS63" t="str">
        <f>AQ63&amp;AR63</f>
        <v>00</v>
      </c>
      <c r="AT63" s="49">
        <f>AQ63-AR63</f>
        <v>0</v>
      </c>
      <c r="AU63">
        <v>1</v>
      </c>
      <c r="AV63" s="29" t="s">
        <v>546</v>
      </c>
      <c r="AX63" s="29" t="s">
        <v>548</v>
      </c>
      <c r="AY63" s="29">
        <v>1</v>
      </c>
      <c r="AZ63" s="29">
        <v>0.5</v>
      </c>
      <c r="BA63" s="29" t="s">
        <v>548</v>
      </c>
      <c r="BB63" s="29" t="s">
        <v>569</v>
      </c>
      <c r="BC63" s="29">
        <v>0.5</v>
      </c>
      <c r="BD63" s="29">
        <f>AW63+AZ63</f>
        <v>0.5</v>
      </c>
      <c r="BE63" s="29">
        <f>BD63+BC63</f>
        <v>1</v>
      </c>
      <c r="BF63" s="29" t="s">
        <v>548</v>
      </c>
      <c r="BG63" s="29" t="s">
        <v>546</v>
      </c>
      <c r="BH63" s="29" t="s">
        <v>546</v>
      </c>
      <c r="BI63" s="29" t="s">
        <v>546</v>
      </c>
      <c r="BJ63" s="29" t="s">
        <v>546</v>
      </c>
      <c r="BK63" s="29" t="s">
        <v>546</v>
      </c>
      <c r="BL63" s="29">
        <v>1</v>
      </c>
      <c r="BM63" s="29" t="s">
        <v>562</v>
      </c>
      <c r="BO63" s="29" t="s">
        <v>547</v>
      </c>
      <c r="BQ63" s="29" t="s">
        <v>547</v>
      </c>
      <c r="BS63" s="29" t="s">
        <v>547</v>
      </c>
      <c r="BU63" s="29" t="s">
        <v>547</v>
      </c>
      <c r="BW63" s="29">
        <f>(BL63*1)+(BN63*0.1)+(BP63*0.01)+(BR63*0.1)+(BT63*0.3)+(BV63*0.4)</f>
        <v>1</v>
      </c>
      <c r="BX63" s="29" t="s">
        <v>2223</v>
      </c>
      <c r="BY63" s="29">
        <v>1</v>
      </c>
      <c r="BZ63" s="29">
        <v>0</v>
      </c>
      <c r="CA63" s="29">
        <v>0</v>
      </c>
      <c r="CB63" s="29">
        <v>1</v>
      </c>
      <c r="CC63" s="29">
        <v>0</v>
      </c>
      <c r="CD63" s="29">
        <v>0</v>
      </c>
      <c r="CE63" s="29">
        <v>0</v>
      </c>
      <c r="CF63" s="29" t="s">
        <v>547</v>
      </c>
      <c r="CG63" s="29">
        <f>(CC63*15)+(CD63*0.8)+(CE63*0.3)+((AW63+AZ63)*15)</f>
        <v>7.5</v>
      </c>
      <c r="CH63" s="29" t="s">
        <v>2219</v>
      </c>
      <c r="CI63" s="29">
        <f>(BL63*1)+(BN63*0.1)+(BP63*0.01)+(BR63*0.1)+(BT63*0.3)+(BV63*0.4)+(CC63*15)+(CD63*0.8)+(CE63*0.3)+((AW63+AZ63)*15)</f>
        <v>8.5</v>
      </c>
      <c r="CJ63" s="29" t="s">
        <v>546</v>
      </c>
      <c r="CK63" s="29" t="s">
        <v>547</v>
      </c>
      <c r="CL63" s="29" t="s">
        <v>548</v>
      </c>
      <c r="CM63" s="29" t="s">
        <v>550</v>
      </c>
      <c r="CN63" s="29">
        <v>0.25</v>
      </c>
      <c r="CO63" s="29">
        <v>0.25</v>
      </c>
      <c r="CQ63" s="29" t="s">
        <v>548</v>
      </c>
      <c r="CR63" s="29">
        <v>0.5</v>
      </c>
      <c r="CS63" s="29">
        <v>4</v>
      </c>
      <c r="CT63" s="29" t="s">
        <v>551</v>
      </c>
      <c r="CU63" s="30">
        <v>1.92</v>
      </c>
      <c r="CW63" s="29">
        <v>999</v>
      </c>
      <c r="CX63" s="29" t="s">
        <v>551</v>
      </c>
      <c r="CY63" s="62"/>
      <c r="CZ63" s="29">
        <v>0.5</v>
      </c>
      <c r="DA63" s="29">
        <v>1</v>
      </c>
      <c r="DB63" s="29" t="s">
        <v>551</v>
      </c>
      <c r="DC63" s="62">
        <v>0.48</v>
      </c>
      <c r="DD63" s="29" t="s">
        <v>546</v>
      </c>
      <c r="DE63" s="29" t="s">
        <v>546</v>
      </c>
      <c r="DF63" s="29" t="s">
        <v>546</v>
      </c>
      <c r="DG63" s="29" t="s">
        <v>546</v>
      </c>
      <c r="DH63" s="29" t="s">
        <v>546</v>
      </c>
      <c r="DI63" s="29">
        <v>0</v>
      </c>
      <c r="DJ63" s="29">
        <v>2</v>
      </c>
      <c r="DK63" s="29" t="s">
        <v>699</v>
      </c>
      <c r="DL63" s="29" t="s">
        <v>700</v>
      </c>
      <c r="DM63" s="29">
        <v>-4.3102412223815918</v>
      </c>
      <c r="DN63" s="29">
        <v>35.59613037109375</v>
      </c>
      <c r="DO63" s="29">
        <v>1639.5</v>
      </c>
      <c r="DP63" s="29">
        <v>5</v>
      </c>
      <c r="DQ63" s="29">
        <v>1706031849</v>
      </c>
      <c r="DR63" s="29" t="s">
        <v>701</v>
      </c>
      <c r="DS63" s="31">
        <v>42926.575891203705</v>
      </c>
      <c r="DT63" s="31">
        <v>42921.486759259264</v>
      </c>
      <c r="DU63" s="31">
        <v>42921.513796296298</v>
      </c>
      <c r="DV63" s="32">
        <v>42749</v>
      </c>
      <c r="DX63" s="44">
        <v>4.7512857142857152</v>
      </c>
      <c r="DY63" s="44">
        <v>3.4872857142857145</v>
      </c>
      <c r="DZ63" s="44">
        <v>5.3166666666666673</v>
      </c>
      <c r="EA63" s="44">
        <v>4.4611111111111121</v>
      </c>
      <c r="EC63" s="29" t="str">
        <f>IF(EQ63&lt;EP63,"FALSEE",1)</f>
        <v>FALSEE</v>
      </c>
      <c r="EE63" s="29" t="s">
        <v>2180</v>
      </c>
      <c r="EF63" s="29">
        <v>4.7960176467900002</v>
      </c>
      <c r="EG63" s="29" t="str">
        <f>IF(EF63&lt;0.5,"Depression",IF(EF63&lt;2,"Very gentle",IF(EF63&lt;5,"Gentle",IF(EF63&lt;9,"Moderate",IF(EF63&lt;15,"Strong",IF(EF63&lt;30,"Steep",IF(EF63&lt;1,"Very steep")))))))</f>
        <v>Gentle</v>
      </c>
      <c r="EH63" s="29" t="s">
        <v>2173</v>
      </c>
      <c r="EI63" s="29">
        <v>0.18129228055499999</v>
      </c>
      <c r="EJ63" s="43">
        <v>7.3213319778399999</v>
      </c>
      <c r="EK63" s="43"/>
      <c r="EL63" s="43">
        <f>VLOOKUP(D63,[1]SoilData!$G$245:$K$451,5,FALSE)</f>
        <v>584.51805607223787</v>
      </c>
      <c r="EM63" s="43"/>
      <c r="EN63" s="43">
        <f>VLOOKUP(D63,[1]SoilData!$G$245:$M$454,7,FALSE)</f>
        <v>1.597</v>
      </c>
      <c r="EO63" s="60"/>
      <c r="EP63" s="44">
        <f>AVERAGE(DZ63:EA63)</f>
        <v>4.8888888888888893</v>
      </c>
      <c r="EQ63" s="44">
        <f>AVERAGE(DX63:DY63)</f>
        <v>4.1192857142857147</v>
      </c>
      <c r="ER63" s="43">
        <f>EQ63-EP63</f>
        <v>-0.76960317460317462</v>
      </c>
      <c r="ES63" s="64">
        <f>IF(CU63&gt;0.000001,CU63*352,0)</f>
        <v>675.83999999999992</v>
      </c>
      <c r="ET63" s="64">
        <f>IF(DC63&gt;0.0001,DC63*682,0)</f>
        <v>327.36</v>
      </c>
      <c r="EU63" s="64">
        <f>CY63*795</f>
        <v>0</v>
      </c>
      <c r="EV63" s="64">
        <f>ES63+ET63+EU63</f>
        <v>1003.1999999999999</v>
      </c>
      <c r="EW63" s="64">
        <f>IF(AA63="YES",3.5*18.2,0)</f>
        <v>0</v>
      </c>
      <c r="EX63" s="64">
        <f>EV63-EW63</f>
        <v>1003.1999999999999</v>
      </c>
    </row>
    <row r="64" spans="1:154" ht="15" x14ac:dyDescent="0.2">
      <c r="A64" s="29" t="s">
        <v>556</v>
      </c>
      <c r="B64" s="29">
        <v>157</v>
      </c>
      <c r="C64" s="29" t="s">
        <v>964</v>
      </c>
      <c r="D64" s="29" t="s">
        <v>358</v>
      </c>
      <c r="E64" s="29" t="str">
        <f>VLOOKUP(D64,Harvest_2017_Formulae!$C$2:$D$968,2,FALSE)</f>
        <v>HALLU</v>
      </c>
      <c r="F64" s="29" t="s">
        <v>938</v>
      </c>
      <c r="G64" s="29">
        <v>0</v>
      </c>
      <c r="H64" s="61" t="str">
        <f>IF(G64&lt;0.05,"Homefield",IF(G64&lt;0.5,"Midfield","outfield"))</f>
        <v>Homefield</v>
      </c>
      <c r="I64" s="29" t="s">
        <v>545</v>
      </c>
      <c r="J64" s="61" t="s">
        <v>545</v>
      </c>
      <c r="K64" s="61" t="s">
        <v>2234</v>
      </c>
      <c r="L64" s="67">
        <v>0</v>
      </c>
      <c r="O64" s="29" t="s">
        <v>547</v>
      </c>
      <c r="Q64" s="67">
        <v>0</v>
      </c>
      <c r="R64" s="29" t="s">
        <v>547</v>
      </c>
      <c r="U64" s="29" t="s">
        <v>547</v>
      </c>
      <c r="W64" s="29" t="s">
        <v>547</v>
      </c>
      <c r="Z64" s="29" t="s">
        <v>547</v>
      </c>
      <c r="AA64" s="61" t="s">
        <v>546</v>
      </c>
      <c r="AB64" s="29" t="s">
        <v>547</v>
      </c>
      <c r="AC64" s="67">
        <v>0</v>
      </c>
      <c r="AD64" s="29" t="s">
        <v>547</v>
      </c>
      <c r="AF64" s="29" t="s">
        <v>547</v>
      </c>
      <c r="AG64" s="29" t="s">
        <v>547</v>
      </c>
      <c r="AH64" s="29" t="s">
        <v>546</v>
      </c>
      <c r="AI64" s="29" t="s">
        <v>546</v>
      </c>
      <c r="AJ64" s="29" t="s">
        <v>547</v>
      </c>
      <c r="AK64" s="67">
        <v>0</v>
      </c>
      <c r="AL64" s="29" t="s">
        <v>547</v>
      </c>
      <c r="AO64" s="29" t="s">
        <v>547</v>
      </c>
      <c r="AP64" s="29" t="s">
        <v>547</v>
      </c>
      <c r="AQ64" s="4">
        <f>Q64+AK64</f>
        <v>0</v>
      </c>
      <c r="AR64" s="4">
        <f>L64+AC64</f>
        <v>0</v>
      </c>
      <c r="AS64" t="str">
        <f>AQ64&amp;AR64</f>
        <v>00</v>
      </c>
      <c r="AT64" s="49">
        <f>AQ64-AR64</f>
        <v>0</v>
      </c>
      <c r="AU64">
        <v>1</v>
      </c>
      <c r="AV64" s="29" t="s">
        <v>548</v>
      </c>
      <c r="AW64" s="29">
        <v>1</v>
      </c>
      <c r="AX64" s="29" t="s">
        <v>548</v>
      </c>
      <c r="AY64" s="29">
        <v>1</v>
      </c>
      <c r="AZ64" s="29">
        <v>2</v>
      </c>
      <c r="BA64" s="29" t="s">
        <v>546</v>
      </c>
      <c r="BB64" s="29" t="s">
        <v>547</v>
      </c>
      <c r="BD64" s="29">
        <f>AW64+AZ64</f>
        <v>3</v>
      </c>
      <c r="BE64" s="29">
        <f>BD64+BC64</f>
        <v>3</v>
      </c>
      <c r="BF64" s="29" t="s">
        <v>548</v>
      </c>
      <c r="BG64" s="29" t="s">
        <v>546</v>
      </c>
      <c r="BH64" s="29" t="s">
        <v>546</v>
      </c>
      <c r="BI64" s="29" t="s">
        <v>546</v>
      </c>
      <c r="BJ64" s="29" t="s">
        <v>546</v>
      </c>
      <c r="BK64" s="29" t="s">
        <v>546</v>
      </c>
      <c r="BL64" s="29">
        <v>1</v>
      </c>
      <c r="BM64" s="29" t="s">
        <v>562</v>
      </c>
      <c r="BO64" s="29" t="s">
        <v>547</v>
      </c>
      <c r="BQ64" s="29" t="s">
        <v>547</v>
      </c>
      <c r="BS64" s="29" t="s">
        <v>547</v>
      </c>
      <c r="BU64" s="29" t="s">
        <v>547</v>
      </c>
      <c r="BW64" s="29">
        <f>(BL64*1)+(BN64*0.1)+(BP64*0.01)+(BR64*0.1)+(BT64*0.3)+(BV64*0.4)</f>
        <v>1</v>
      </c>
      <c r="BX64" s="29" t="s">
        <v>2223</v>
      </c>
      <c r="BY64" s="29">
        <v>2</v>
      </c>
      <c r="BZ64" s="29">
        <v>1</v>
      </c>
      <c r="CA64" s="29">
        <v>2</v>
      </c>
      <c r="CB64" s="29">
        <v>5</v>
      </c>
      <c r="CC64" s="29">
        <v>0</v>
      </c>
      <c r="CD64" s="29">
        <v>0</v>
      </c>
      <c r="CE64" s="29">
        <v>0</v>
      </c>
      <c r="CF64" s="29" t="s">
        <v>547</v>
      </c>
      <c r="CG64" s="29">
        <f>(CC64*15)+(CD64*0.8)+(CE64*0.3)+((AW64+AZ64)*15)</f>
        <v>45</v>
      </c>
      <c r="CH64" s="29" t="s">
        <v>2220</v>
      </c>
      <c r="CI64" s="29">
        <f>(BL64*1)+(BN64*0.1)+(BP64*0.01)+(BR64*0.1)+(BT64*0.3)+(BV64*0.4)+(CC64*15)+(CD64*0.8)+(CE64*0.3)+((AW64+AZ64)*15)</f>
        <v>46</v>
      </c>
      <c r="CJ64" s="29" t="s">
        <v>546</v>
      </c>
      <c r="CK64" s="29" t="s">
        <v>547</v>
      </c>
      <c r="CL64" s="29" t="s">
        <v>546</v>
      </c>
      <c r="CM64" s="29" t="s">
        <v>547</v>
      </c>
      <c r="CN64" s="29">
        <v>0.25</v>
      </c>
      <c r="CO64" s="29">
        <v>0.25</v>
      </c>
      <c r="CQ64" s="29" t="s">
        <v>548</v>
      </c>
      <c r="CR64" s="29">
        <v>0.5</v>
      </c>
      <c r="CS64" s="29">
        <v>6</v>
      </c>
      <c r="CT64" s="29" t="s">
        <v>551</v>
      </c>
      <c r="CU64" s="30">
        <v>2.8800000000000003</v>
      </c>
      <c r="CW64" s="29">
        <v>999</v>
      </c>
      <c r="CX64" s="29" t="s">
        <v>551</v>
      </c>
      <c r="CY64" s="62"/>
      <c r="CZ64" s="29">
        <v>0.5</v>
      </c>
      <c r="DA64" s="29">
        <v>1</v>
      </c>
      <c r="DB64" s="29" t="s">
        <v>551</v>
      </c>
      <c r="DC64" s="62">
        <v>0.48</v>
      </c>
      <c r="DD64" s="29" t="s">
        <v>546</v>
      </c>
      <c r="DE64" s="29" t="s">
        <v>546</v>
      </c>
      <c r="DF64" s="29" t="s">
        <v>546</v>
      </c>
      <c r="DG64" s="29" t="s">
        <v>546</v>
      </c>
      <c r="DH64" s="29" t="s">
        <v>546</v>
      </c>
      <c r="DI64" s="29">
        <v>0</v>
      </c>
      <c r="DJ64" s="29">
        <v>3</v>
      </c>
      <c r="DK64" s="29" t="s">
        <v>965</v>
      </c>
      <c r="DL64" s="29" t="s">
        <v>966</v>
      </c>
      <c r="DM64" s="29">
        <v>-4.2881870269775391</v>
      </c>
      <c r="DN64" s="29">
        <v>35.897674560546875</v>
      </c>
      <c r="DO64" s="29">
        <v>1205.300048828125</v>
      </c>
      <c r="DP64" s="29">
        <v>5</v>
      </c>
      <c r="DQ64" s="29">
        <v>1706031849</v>
      </c>
      <c r="DR64" s="29" t="s">
        <v>967</v>
      </c>
      <c r="DS64" s="31">
        <v>42921.432384259257</v>
      </c>
      <c r="DT64" s="31">
        <v>42913.54409722222</v>
      </c>
      <c r="DU64" s="31">
        <v>42913.555497685185</v>
      </c>
      <c r="DV64" s="32">
        <v>42776</v>
      </c>
      <c r="DX64" s="44">
        <v>3.2456038647342997</v>
      </c>
      <c r="DY64" s="44">
        <v>1.6668599033816427</v>
      </c>
      <c r="DZ64" s="44">
        <v>1.6606153846153846</v>
      </c>
      <c r="EA64" s="44">
        <v>4.2904615384615381</v>
      </c>
      <c r="EC64" s="29" t="str">
        <f>IF(EQ64&lt;EP64,"FALSEE",1)</f>
        <v>FALSEE</v>
      </c>
      <c r="EE64" s="29" t="s">
        <v>2171</v>
      </c>
      <c r="EF64" s="29">
        <v>2.1752965450300001</v>
      </c>
      <c r="EG64" s="29" t="str">
        <f>IF(EF64&lt;0.5,"Depression",IF(EF64&lt;2,"Very gentle",IF(EF64&lt;5,"Gentle",IF(EF64&lt;9,"Moderate",IF(EF64&lt;15,"Strong",IF(EF64&lt;30,"Steep",IF(EF64&lt;1,"Very steep")))))))</f>
        <v>Gentle</v>
      </c>
      <c r="EH64" s="29" t="s">
        <v>2173</v>
      </c>
      <c r="EI64" s="29">
        <v>0.36257606744799997</v>
      </c>
      <c r="EJ64" s="43">
        <v>8.4629182815600004</v>
      </c>
      <c r="EK64" s="43">
        <f>VLOOKUP(D64,[1]SoilData!$G$15:$K$237,5,FALSE)</f>
        <v>538.96329641911655</v>
      </c>
      <c r="EL64" s="43">
        <f>VLOOKUP(D64,[1]SoilData!$G$245:$K$451,5,FALSE)</f>
        <v>375.83037942002437</v>
      </c>
      <c r="EM64" s="43">
        <f>VLOOKUP(D64,[1]SoilData!$G$15:$M$238,7,FALSE)</f>
        <v>1.671</v>
      </c>
      <c r="EN64" s="43">
        <f>VLOOKUP(D64,[1]SoilData!$G$245:$M$454,7,FALSE)</f>
        <v>1.298</v>
      </c>
      <c r="EO64" s="60">
        <f>EM64-EN64</f>
        <v>0.373</v>
      </c>
      <c r="EP64" s="44">
        <f>AVERAGE(DZ64:EA64)</f>
        <v>2.9755384615384615</v>
      </c>
      <c r="EQ64" s="44">
        <f>AVERAGE(DX64:DY64)</f>
        <v>2.4562318840579711</v>
      </c>
      <c r="ER64" s="43">
        <f>EQ64-EP64</f>
        <v>-0.51930657748049036</v>
      </c>
      <c r="ES64" s="64">
        <f>IF(CU64&gt;0.000001,CU64*352,0)</f>
        <v>1013.7600000000001</v>
      </c>
      <c r="ET64" s="64">
        <f>IF(DC64&gt;0.0001,DC64*682,0)</f>
        <v>327.36</v>
      </c>
      <c r="EU64" s="64">
        <f>CY64*795</f>
        <v>0</v>
      </c>
      <c r="EV64" s="64">
        <f>ES64+ET64+EU64</f>
        <v>1341.1200000000001</v>
      </c>
      <c r="EW64" s="64">
        <f>IF(AA64="YES",3.5*18.2,0)</f>
        <v>0</v>
      </c>
      <c r="EX64" s="64">
        <f>EV64-EW64</f>
        <v>1341.1200000000001</v>
      </c>
    </row>
    <row r="65" spans="1:154" ht="15" x14ac:dyDescent="0.2">
      <c r="A65" s="29" t="s">
        <v>789</v>
      </c>
      <c r="B65" s="29">
        <v>21</v>
      </c>
      <c r="C65" s="29" t="s">
        <v>252</v>
      </c>
      <c r="D65" s="29" t="s">
        <v>252</v>
      </c>
      <c r="E65" s="29" t="str">
        <f>VLOOKUP(D65,Harvest_2017_Formulae!$C$2:$D$968,2,FALSE)</f>
        <v>SABILO</v>
      </c>
      <c r="F65" s="29" t="s">
        <v>1175</v>
      </c>
      <c r="G65" s="29">
        <v>2.5</v>
      </c>
      <c r="H65" s="61" t="str">
        <f>IF(G65&lt;0.05,"Homefield",IF(G65&lt;0.5,"Midfield","outfield"))</f>
        <v>outfield</v>
      </c>
      <c r="I65" s="29" t="s">
        <v>557</v>
      </c>
      <c r="J65" s="61" t="s">
        <v>2233</v>
      </c>
      <c r="K65" s="61" t="s">
        <v>2233</v>
      </c>
      <c r="L65" s="67">
        <v>0</v>
      </c>
      <c r="O65" s="29" t="s">
        <v>547</v>
      </c>
      <c r="Q65" s="67">
        <v>0</v>
      </c>
      <c r="R65" s="29" t="s">
        <v>547</v>
      </c>
      <c r="T65" s="29" t="s">
        <v>559</v>
      </c>
      <c r="U65" s="29" t="s">
        <v>560</v>
      </c>
      <c r="W65" s="29" t="s">
        <v>561</v>
      </c>
      <c r="Z65" s="29" t="s">
        <v>547</v>
      </c>
      <c r="AA65" s="61" t="s">
        <v>546</v>
      </c>
      <c r="AB65" s="29" t="s">
        <v>547</v>
      </c>
      <c r="AC65" s="67">
        <v>0</v>
      </c>
      <c r="AD65" s="29" t="s">
        <v>547</v>
      </c>
      <c r="AF65" s="29" t="s">
        <v>547</v>
      </c>
      <c r="AG65" s="29" t="s">
        <v>547</v>
      </c>
      <c r="AH65" s="29" t="s">
        <v>548</v>
      </c>
      <c r="AI65" s="29" t="s">
        <v>546</v>
      </c>
      <c r="AK65" s="67">
        <v>0</v>
      </c>
      <c r="AL65" s="29" t="s">
        <v>547</v>
      </c>
      <c r="AO65" s="29" t="s">
        <v>547</v>
      </c>
      <c r="AP65" s="29" t="s">
        <v>547</v>
      </c>
      <c r="AQ65" s="4">
        <f>Q65+AK65</f>
        <v>0</v>
      </c>
      <c r="AR65" s="4">
        <f>L65+AC65</f>
        <v>0</v>
      </c>
      <c r="AS65" t="str">
        <f>AQ65&amp;AR65</f>
        <v>00</v>
      </c>
      <c r="AT65" s="49">
        <f>AQ65-AR65</f>
        <v>0</v>
      </c>
      <c r="AU65">
        <v>1</v>
      </c>
      <c r="AV65" s="29" t="s">
        <v>548</v>
      </c>
      <c r="AW65" s="29">
        <v>0.5</v>
      </c>
      <c r="AX65" s="29" t="s">
        <v>548</v>
      </c>
      <c r="AY65" s="29">
        <v>1</v>
      </c>
      <c r="AZ65" s="29">
        <v>2.5</v>
      </c>
      <c r="BA65" s="29" t="s">
        <v>546</v>
      </c>
      <c r="BB65" s="29" t="s">
        <v>547</v>
      </c>
      <c r="BD65" s="29">
        <f>AW65+AZ65</f>
        <v>3</v>
      </c>
      <c r="BE65" s="29">
        <f>BD65+BC65</f>
        <v>3</v>
      </c>
      <c r="BF65" s="29" t="s">
        <v>548</v>
      </c>
      <c r="BG65" s="29" t="s">
        <v>546</v>
      </c>
      <c r="BH65" s="29" t="s">
        <v>546</v>
      </c>
      <c r="BI65" s="29" t="s">
        <v>546</v>
      </c>
      <c r="BJ65" s="29" t="s">
        <v>546</v>
      </c>
      <c r="BK65" s="29" t="s">
        <v>546</v>
      </c>
      <c r="BL65" s="29">
        <v>1</v>
      </c>
      <c r="BM65" s="29" t="s">
        <v>580</v>
      </c>
      <c r="BO65" s="29" t="s">
        <v>547</v>
      </c>
      <c r="BQ65" s="29" t="s">
        <v>547</v>
      </c>
      <c r="BS65" s="29" t="s">
        <v>547</v>
      </c>
      <c r="BU65" s="29" t="s">
        <v>547</v>
      </c>
      <c r="BW65" s="29">
        <f>(BL65*1)+(BN65*0.1)+(BP65*0.01)+(BR65*0.1)+(BT65*0.3)+(BV65*0.4)</f>
        <v>1</v>
      </c>
      <c r="BX65" s="29" t="s">
        <v>2223</v>
      </c>
      <c r="BY65" s="29">
        <v>3</v>
      </c>
      <c r="BZ65" s="29">
        <v>1</v>
      </c>
      <c r="CA65" s="29">
        <v>0</v>
      </c>
      <c r="CB65" s="29">
        <v>4</v>
      </c>
      <c r="CC65" s="29">
        <v>0</v>
      </c>
      <c r="CD65" s="29">
        <v>1</v>
      </c>
      <c r="CE65" s="29">
        <v>1</v>
      </c>
      <c r="CG65" s="29">
        <f>(CC65*15)+(CD65*0.8)+(CE65*0.3)+((AW65+AZ65)*15)</f>
        <v>46.1</v>
      </c>
      <c r="CH65" s="29" t="s">
        <v>2220</v>
      </c>
      <c r="CI65" s="29">
        <f>(BL65*1)+(BN65*0.1)+(BP65*0.01)+(BR65*0.1)+(BT65*0.3)+(BV65*0.4)+(CC65*15)+(CD65*0.8)+(CE65*0.3)+((AW65+AZ65)*15)</f>
        <v>47.1</v>
      </c>
      <c r="CJ65" s="29" t="s">
        <v>546</v>
      </c>
      <c r="CK65" s="29" t="s">
        <v>547</v>
      </c>
      <c r="CL65" s="29" t="s">
        <v>548</v>
      </c>
      <c r="CM65" s="29" t="s">
        <v>793</v>
      </c>
      <c r="CN65" s="29">
        <v>0.5</v>
      </c>
      <c r="CO65" s="29">
        <v>2</v>
      </c>
      <c r="CP65" s="29">
        <v>0</v>
      </c>
      <c r="CQ65" s="29" t="s">
        <v>548</v>
      </c>
      <c r="CR65" s="29">
        <v>1</v>
      </c>
      <c r="CS65" s="29">
        <v>10</v>
      </c>
      <c r="CT65" s="29" t="s">
        <v>551</v>
      </c>
      <c r="CU65" s="30">
        <v>2.4</v>
      </c>
      <c r="CV65" s="29">
        <v>1</v>
      </c>
      <c r="CW65" s="29">
        <v>1</v>
      </c>
      <c r="CX65" s="29" t="s">
        <v>551</v>
      </c>
      <c r="CY65" s="62">
        <v>0.24</v>
      </c>
      <c r="CZ65" s="29">
        <v>1</v>
      </c>
      <c r="DA65" s="29">
        <v>0.5</v>
      </c>
      <c r="DB65" s="29" t="s">
        <v>551</v>
      </c>
      <c r="DC65" s="62">
        <v>0.12</v>
      </c>
      <c r="DD65" s="29" t="s">
        <v>546</v>
      </c>
      <c r="DE65" s="29" t="s">
        <v>546</v>
      </c>
      <c r="DF65" s="29" t="s">
        <v>546</v>
      </c>
      <c r="DG65" s="29" t="s">
        <v>546</v>
      </c>
      <c r="DH65" s="29" t="s">
        <v>546</v>
      </c>
      <c r="DI65" s="29">
        <v>0</v>
      </c>
      <c r="DJ65" s="29">
        <v>3</v>
      </c>
      <c r="DK65" s="29" t="s">
        <v>1230</v>
      </c>
      <c r="DL65" s="29" t="s">
        <v>1231</v>
      </c>
      <c r="DM65" s="29">
        <v>-4.3406481742858887</v>
      </c>
      <c r="DN65" s="29">
        <v>35.470245361328125</v>
      </c>
      <c r="DO65" s="29">
        <v>1600.4000244140625</v>
      </c>
      <c r="DP65" s="29">
        <v>15</v>
      </c>
      <c r="DQ65" s="29">
        <v>1705231439</v>
      </c>
      <c r="DR65" s="29" t="s">
        <v>1232</v>
      </c>
      <c r="DS65" s="31">
        <v>42908.292557870373</v>
      </c>
      <c r="DT65" s="31">
        <v>42894.706365740742</v>
      </c>
      <c r="DU65" s="31">
        <v>42908.291203703702</v>
      </c>
      <c r="DV65" s="32">
        <v>42775</v>
      </c>
      <c r="DX65" s="44">
        <v>2.6470175438596493</v>
      </c>
      <c r="DY65" s="44">
        <v>3.2512280701754395</v>
      </c>
      <c r="DZ65" s="44">
        <v>0.85382716049382712</v>
      </c>
      <c r="EA65" s="44">
        <v>1.6161728395061727</v>
      </c>
      <c r="EC65" s="29">
        <f>IF(EQ65&lt;EP65,"FALSEE",1)</f>
        <v>1</v>
      </c>
      <c r="EE65" s="29" t="s">
        <v>2171</v>
      </c>
      <c r="EF65" s="29">
        <v>2.35151100159</v>
      </c>
      <c r="EG65" s="29" t="str">
        <f>IF(EF65&lt;0.5,"Depression",IF(EF65&lt;2,"Very gentle",IF(EF65&lt;5,"Gentle",IF(EF65&lt;9,"Moderate",IF(EF65&lt;15,"Strong",IF(EF65&lt;30,"Steep",IF(EF65&lt;1,"Very steep")))))))</f>
        <v>Gentle</v>
      </c>
      <c r="EH65" s="29" t="s">
        <v>2173</v>
      </c>
      <c r="EI65" s="29">
        <v>9.0650379657699995E-2</v>
      </c>
      <c r="EJ65" s="43">
        <v>9.2979307174700008</v>
      </c>
      <c r="EK65" s="56">
        <f>VLOOKUP(D65,[1]SoilData!$G$15:$K$237,5,FALSE)</f>
        <v>8.8431014063134743</v>
      </c>
      <c r="EL65" s="43">
        <f>VLOOKUP(D65,[1]SoilData!$G$245:$K$451,5,FALSE)</f>
        <v>15.221167743445479</v>
      </c>
      <c r="EM65" s="43">
        <f>VLOOKUP(D65,[1]SoilData!$G$15:$M$238,7,FALSE)</f>
        <v>1.5229999999999999</v>
      </c>
      <c r="EN65" s="43">
        <f>VLOOKUP(D65,[1]SoilData!$G$245:$M$454,7,FALSE)</f>
        <v>1.5669999999999999</v>
      </c>
      <c r="EO65" s="60">
        <f>EM65-EN65</f>
        <v>-4.4000000000000039E-2</v>
      </c>
      <c r="EP65" s="44">
        <f>AVERAGE(DZ65:EA65)</f>
        <v>1.2349999999999999</v>
      </c>
      <c r="EQ65" s="44">
        <f>AVERAGE(DX65:DY65)</f>
        <v>2.9491228070175444</v>
      </c>
      <c r="ER65" s="43">
        <f>EQ65-EP65</f>
        <v>1.7141228070175445</v>
      </c>
      <c r="ES65" s="64">
        <f>IF(CU65&gt;0.000001,CU65*352,0)</f>
        <v>844.8</v>
      </c>
      <c r="ET65" s="64">
        <f>IF(DC65&gt;0.0001,DC65*682,0)</f>
        <v>81.84</v>
      </c>
      <c r="EU65" s="64">
        <f>CY65*795</f>
        <v>190.79999999999998</v>
      </c>
      <c r="EV65" s="64">
        <f>ES65+ET65+EU65</f>
        <v>1117.44</v>
      </c>
      <c r="EW65" s="64">
        <f>IF(AA65="YES",3.5*18.2,0)</f>
        <v>0</v>
      </c>
      <c r="EX65" s="64">
        <f>EV65-EW65</f>
        <v>1117.44</v>
      </c>
    </row>
    <row r="66" spans="1:154" ht="15" x14ac:dyDescent="0.2">
      <c r="A66" s="29" t="s">
        <v>556</v>
      </c>
      <c r="B66" s="29">
        <v>97</v>
      </c>
      <c r="C66" s="29" t="s">
        <v>1108</v>
      </c>
      <c r="D66" s="29" t="s">
        <v>218</v>
      </c>
      <c r="E66" s="29" t="str">
        <f>VLOOKUP(D66,Harvest_2017_Formulae!$C$2:$D$968,2,FALSE)</f>
        <v>ORNGADIDA</v>
      </c>
      <c r="F66" s="29" t="s">
        <v>777</v>
      </c>
      <c r="G66" s="29">
        <v>0.30000001192092896</v>
      </c>
      <c r="H66" s="61" t="str">
        <f>IF(G66&lt;0.05,"Homefield",IF(G66&lt;0.5,"Midfield","outfield"))</f>
        <v>Midfield</v>
      </c>
      <c r="I66" s="29" t="s">
        <v>557</v>
      </c>
      <c r="J66" s="61" t="s">
        <v>2233</v>
      </c>
      <c r="K66" s="61" t="s">
        <v>2233</v>
      </c>
      <c r="L66" s="67">
        <v>0</v>
      </c>
      <c r="O66" s="29" t="s">
        <v>547</v>
      </c>
      <c r="Q66" s="67">
        <v>0</v>
      </c>
      <c r="R66" s="29" t="s">
        <v>547</v>
      </c>
      <c r="T66" s="29" t="s">
        <v>559</v>
      </c>
      <c r="U66" s="29" t="s">
        <v>560</v>
      </c>
      <c r="W66" s="41" t="s">
        <v>635</v>
      </c>
      <c r="Z66" s="29" t="s">
        <v>547</v>
      </c>
      <c r="AA66" s="61" t="s">
        <v>546</v>
      </c>
      <c r="AB66" s="29" t="s">
        <v>547</v>
      </c>
      <c r="AC66" s="67">
        <v>0</v>
      </c>
      <c r="AD66" s="29" t="s">
        <v>547</v>
      </c>
      <c r="AF66" s="29" t="s">
        <v>547</v>
      </c>
      <c r="AG66" s="29" t="s">
        <v>547</v>
      </c>
      <c r="AH66" s="29" t="s">
        <v>546</v>
      </c>
      <c r="AI66" s="29" t="s">
        <v>546</v>
      </c>
      <c r="AJ66" s="29" t="s">
        <v>547</v>
      </c>
      <c r="AK66" s="67">
        <v>0</v>
      </c>
      <c r="AL66" s="29" t="s">
        <v>547</v>
      </c>
      <c r="AO66" s="29" t="s">
        <v>547</v>
      </c>
      <c r="AP66" s="29" t="s">
        <v>547</v>
      </c>
      <c r="AQ66" s="4">
        <f>Q66+AK66</f>
        <v>0</v>
      </c>
      <c r="AR66" s="4">
        <f>L66+AC66</f>
        <v>0</v>
      </c>
      <c r="AS66" t="str">
        <f>AQ66&amp;AR66</f>
        <v>00</v>
      </c>
      <c r="AT66" s="49">
        <f>AQ66-AR66</f>
        <v>0</v>
      </c>
      <c r="AU66">
        <v>1</v>
      </c>
      <c r="AV66" s="29" t="s">
        <v>548</v>
      </c>
      <c r="AW66" s="29">
        <v>0.75</v>
      </c>
      <c r="AX66" s="29" t="s">
        <v>548</v>
      </c>
      <c r="AY66" s="29">
        <v>2</v>
      </c>
      <c r="AZ66" s="29">
        <v>3.5</v>
      </c>
      <c r="BA66" s="29" t="s">
        <v>546</v>
      </c>
      <c r="BB66" s="29" t="s">
        <v>547</v>
      </c>
      <c r="BD66" s="29">
        <f>AW66+AZ66</f>
        <v>4.25</v>
      </c>
      <c r="BE66" s="29">
        <f>BD66+BC66</f>
        <v>4.25</v>
      </c>
      <c r="BF66" s="29" t="s">
        <v>548</v>
      </c>
      <c r="BG66" s="29" t="s">
        <v>546</v>
      </c>
      <c r="BH66" s="29" t="s">
        <v>548</v>
      </c>
      <c r="BI66" s="29" t="s">
        <v>546</v>
      </c>
      <c r="BJ66" s="29" t="s">
        <v>546</v>
      </c>
      <c r="BK66" s="29" t="s">
        <v>546</v>
      </c>
      <c r="BL66" s="29">
        <v>1</v>
      </c>
      <c r="BM66" s="29" t="s">
        <v>562</v>
      </c>
      <c r="BO66" s="29" t="s">
        <v>547</v>
      </c>
      <c r="BP66" s="29">
        <v>12</v>
      </c>
      <c r="BQ66" s="29" t="s">
        <v>549</v>
      </c>
      <c r="BS66" s="29" t="s">
        <v>547</v>
      </c>
      <c r="BU66" s="29" t="s">
        <v>547</v>
      </c>
      <c r="BW66" s="29">
        <f>(BL66*1)+(BN66*0.1)+(BP66*0.01)+(BR66*0.1)+(BT66*0.3)+(BV66*0.4)</f>
        <v>1.1200000000000001</v>
      </c>
      <c r="BX66" s="29" t="s">
        <v>2223</v>
      </c>
      <c r="BY66" s="29">
        <v>1</v>
      </c>
      <c r="BZ66" s="29">
        <v>2</v>
      </c>
      <c r="CA66" s="29">
        <v>3</v>
      </c>
      <c r="CB66" s="29">
        <v>6</v>
      </c>
      <c r="CC66" s="29">
        <v>0</v>
      </c>
      <c r="CD66" s="29">
        <v>0</v>
      </c>
      <c r="CE66" s="29">
        <v>0</v>
      </c>
      <c r="CG66" s="29">
        <f>(CC66*15)+(CD66*0.8)+(CE66*0.3)+((AW66+AZ66)*15)</f>
        <v>63.75</v>
      </c>
      <c r="CH66" s="29" t="s">
        <v>2221</v>
      </c>
      <c r="CI66" s="29">
        <f>(BL66*1)+(BN66*0.1)+(BP66*0.01)+(BR66*0.1)+(BT66*0.3)+(BV66*0.4)+(CC66*15)+(CD66*0.8)+(CE66*0.3)+((AW66+AZ66)*15)</f>
        <v>64.87</v>
      </c>
      <c r="CJ66" s="29" t="s">
        <v>548</v>
      </c>
      <c r="CK66" s="29" t="s">
        <v>563</v>
      </c>
      <c r="CL66" s="29" t="s">
        <v>548</v>
      </c>
      <c r="CM66" s="29" t="s">
        <v>550</v>
      </c>
      <c r="CN66" s="29">
        <v>0.5</v>
      </c>
      <c r="CO66" s="29">
        <v>0.5</v>
      </c>
      <c r="CQ66" s="29" t="s">
        <v>548</v>
      </c>
      <c r="CR66" s="29">
        <v>1</v>
      </c>
      <c r="CS66" s="29">
        <v>10</v>
      </c>
      <c r="CT66" s="29" t="s">
        <v>551</v>
      </c>
      <c r="CU66" s="30">
        <v>2.4</v>
      </c>
      <c r="CW66" s="29">
        <v>999</v>
      </c>
      <c r="CX66" s="29" t="s">
        <v>551</v>
      </c>
      <c r="CY66" s="62"/>
      <c r="CZ66" s="29">
        <v>1</v>
      </c>
      <c r="DA66" s="29">
        <v>4</v>
      </c>
      <c r="DB66" s="29" t="s">
        <v>551</v>
      </c>
      <c r="DC66" s="62">
        <v>0.96</v>
      </c>
      <c r="DD66" s="29" t="s">
        <v>546</v>
      </c>
      <c r="DE66" s="29" t="s">
        <v>546</v>
      </c>
      <c r="DF66" s="29" t="s">
        <v>546</v>
      </c>
      <c r="DG66" s="29" t="s">
        <v>546</v>
      </c>
      <c r="DH66" s="29" t="s">
        <v>546</v>
      </c>
      <c r="DI66" s="29">
        <v>0</v>
      </c>
      <c r="DJ66" s="29">
        <v>3</v>
      </c>
      <c r="DK66" s="29" t="s">
        <v>1109</v>
      </c>
      <c r="DL66" s="29" t="s">
        <v>1110</v>
      </c>
      <c r="DM66" s="29">
        <v>-4.2969870567321777</v>
      </c>
      <c r="DN66" s="29">
        <v>35.849224090576172</v>
      </c>
      <c r="DO66" s="29">
        <v>1274.800048828125</v>
      </c>
      <c r="DP66" s="29">
        <v>5</v>
      </c>
      <c r="DQ66" s="29">
        <v>1705231439</v>
      </c>
      <c r="DR66" s="29" t="s">
        <v>1111</v>
      </c>
      <c r="DS66" s="31">
        <v>42927.347002314811</v>
      </c>
      <c r="DT66" s="31">
        <v>42892.420949074076</v>
      </c>
      <c r="DU66" s="31">
        <v>42927.346053240741</v>
      </c>
      <c r="DV66" s="32">
        <v>42793</v>
      </c>
      <c r="DX66" s="44"/>
      <c r="DY66" s="44"/>
      <c r="DZ66" s="44"/>
      <c r="EA66" s="44"/>
      <c r="EC66" s="29">
        <f>IF(EQ66&lt;EP66,"FALSEE",1)</f>
        <v>1</v>
      </c>
      <c r="EE66" s="29" t="s">
        <v>2171</v>
      </c>
      <c r="EF66" s="29">
        <v>1.5327152013800001</v>
      </c>
      <c r="EG66" s="29" t="str">
        <f>IF(EF66&lt;0.5,"Depression",IF(EF66&lt;2,"Very gentle",IF(EF66&lt;5,"Gentle",IF(EF66&lt;9,"Moderate",IF(EF66&lt;15,"Strong",IF(EF66&lt;30,"Steep",IF(EF66&lt;1,"Very steep")))))))</f>
        <v>Very gentle</v>
      </c>
      <c r="EH66" s="29" t="s">
        <v>2173</v>
      </c>
      <c r="EI66" s="29">
        <v>-0.27191722393000001</v>
      </c>
      <c r="EJ66" s="43">
        <v>9.4327993392899998</v>
      </c>
      <c r="EK66" s="43">
        <f>VLOOKUP(D66,[1]SoilData!$G$15:$K$237,5,FALSE)</f>
        <v>457.16559114869972</v>
      </c>
      <c r="EL66" s="43">
        <f>VLOOKUP(D66,[1]SoilData!$G$245:$K$451,5,FALSE)</f>
        <v>158.14415692300889</v>
      </c>
      <c r="EM66" s="43">
        <f>VLOOKUP(D66,[1]SoilData!$G$15:$M$238,7,FALSE)</f>
        <v>1.85</v>
      </c>
      <c r="EN66" s="43">
        <f>VLOOKUP(D66,[1]SoilData!$G$245:$M$454,7,FALSE)</f>
        <v>1.5129999999999999</v>
      </c>
      <c r="EO66" s="60">
        <f>EM66-EN66</f>
        <v>0.33700000000000019</v>
      </c>
      <c r="EP66" s="44"/>
      <c r="EQ66" s="44"/>
      <c r="ER66" s="43"/>
      <c r="ES66" s="64">
        <f>IF(CU66&gt;0.000001,CU66*352,0)</f>
        <v>844.8</v>
      </c>
      <c r="ET66" s="64">
        <f>IF(DC66&gt;0.0001,DC66*682,0)</f>
        <v>654.72</v>
      </c>
      <c r="EU66" s="64">
        <f>CY66*795</f>
        <v>0</v>
      </c>
      <c r="EV66" s="64">
        <f>ES66+ET66+EU66</f>
        <v>1499.52</v>
      </c>
      <c r="EW66" s="64">
        <f>IF(AA66="YES",3.5*18.2,0)</f>
        <v>0</v>
      </c>
      <c r="EX66" s="64">
        <f>EV66-EW66</f>
        <v>1499.52</v>
      </c>
    </row>
    <row r="67" spans="1:154" ht="15" x14ac:dyDescent="0.2">
      <c r="A67" s="29" t="s">
        <v>556</v>
      </c>
      <c r="B67" s="29">
        <v>160</v>
      </c>
      <c r="C67" s="29" t="s">
        <v>359</v>
      </c>
      <c r="D67" s="29" t="s">
        <v>359</v>
      </c>
      <c r="E67" s="29" t="str">
        <f>VLOOKUP(D67,Harvest_2017_Formulae!$C$2:$D$968,2,FALSE)</f>
        <v>HALLU</v>
      </c>
      <c r="F67" s="29" t="s">
        <v>938</v>
      </c>
      <c r="G67" s="29">
        <v>0</v>
      </c>
      <c r="H67" s="61" t="str">
        <f>IF(G67&lt;0.05,"Homefield",IF(G67&lt;0.5,"Midfield","outfield"))</f>
        <v>Homefield</v>
      </c>
      <c r="I67" s="29" t="s">
        <v>557</v>
      </c>
      <c r="J67" s="61" t="s">
        <v>2234</v>
      </c>
      <c r="K67" s="61" t="s">
        <v>2234</v>
      </c>
      <c r="L67" s="67">
        <v>0</v>
      </c>
      <c r="O67" s="29" t="s">
        <v>547</v>
      </c>
      <c r="Q67" s="67">
        <v>0</v>
      </c>
      <c r="R67" s="29" t="s">
        <v>547</v>
      </c>
      <c r="U67" s="29" t="s">
        <v>547</v>
      </c>
      <c r="W67" s="29" t="s">
        <v>547</v>
      </c>
      <c r="Z67" s="29" t="s">
        <v>547</v>
      </c>
      <c r="AA67" s="61" t="s">
        <v>546</v>
      </c>
      <c r="AB67" s="29" t="s">
        <v>547</v>
      </c>
      <c r="AC67" s="67">
        <v>0</v>
      </c>
      <c r="AD67" s="29" t="s">
        <v>547</v>
      </c>
      <c r="AF67" s="29" t="s">
        <v>547</v>
      </c>
      <c r="AG67" s="29" t="s">
        <v>547</v>
      </c>
      <c r="AH67" s="29" t="s">
        <v>546</v>
      </c>
      <c r="AI67" s="29" t="s">
        <v>546</v>
      </c>
      <c r="AJ67" s="29" t="s">
        <v>547</v>
      </c>
      <c r="AK67" s="67">
        <v>0</v>
      </c>
      <c r="AL67" s="29" t="s">
        <v>547</v>
      </c>
      <c r="AO67" s="29" t="s">
        <v>547</v>
      </c>
      <c r="AP67" s="29" t="s">
        <v>547</v>
      </c>
      <c r="AQ67" s="4">
        <f>Q67+AK67</f>
        <v>0</v>
      </c>
      <c r="AR67" s="4">
        <f>L67+AC67</f>
        <v>0</v>
      </c>
      <c r="AS67" t="str">
        <f>AQ67&amp;AR67</f>
        <v>00</v>
      </c>
      <c r="AT67" s="49">
        <f>AQ67-AR67</f>
        <v>0</v>
      </c>
      <c r="AU67">
        <v>1</v>
      </c>
      <c r="AV67" s="29" t="s">
        <v>548</v>
      </c>
      <c r="AW67" s="29">
        <v>0.5</v>
      </c>
      <c r="AX67" s="29" t="s">
        <v>548</v>
      </c>
      <c r="AY67" s="29">
        <v>1</v>
      </c>
      <c r="AZ67" s="29">
        <v>2</v>
      </c>
      <c r="BA67" s="29" t="s">
        <v>546</v>
      </c>
      <c r="BB67" s="29" t="s">
        <v>547</v>
      </c>
      <c r="BD67" s="29">
        <f>AW67+AZ67</f>
        <v>2.5</v>
      </c>
      <c r="BE67" s="29">
        <f>BD67+BC67</f>
        <v>2.5</v>
      </c>
      <c r="BF67" s="29" t="s">
        <v>546</v>
      </c>
      <c r="BG67" s="29" t="s">
        <v>548</v>
      </c>
      <c r="BH67" s="29" t="s">
        <v>548</v>
      </c>
      <c r="BI67" s="29" t="s">
        <v>548</v>
      </c>
      <c r="BJ67" s="29" t="s">
        <v>546</v>
      </c>
      <c r="BK67" s="29" t="s">
        <v>546</v>
      </c>
      <c r="BM67" s="29" t="s">
        <v>547</v>
      </c>
      <c r="BN67" s="29">
        <v>10</v>
      </c>
      <c r="BO67" s="29" t="s">
        <v>549</v>
      </c>
      <c r="BP67" s="29">
        <v>2</v>
      </c>
      <c r="BQ67" s="29" t="s">
        <v>549</v>
      </c>
      <c r="BR67" s="29">
        <v>2</v>
      </c>
      <c r="BS67" s="29" t="s">
        <v>549</v>
      </c>
      <c r="BU67" s="29" t="s">
        <v>547</v>
      </c>
      <c r="BW67" s="29">
        <f>(BL67*1)+(BN67*0.1)+(BP67*0.01)+(BR67*0.1)+(BT67*0.3)+(BV67*0.4)</f>
        <v>1.22</v>
      </c>
      <c r="BX67" s="29" t="s">
        <v>2223</v>
      </c>
      <c r="BY67" s="29">
        <v>3</v>
      </c>
      <c r="BZ67" s="29">
        <v>2</v>
      </c>
      <c r="CA67" s="29">
        <v>4</v>
      </c>
      <c r="CB67" s="29">
        <v>9</v>
      </c>
      <c r="CC67" s="29">
        <v>0</v>
      </c>
      <c r="CD67" s="29">
        <v>0</v>
      </c>
      <c r="CE67" s="29">
        <v>0</v>
      </c>
      <c r="CF67" s="29" t="s">
        <v>547</v>
      </c>
      <c r="CG67" s="29">
        <f>(CC67*15)+(CD67*0.8)+(CE67*0.3)+((AW67+AZ67)*15)</f>
        <v>37.5</v>
      </c>
      <c r="CH67" s="29" t="s">
        <v>2220</v>
      </c>
      <c r="CI67" s="29">
        <f>(BL67*1)+(BN67*0.1)+(BP67*0.01)+(BR67*0.1)+(BT67*0.3)+(BV67*0.4)+(CC67*15)+(CD67*0.8)+(CE67*0.3)+((AW67+AZ67)*15)</f>
        <v>38.72</v>
      </c>
      <c r="CJ67" s="29" t="s">
        <v>546</v>
      </c>
      <c r="CK67" s="29" t="s">
        <v>547</v>
      </c>
      <c r="CL67" s="29" t="s">
        <v>548</v>
      </c>
      <c r="CM67" s="29" t="s">
        <v>550</v>
      </c>
      <c r="CN67" s="29">
        <v>0.25</v>
      </c>
      <c r="CO67" s="29">
        <v>0.25</v>
      </c>
      <c r="CQ67" s="29" t="s">
        <v>548</v>
      </c>
      <c r="CR67" s="29">
        <v>0.25</v>
      </c>
      <c r="CS67" s="29">
        <v>2</v>
      </c>
      <c r="CT67" s="29" t="s">
        <v>551</v>
      </c>
      <c r="CU67" s="30">
        <v>1.92</v>
      </c>
      <c r="CW67" s="29">
        <v>999</v>
      </c>
      <c r="CX67" s="29" t="s">
        <v>551</v>
      </c>
      <c r="CY67" s="62"/>
      <c r="CZ67" s="29">
        <v>0.25</v>
      </c>
      <c r="DA67" s="29">
        <v>4</v>
      </c>
      <c r="DB67" s="29" t="s">
        <v>552</v>
      </c>
      <c r="DC67" s="62">
        <v>0.64127999999999996</v>
      </c>
      <c r="DD67" s="29" t="s">
        <v>546</v>
      </c>
      <c r="DE67" s="29" t="s">
        <v>546</v>
      </c>
      <c r="DF67" s="29" t="s">
        <v>546</v>
      </c>
      <c r="DG67" s="29" t="s">
        <v>546</v>
      </c>
      <c r="DH67" s="29" t="s">
        <v>546</v>
      </c>
      <c r="DI67" s="29">
        <v>0</v>
      </c>
      <c r="DJ67" s="29">
        <v>3</v>
      </c>
      <c r="DK67" s="29" t="s">
        <v>982</v>
      </c>
      <c r="DL67" s="29" t="s">
        <v>983</v>
      </c>
      <c r="DM67" s="29">
        <v>-4.2845678329467773</v>
      </c>
      <c r="DN67" s="29">
        <v>35.895767211914062</v>
      </c>
      <c r="DO67" s="29">
        <v>1230.699951171875</v>
      </c>
      <c r="DP67" s="29">
        <v>5</v>
      </c>
      <c r="DQ67" s="29">
        <v>1706031849</v>
      </c>
      <c r="DR67" s="29" t="s">
        <v>984</v>
      </c>
      <c r="DS67" s="31">
        <v>42921.432453703703</v>
      </c>
      <c r="DT67" s="31">
        <v>42913.601377314815</v>
      </c>
      <c r="DU67" s="31">
        <v>42913.618229166663</v>
      </c>
      <c r="DV67" s="32">
        <v>42789</v>
      </c>
      <c r="DX67" s="44">
        <v>2.2201709401709402</v>
      </c>
      <c r="DY67" s="44">
        <v>1.7467521367521366</v>
      </c>
      <c r="DZ67" s="44">
        <v>2.8790123456790124</v>
      </c>
      <c r="EA67" s="44"/>
      <c r="EC67" s="29" t="str">
        <f>IF(EQ67&lt;EP67,"FALSEE",1)</f>
        <v>FALSEE</v>
      </c>
      <c r="EE67" s="29" t="s">
        <v>2171</v>
      </c>
      <c r="EF67" s="29">
        <v>1.5749045610400001</v>
      </c>
      <c r="EG67" s="29" t="str">
        <f>IF(EF67&lt;0.5,"Depression",IF(EF67&lt;2,"Very gentle",IF(EF67&lt;5,"Gentle",IF(EF67&lt;9,"Moderate",IF(EF67&lt;15,"Strong",IF(EF67&lt;30,"Steep",IF(EF67&lt;1,"Very steep")))))))</f>
        <v>Very gentle</v>
      </c>
      <c r="EH67" s="29" t="s">
        <v>2173</v>
      </c>
      <c r="EI67" s="29">
        <v>-0.362559139729</v>
      </c>
      <c r="EJ67" s="43">
        <v>9.9196262359599991</v>
      </c>
      <c r="EK67" s="43">
        <f>VLOOKUP(D67,[1]SoilData!$G$15:$K$237,5,FALSE)</f>
        <v>191.78298588258733</v>
      </c>
      <c r="EL67" s="43">
        <f>VLOOKUP(D67,[1]SoilData!$G$245:$K$451,5,FALSE)</f>
        <v>246.16062488228459</v>
      </c>
      <c r="EM67" s="43">
        <f>VLOOKUP(D67,[1]SoilData!$G$15:$M$238,7,FALSE)</f>
        <v>1.089</v>
      </c>
      <c r="EN67" s="43">
        <f>VLOOKUP(D67,[1]SoilData!$G$245:$M$454,7,FALSE)</f>
        <v>1.08</v>
      </c>
      <c r="EO67" s="60">
        <f>EM67-EN67</f>
        <v>8.999999999999897E-3</v>
      </c>
      <c r="EP67" s="44">
        <f>AVERAGE(DZ67:EA67)</f>
        <v>2.8790123456790124</v>
      </c>
      <c r="EQ67" s="44">
        <f>AVERAGE(DX67:DY67)</f>
        <v>1.9834615384615384</v>
      </c>
      <c r="ER67" s="43">
        <f>EQ67-EP67</f>
        <v>-0.89555080721747404</v>
      </c>
      <c r="ES67" s="64">
        <f>IF(CU67&gt;0.000001,CU67*352,0)</f>
        <v>675.83999999999992</v>
      </c>
      <c r="ET67" s="64">
        <f>IF(DC67&gt;0.0001,DC67*682,0)</f>
        <v>437.35296</v>
      </c>
      <c r="EU67" s="64">
        <f>CY67*795</f>
        <v>0</v>
      </c>
      <c r="EV67" s="64">
        <f>ES67+ET67+EU67</f>
        <v>1113.1929599999999</v>
      </c>
      <c r="EW67" s="64">
        <f>IF(AA67="YES",3.5*18.2,0)</f>
        <v>0</v>
      </c>
      <c r="EX67" s="64">
        <f>EV67-EW67</f>
        <v>1113.1929599999999</v>
      </c>
    </row>
    <row r="68" spans="1:154" ht="15" x14ac:dyDescent="0.2">
      <c r="A68" s="29" t="s">
        <v>556</v>
      </c>
      <c r="B68" s="29">
        <v>143</v>
      </c>
      <c r="C68" s="29" t="s">
        <v>318</v>
      </c>
      <c r="D68" s="29" t="s">
        <v>318</v>
      </c>
      <c r="E68" s="29" t="str">
        <f>VLOOKUP(D68,Harvest_2017_Formulae!$C$2:$D$968,2,FALSE)</f>
        <v>AYAMANGO</v>
      </c>
      <c r="F68" s="29" t="s">
        <v>196</v>
      </c>
      <c r="G68" s="29">
        <v>0.30000001192092896</v>
      </c>
      <c r="H68" s="61" t="str">
        <f>IF(G68&lt;0.05,"Homefield",IF(G68&lt;0.5,"Midfield","outfield"))</f>
        <v>Midfield</v>
      </c>
      <c r="I68" s="29" t="s">
        <v>557</v>
      </c>
      <c r="J68" s="61" t="s">
        <v>2233</v>
      </c>
      <c r="K68" s="61" t="s">
        <v>2233</v>
      </c>
      <c r="L68" s="67">
        <v>0</v>
      </c>
      <c r="O68" s="29" t="s">
        <v>547</v>
      </c>
      <c r="Q68" s="67">
        <v>0</v>
      </c>
      <c r="R68" s="29" t="s">
        <v>547</v>
      </c>
      <c r="U68" s="29" t="s">
        <v>547</v>
      </c>
      <c r="W68" s="29" t="s">
        <v>547</v>
      </c>
      <c r="Z68" s="29" t="s">
        <v>547</v>
      </c>
      <c r="AA68" s="61" t="s">
        <v>546</v>
      </c>
      <c r="AB68" s="29" t="s">
        <v>547</v>
      </c>
      <c r="AC68" s="67">
        <v>0</v>
      </c>
      <c r="AD68" s="29" t="s">
        <v>547</v>
      </c>
      <c r="AF68" s="29" t="s">
        <v>547</v>
      </c>
      <c r="AG68" s="29" t="s">
        <v>547</v>
      </c>
      <c r="AH68" s="29" t="s">
        <v>548</v>
      </c>
      <c r="AI68" s="29" t="s">
        <v>546</v>
      </c>
      <c r="AJ68" s="29" t="s">
        <v>547</v>
      </c>
      <c r="AK68" s="67">
        <v>0</v>
      </c>
      <c r="AL68" s="29" t="s">
        <v>547</v>
      </c>
      <c r="AO68" s="29" t="s">
        <v>547</v>
      </c>
      <c r="AP68" s="29" t="s">
        <v>547</v>
      </c>
      <c r="AQ68" s="4">
        <f>Q68+AK68</f>
        <v>0</v>
      </c>
      <c r="AR68" s="4">
        <f>L68+AC68</f>
        <v>0</v>
      </c>
      <c r="AS68" t="str">
        <f>AQ68&amp;AR68</f>
        <v>00</v>
      </c>
      <c r="AT68" s="49">
        <f>AQ68-AR68</f>
        <v>0</v>
      </c>
      <c r="AU68">
        <v>1</v>
      </c>
      <c r="AV68" s="29" t="s">
        <v>548</v>
      </c>
      <c r="AW68" s="29">
        <v>1</v>
      </c>
      <c r="AX68" s="29" t="s">
        <v>546</v>
      </c>
      <c r="BA68" s="29" t="s">
        <v>548</v>
      </c>
      <c r="BB68" s="29" t="s">
        <v>584</v>
      </c>
      <c r="BC68" s="29">
        <v>0.25</v>
      </c>
      <c r="BD68" s="29">
        <f>AW68+AZ68</f>
        <v>1</v>
      </c>
      <c r="BE68" s="29">
        <f>BD68+BC68</f>
        <v>1.25</v>
      </c>
      <c r="BF68" s="29" t="s">
        <v>548</v>
      </c>
      <c r="BG68" s="29" t="s">
        <v>548</v>
      </c>
      <c r="BH68" s="29" t="s">
        <v>548</v>
      </c>
      <c r="BI68" s="29" t="s">
        <v>546</v>
      </c>
      <c r="BJ68" s="29" t="s">
        <v>546</v>
      </c>
      <c r="BK68" s="29" t="s">
        <v>546</v>
      </c>
      <c r="BL68" s="29">
        <v>1</v>
      </c>
      <c r="BM68" s="29" t="s">
        <v>549</v>
      </c>
      <c r="BN68" s="29">
        <v>2</v>
      </c>
      <c r="BO68" s="29" t="s">
        <v>549</v>
      </c>
      <c r="BP68" s="29">
        <v>5</v>
      </c>
      <c r="BQ68" s="29" t="s">
        <v>549</v>
      </c>
      <c r="BS68" s="29" t="s">
        <v>547</v>
      </c>
      <c r="BU68" s="29" t="s">
        <v>547</v>
      </c>
      <c r="BW68" s="29">
        <f>(BL68*1)+(BN68*0.1)+(BP68*0.01)+(BR68*0.1)+(BT68*0.3)+(BV68*0.4)</f>
        <v>1.25</v>
      </c>
      <c r="BX68" s="29" t="s">
        <v>2223</v>
      </c>
      <c r="BY68" s="29">
        <v>2</v>
      </c>
      <c r="BZ68" s="29">
        <v>3</v>
      </c>
      <c r="CA68" s="29">
        <v>5</v>
      </c>
      <c r="CB68" s="29">
        <v>10</v>
      </c>
      <c r="CC68" s="29">
        <v>0</v>
      </c>
      <c r="CD68" s="29">
        <v>0</v>
      </c>
      <c r="CE68" s="29">
        <v>0</v>
      </c>
      <c r="CF68" s="29" t="s">
        <v>547</v>
      </c>
      <c r="CG68" s="29">
        <f>(CC68*15)+(CD68*0.8)+(CE68*0.3)+((AW68+AZ68)*15)</f>
        <v>15</v>
      </c>
      <c r="CH68" s="29" t="s">
        <v>2219</v>
      </c>
      <c r="CI68" s="29">
        <f>(BL68*1)+(BN68*0.1)+(BP68*0.01)+(BR68*0.1)+(BT68*0.3)+(BV68*0.4)+(CC68*15)+(CD68*0.8)+(CE68*0.3)+((AW68+AZ68)*15)</f>
        <v>16.25</v>
      </c>
      <c r="CJ68" s="29" t="s">
        <v>546</v>
      </c>
      <c r="CK68" s="29" t="s">
        <v>547</v>
      </c>
      <c r="CL68" s="29" t="s">
        <v>546</v>
      </c>
      <c r="CM68" s="29" t="s">
        <v>547</v>
      </c>
      <c r="CN68" s="29">
        <v>0.25</v>
      </c>
      <c r="CO68" s="29">
        <v>0.25</v>
      </c>
      <c r="CQ68" s="29" t="s">
        <v>548</v>
      </c>
      <c r="CR68" s="29">
        <v>0.25</v>
      </c>
      <c r="CS68" s="29">
        <v>9</v>
      </c>
      <c r="CT68" s="29" t="s">
        <v>551</v>
      </c>
      <c r="CU68" s="30">
        <v>8.64</v>
      </c>
      <c r="CW68" s="29">
        <v>999</v>
      </c>
      <c r="CX68" s="29" t="s">
        <v>551</v>
      </c>
      <c r="CY68" s="62"/>
      <c r="CZ68" s="29">
        <v>0.25</v>
      </c>
      <c r="DA68" s="29">
        <v>4</v>
      </c>
      <c r="DB68" s="29" t="s">
        <v>552</v>
      </c>
      <c r="DC68" s="62">
        <v>0.64127999999999996</v>
      </c>
      <c r="DD68" s="29" t="s">
        <v>546</v>
      </c>
      <c r="DE68" s="29" t="s">
        <v>546</v>
      </c>
      <c r="DF68" s="29" t="s">
        <v>546</v>
      </c>
      <c r="DG68" s="29" t="s">
        <v>546</v>
      </c>
      <c r="DH68" s="29" t="s">
        <v>546</v>
      </c>
      <c r="DI68" s="29">
        <v>0</v>
      </c>
      <c r="DJ68" s="29">
        <v>2</v>
      </c>
      <c r="DK68" s="29" t="s">
        <v>603</v>
      </c>
      <c r="DL68" s="29" t="s">
        <v>604</v>
      </c>
      <c r="DM68" s="29">
        <v>-4.244534969329834</v>
      </c>
      <c r="DN68" s="29">
        <v>35.891998291015625</v>
      </c>
      <c r="DO68" s="29">
        <v>1224.9000244140625</v>
      </c>
      <c r="DP68" s="29">
        <v>5</v>
      </c>
      <c r="DQ68" s="29">
        <v>1706031849</v>
      </c>
      <c r="DR68" s="29" t="s">
        <v>605</v>
      </c>
      <c r="DS68" s="31">
        <v>42909.495740740742</v>
      </c>
      <c r="DT68" s="31">
        <v>42908.475405092591</v>
      </c>
      <c r="DU68" s="31">
        <v>42908.480833333335</v>
      </c>
      <c r="DV68" s="32">
        <v>42775</v>
      </c>
      <c r="DX68" s="44">
        <v>4.2269281045751628</v>
      </c>
      <c r="DY68" s="44">
        <v>7.719389978213508</v>
      </c>
      <c r="DZ68" s="44">
        <v>4.372056530214425</v>
      </c>
      <c r="EA68" s="44">
        <v>4.1487719298245613</v>
      </c>
      <c r="EB68" s="29">
        <v>10</v>
      </c>
      <c r="EC68" s="29">
        <f>IF(EQ68&lt;EP68,"FALSEE",1)</f>
        <v>1</v>
      </c>
      <c r="EE68" s="29" t="s">
        <v>2171</v>
      </c>
      <c r="EF68" s="29">
        <v>1.0756396055199999</v>
      </c>
      <c r="EG68" s="29" t="str">
        <f>IF(EF68&lt;0.5,"Depression",IF(EF68&lt;2,"Very gentle",IF(EF68&lt;5,"Gentle",IF(EF68&lt;9,"Moderate",IF(EF68&lt;15,"Strong",IF(EF68&lt;30,"Steep",IF(EF68&lt;1,"Very steep")))))))</f>
        <v>Very gentle</v>
      </c>
      <c r="EH68" s="29" t="s">
        <v>2173</v>
      </c>
      <c r="EI68" s="29">
        <v>-0.18127532303300001</v>
      </c>
      <c r="EJ68" s="43">
        <v>10.502039909400001</v>
      </c>
      <c r="EK68" s="43">
        <f>VLOOKUP(D68,[1]SoilData!$G$15:$K$237,5,FALSE)</f>
        <v>592.87783827657358</v>
      </c>
      <c r="EL68" s="43"/>
      <c r="EM68" s="43">
        <f>VLOOKUP(D68,[1]SoilData!$G$15:$M$238,7,FALSE)</f>
        <v>2.153</v>
      </c>
      <c r="EN68" s="43">
        <f>VLOOKUP(D68,[1]SoilData!$G$245:$M$454,7,FALSE)</f>
        <v>2.202</v>
      </c>
      <c r="EO68" s="60">
        <f>EM68-EN68</f>
        <v>-4.8999999999999932E-2</v>
      </c>
      <c r="EP68" s="44">
        <f>AVERAGE(DZ68:EA68)</f>
        <v>4.2604142300194932</v>
      </c>
      <c r="EQ68" s="44">
        <f>AVERAGE(DX68:DY68)</f>
        <v>5.9731590413943358</v>
      </c>
      <c r="ER68" s="43">
        <f>EQ68-EP68</f>
        <v>1.7127448113748427</v>
      </c>
      <c r="ES68" s="64">
        <f>IF(CU68&gt;0.000001,CU68*352,0)</f>
        <v>3041.28</v>
      </c>
      <c r="ET68" s="64">
        <f>IF(DC68&gt;0.0001,DC68*682,0)</f>
        <v>437.35296</v>
      </c>
      <c r="EU68" s="64">
        <f>CY68*795</f>
        <v>0</v>
      </c>
      <c r="EV68" s="64">
        <f>ES68+ET68+EU68</f>
        <v>3478.6329600000004</v>
      </c>
      <c r="EW68" s="64">
        <f>IF(AA68="YES",3.5*18.2,0)</f>
        <v>0</v>
      </c>
      <c r="EX68" s="64">
        <f>EV68-EW68</f>
        <v>3478.6329600000004</v>
      </c>
    </row>
    <row r="69" spans="1:154" ht="15" x14ac:dyDescent="0.2">
      <c r="A69" s="29" t="s">
        <v>556</v>
      </c>
      <c r="B69" s="29">
        <v>142</v>
      </c>
      <c r="C69" s="29" t="s">
        <v>428</v>
      </c>
      <c r="D69" s="29" t="s">
        <v>428</v>
      </c>
      <c r="E69" s="29" t="str">
        <f>VLOOKUP(D69,Harvest_2017_Formulae!$C$2:$D$968,2,FALSE)</f>
        <v>AYAMANGO</v>
      </c>
      <c r="F69" s="29" t="s">
        <v>196</v>
      </c>
      <c r="G69" s="29">
        <v>0.5</v>
      </c>
      <c r="H69" s="61" t="str">
        <f>IF(G69&lt;0.05,"Homefield",IF(G69&lt;0.5,"Midfield","outfield"))</f>
        <v>outfield</v>
      </c>
      <c r="I69" s="29" t="s">
        <v>557</v>
      </c>
      <c r="J69" s="61" t="s">
        <v>2234</v>
      </c>
      <c r="K69" s="61" t="s">
        <v>2234</v>
      </c>
      <c r="L69" s="67">
        <v>0</v>
      </c>
      <c r="O69" s="29" t="s">
        <v>547</v>
      </c>
      <c r="Q69" s="67">
        <v>0</v>
      </c>
      <c r="R69" s="29" t="s">
        <v>547</v>
      </c>
      <c r="U69" s="29" t="s">
        <v>547</v>
      </c>
      <c r="W69" s="29" t="s">
        <v>547</v>
      </c>
      <c r="Z69" s="29" t="s">
        <v>547</v>
      </c>
      <c r="AA69" s="61" t="s">
        <v>548</v>
      </c>
      <c r="AB69" s="29" t="s">
        <v>568</v>
      </c>
      <c r="AC69" s="67">
        <v>0</v>
      </c>
      <c r="AD69" s="29" t="s">
        <v>547</v>
      </c>
      <c r="AF69" s="29" t="s">
        <v>547</v>
      </c>
      <c r="AG69" s="29" t="s">
        <v>547</v>
      </c>
      <c r="AH69" s="29" t="s">
        <v>546</v>
      </c>
      <c r="AI69" s="29" t="s">
        <v>546</v>
      </c>
      <c r="AJ69" s="29" t="s">
        <v>547</v>
      </c>
      <c r="AK69" s="67">
        <v>0</v>
      </c>
      <c r="AL69" s="29" t="s">
        <v>547</v>
      </c>
      <c r="AO69" s="29" t="s">
        <v>547</v>
      </c>
      <c r="AP69" s="29" t="s">
        <v>547</v>
      </c>
      <c r="AQ69" s="4">
        <f>Q69+AK69</f>
        <v>0</v>
      </c>
      <c r="AR69" s="4">
        <f>L69+AC69</f>
        <v>0</v>
      </c>
      <c r="AS69" t="str">
        <f>AQ69&amp;AR69</f>
        <v>00</v>
      </c>
      <c r="AT69" s="49">
        <f>AQ69-AR69</f>
        <v>0</v>
      </c>
      <c r="AU69">
        <v>1</v>
      </c>
      <c r="AV69" s="29" t="s">
        <v>546</v>
      </c>
      <c r="AX69" s="29" t="s">
        <v>548</v>
      </c>
      <c r="AY69" s="29">
        <v>1</v>
      </c>
      <c r="AZ69" s="29">
        <v>1.5</v>
      </c>
      <c r="BA69" s="29" t="s">
        <v>548</v>
      </c>
      <c r="BB69" s="29" t="s">
        <v>584</v>
      </c>
      <c r="BC69" s="29">
        <v>25</v>
      </c>
      <c r="BD69" s="29">
        <f>AW69+AZ69</f>
        <v>1.5</v>
      </c>
      <c r="BE69" s="29">
        <f>BD69+BC69</f>
        <v>26.5</v>
      </c>
      <c r="BF69" s="29" t="s">
        <v>548</v>
      </c>
      <c r="BG69" s="29" t="s">
        <v>548</v>
      </c>
      <c r="BH69" s="29" t="s">
        <v>546</v>
      </c>
      <c r="BI69" s="29" t="s">
        <v>546</v>
      </c>
      <c r="BJ69" s="29" t="s">
        <v>546</v>
      </c>
      <c r="BK69" s="29" t="s">
        <v>546</v>
      </c>
      <c r="BL69" s="29">
        <v>1</v>
      </c>
      <c r="BM69" s="29" t="s">
        <v>549</v>
      </c>
      <c r="BN69" s="29">
        <v>3</v>
      </c>
      <c r="BO69" s="29" t="s">
        <v>549</v>
      </c>
      <c r="BQ69" s="29" t="s">
        <v>547</v>
      </c>
      <c r="BS69" s="29" t="s">
        <v>547</v>
      </c>
      <c r="BU69" s="29" t="s">
        <v>547</v>
      </c>
      <c r="BW69" s="29">
        <f>(BL69*1)+(BN69*0.1)+(BP69*0.01)+(BR69*0.1)+(BT69*0.3)+(BV69*0.4)</f>
        <v>1.3</v>
      </c>
      <c r="BX69" s="29" t="s">
        <v>2223</v>
      </c>
      <c r="BY69" s="29">
        <v>1</v>
      </c>
      <c r="BZ69" s="29">
        <v>0</v>
      </c>
      <c r="CA69" s="29">
        <v>0</v>
      </c>
      <c r="CB69" s="29">
        <v>1</v>
      </c>
      <c r="CC69" s="29">
        <v>0</v>
      </c>
      <c r="CD69" s="29">
        <v>0</v>
      </c>
      <c r="CE69" s="29">
        <v>0</v>
      </c>
      <c r="CF69" s="29" t="s">
        <v>547</v>
      </c>
      <c r="CG69" s="29">
        <f>(CC69*15)+(CD69*0.8)+(CE69*0.3)+((AW69+AZ69)*15)</f>
        <v>22.5</v>
      </c>
      <c r="CH69" s="29" t="s">
        <v>2220</v>
      </c>
      <c r="CI69" s="29">
        <f>(BL69*1)+(BN69*0.1)+(BP69*0.01)+(BR69*0.1)+(BT69*0.3)+(BV69*0.4)+(CC69*15)+(CD69*0.8)+(CE69*0.3)+((AW69+AZ69)*15)</f>
        <v>23.8</v>
      </c>
      <c r="CJ69" s="29" t="s">
        <v>546</v>
      </c>
      <c r="CK69" s="29" t="s">
        <v>547</v>
      </c>
      <c r="CL69" s="29" t="s">
        <v>546</v>
      </c>
      <c r="CM69" s="29" t="s">
        <v>547</v>
      </c>
      <c r="CN69" s="29">
        <v>0.25</v>
      </c>
      <c r="CO69" s="29">
        <v>0.25</v>
      </c>
      <c r="CQ69" s="29" t="s">
        <v>548</v>
      </c>
      <c r="CR69" s="29">
        <v>0.5</v>
      </c>
      <c r="CS69" s="29">
        <v>10</v>
      </c>
      <c r="CT69" s="29" t="s">
        <v>551</v>
      </c>
      <c r="CU69" s="30">
        <v>4.8</v>
      </c>
      <c r="CW69" s="29">
        <v>999</v>
      </c>
      <c r="CX69" s="29" t="s">
        <v>551</v>
      </c>
      <c r="CY69" s="62"/>
      <c r="CZ69" s="29">
        <v>0.5</v>
      </c>
      <c r="DA69" s="29">
        <v>1.25</v>
      </c>
      <c r="DB69" s="29" t="s">
        <v>551</v>
      </c>
      <c r="DC69" s="62">
        <v>0.6</v>
      </c>
      <c r="DD69" s="29" t="s">
        <v>546</v>
      </c>
      <c r="DE69" s="29" t="s">
        <v>546</v>
      </c>
      <c r="DF69" s="29" t="s">
        <v>546</v>
      </c>
      <c r="DG69" s="29" t="s">
        <v>546</v>
      </c>
      <c r="DH69" s="29" t="s">
        <v>548</v>
      </c>
      <c r="DI69" s="29">
        <v>1</v>
      </c>
      <c r="DJ69" s="29">
        <v>3</v>
      </c>
      <c r="DK69" s="29" t="s">
        <v>585</v>
      </c>
      <c r="DL69" s="29" t="s">
        <v>586</v>
      </c>
      <c r="DM69" s="29">
        <v>-4.2444829940795898</v>
      </c>
      <c r="DN69" s="29">
        <v>35.892040252685547</v>
      </c>
      <c r="DO69" s="29">
        <v>1224.199951171875</v>
      </c>
      <c r="DP69" s="29">
        <v>5</v>
      </c>
      <c r="DQ69" s="29">
        <v>1706031849</v>
      </c>
      <c r="DR69" s="29" t="s">
        <v>587</v>
      </c>
      <c r="DS69" s="31">
        <v>42909.495729166665</v>
      </c>
      <c r="DT69" s="31">
        <v>42908.461006944446</v>
      </c>
      <c r="DU69" s="31">
        <v>42908.475324074076</v>
      </c>
      <c r="DV69" s="32">
        <v>42775</v>
      </c>
      <c r="DX69" s="44">
        <v>5.8809362139917694</v>
      </c>
      <c r="DY69" s="44">
        <v>4.9944958847736629</v>
      </c>
      <c r="DZ69" s="44">
        <v>3.4614545454545453</v>
      </c>
      <c r="EA69" s="44">
        <v>4.5950303030303026</v>
      </c>
      <c r="EB69" s="29">
        <v>5</v>
      </c>
      <c r="EC69" s="29">
        <f>IF(EQ69&lt;EP69,"FALSEE",1)</f>
        <v>1</v>
      </c>
      <c r="EE69" s="29" t="s">
        <v>2171</v>
      </c>
      <c r="EF69" s="29">
        <v>1.0756396055199999</v>
      </c>
      <c r="EG69" s="29" t="str">
        <f>IF(EF69&lt;0.5,"Depression",IF(EF69&lt;2,"Very gentle",IF(EF69&lt;5,"Gentle",IF(EF69&lt;9,"Moderate",IF(EF69&lt;15,"Strong",IF(EF69&lt;30,"Steep",IF(EF69&lt;1,"Very steep")))))))</f>
        <v>Very gentle</v>
      </c>
      <c r="EH69" s="29" t="s">
        <v>2173</v>
      </c>
      <c r="EI69" s="29">
        <v>-0.18127532303300001</v>
      </c>
      <c r="EJ69" s="43">
        <v>10.502039909400001</v>
      </c>
      <c r="EK69" s="43">
        <f>VLOOKUP(D69,[1]SoilData!$G$15:$K$237,5,FALSE)</f>
        <v>488.38056072237833</v>
      </c>
      <c r="EL69" s="43">
        <f>VLOOKUP(D69,[1]SoilData!$G$245:$K$451,5,FALSE)</f>
        <v>480.02077851804273</v>
      </c>
      <c r="EM69" s="43">
        <f>VLOOKUP(D69,[1]SoilData!$G$15:$M$238,7,FALSE)</f>
        <v>2.0819999999999999</v>
      </c>
      <c r="EN69" s="43">
        <f>VLOOKUP(D69,[1]SoilData!$G$245:$M$454,7,FALSE)</f>
        <v>2.2469999999999999</v>
      </c>
      <c r="EO69" s="60">
        <f>EM69-EN69</f>
        <v>-0.16500000000000004</v>
      </c>
      <c r="EP69" s="44">
        <f>AVERAGE(DZ69:EA69)</f>
        <v>4.028242424242424</v>
      </c>
      <c r="EQ69" s="44">
        <f>AVERAGE(DX69:DY69)</f>
        <v>5.4377160493827166</v>
      </c>
      <c r="ER69" s="43">
        <f>EQ69-EP69</f>
        <v>1.4094736251402926</v>
      </c>
      <c r="ES69" s="64">
        <f>IF(CU69&gt;0.000001,CU69*352,0)</f>
        <v>1689.6</v>
      </c>
      <c r="ET69" s="64">
        <f>IF(DC69&gt;0.0001,DC69*682,0)</f>
        <v>409.2</v>
      </c>
      <c r="EU69" s="64">
        <f>CY69*795</f>
        <v>0</v>
      </c>
      <c r="EV69" s="64">
        <f>ES69+ET69+EU69</f>
        <v>2098.7999999999997</v>
      </c>
      <c r="EW69" s="64">
        <f>IF(AA69="YES",3.5*18.2,0)</f>
        <v>63.699999999999996</v>
      </c>
      <c r="EX69" s="64">
        <f>EV69-EW69</f>
        <v>2035.0999999999997</v>
      </c>
    </row>
    <row r="70" spans="1:154" ht="15" x14ac:dyDescent="0.2">
      <c r="A70" s="29" t="s">
        <v>556</v>
      </c>
      <c r="B70" s="29">
        <v>106</v>
      </c>
      <c r="C70" s="29" t="s">
        <v>351</v>
      </c>
      <c r="D70" s="29" t="s">
        <v>351</v>
      </c>
      <c r="E70" s="29" t="str">
        <f>VLOOKUP(D70,Harvest_2017_Formulae!$C$2:$D$968,2,FALSE)</f>
        <v>ENDANOGA</v>
      </c>
      <c r="F70" s="29" t="s">
        <v>843</v>
      </c>
      <c r="G70" s="29">
        <v>0</v>
      </c>
      <c r="H70" s="61" t="str">
        <f>IF(G70&lt;0.05,"Homefield",IF(G70&lt;0.5,"Midfield","outfield"))</f>
        <v>Homefield</v>
      </c>
      <c r="I70" s="29" t="s">
        <v>557</v>
      </c>
      <c r="J70" s="61" t="s">
        <v>2233</v>
      </c>
      <c r="K70" s="61" t="s">
        <v>2233</v>
      </c>
      <c r="L70" s="67">
        <v>0</v>
      </c>
      <c r="O70" s="29" t="s">
        <v>547</v>
      </c>
      <c r="Q70" s="67">
        <v>0</v>
      </c>
      <c r="R70" s="29" t="s">
        <v>547</v>
      </c>
      <c r="U70" s="29" t="s">
        <v>547</v>
      </c>
      <c r="W70" s="29" t="s">
        <v>547</v>
      </c>
      <c r="Z70" s="29" t="s">
        <v>547</v>
      </c>
      <c r="AA70" s="61" t="s">
        <v>548</v>
      </c>
      <c r="AB70" s="29" t="s">
        <v>568</v>
      </c>
      <c r="AC70" s="67">
        <v>0</v>
      </c>
      <c r="AD70" s="29" t="s">
        <v>547</v>
      </c>
      <c r="AF70" s="29" t="s">
        <v>547</v>
      </c>
      <c r="AG70" s="29" t="s">
        <v>547</v>
      </c>
      <c r="AH70" s="29" t="s">
        <v>546</v>
      </c>
      <c r="AI70" s="29" t="s">
        <v>546</v>
      </c>
      <c r="AJ70" s="29" t="s">
        <v>547</v>
      </c>
      <c r="AK70" s="67">
        <v>0</v>
      </c>
      <c r="AL70" s="29" t="s">
        <v>547</v>
      </c>
      <c r="AO70" s="29" t="s">
        <v>547</v>
      </c>
      <c r="AP70" s="29" t="s">
        <v>547</v>
      </c>
      <c r="AQ70" s="4">
        <f>Q70+AK70</f>
        <v>0</v>
      </c>
      <c r="AR70" s="4">
        <f>L70+AC70</f>
        <v>0</v>
      </c>
      <c r="AS70" t="str">
        <f>AQ70&amp;AR70</f>
        <v>00</v>
      </c>
      <c r="AT70" s="49">
        <f>AQ70-AR70</f>
        <v>0</v>
      </c>
      <c r="AU70">
        <v>1</v>
      </c>
      <c r="AV70" s="29" t="s">
        <v>548</v>
      </c>
      <c r="AW70" s="29">
        <v>1.25</v>
      </c>
      <c r="AX70" s="29" t="s">
        <v>546</v>
      </c>
      <c r="BA70" s="29" t="s">
        <v>546</v>
      </c>
      <c r="BB70" s="29" t="s">
        <v>547</v>
      </c>
      <c r="BD70" s="29">
        <f>AW70+AZ70</f>
        <v>1.25</v>
      </c>
      <c r="BE70" s="29">
        <f>BD70+BC70</f>
        <v>1.25</v>
      </c>
      <c r="BF70" s="29" t="s">
        <v>548</v>
      </c>
      <c r="BG70" s="29" t="s">
        <v>548</v>
      </c>
      <c r="BH70" s="29" t="s">
        <v>548</v>
      </c>
      <c r="BI70" s="29" t="s">
        <v>546</v>
      </c>
      <c r="BJ70" s="29" t="s">
        <v>546</v>
      </c>
      <c r="BK70" s="29" t="s">
        <v>546</v>
      </c>
      <c r="BL70" s="29">
        <v>1</v>
      </c>
      <c r="BM70" s="29" t="s">
        <v>562</v>
      </c>
      <c r="BN70" s="29">
        <v>3</v>
      </c>
      <c r="BO70" s="29" t="s">
        <v>562</v>
      </c>
      <c r="BP70" s="29">
        <v>1</v>
      </c>
      <c r="BQ70" s="29" t="s">
        <v>580</v>
      </c>
      <c r="BS70" s="29" t="s">
        <v>547</v>
      </c>
      <c r="BU70" s="29" t="s">
        <v>547</v>
      </c>
      <c r="BW70" s="29">
        <f>(BL70*1)+(BN70*0.1)+(BP70*0.01)+(BR70*0.1)+(BT70*0.3)+(BV70*0.4)</f>
        <v>1.31</v>
      </c>
      <c r="BX70" s="29" t="s">
        <v>2223</v>
      </c>
      <c r="BY70" s="29">
        <v>2</v>
      </c>
      <c r="BZ70" s="29">
        <v>1</v>
      </c>
      <c r="CA70" s="29">
        <v>6</v>
      </c>
      <c r="CB70" s="29">
        <v>9</v>
      </c>
      <c r="CC70" s="29">
        <v>0</v>
      </c>
      <c r="CD70" s="29">
        <v>0</v>
      </c>
      <c r="CE70" s="29">
        <v>0</v>
      </c>
      <c r="CG70" s="29">
        <f>(CC70*15)+(CD70*0.8)+(CE70*0.3)+((AW70+AZ70)*15)</f>
        <v>18.75</v>
      </c>
      <c r="CH70" s="29" t="s">
        <v>2220</v>
      </c>
      <c r="CI70" s="29">
        <f>(BL70*1)+(BN70*0.1)+(BP70*0.01)+(BR70*0.1)+(BT70*0.3)+(BV70*0.4)+(CC70*15)+(CD70*0.8)+(CE70*0.3)+((AW70+AZ70)*15)</f>
        <v>20.059999999999999</v>
      </c>
      <c r="CJ70" s="29" t="s">
        <v>546</v>
      </c>
      <c r="CK70" s="29" t="s">
        <v>547</v>
      </c>
      <c r="CL70" s="29" t="s">
        <v>546</v>
      </c>
      <c r="CM70" s="29" t="s">
        <v>547</v>
      </c>
      <c r="CN70" s="29">
        <v>0.25</v>
      </c>
      <c r="CO70" s="29">
        <v>1</v>
      </c>
      <c r="CP70" s="29">
        <v>0</v>
      </c>
      <c r="CQ70" s="29" t="s">
        <v>548</v>
      </c>
      <c r="CR70" s="29">
        <v>1.25</v>
      </c>
      <c r="CS70" s="29">
        <v>5</v>
      </c>
      <c r="CT70" s="29" t="s">
        <v>551</v>
      </c>
      <c r="CU70" s="30">
        <v>0.96</v>
      </c>
      <c r="CW70" s="29">
        <v>999</v>
      </c>
      <c r="CX70" s="29" t="s">
        <v>551</v>
      </c>
      <c r="CY70" s="62"/>
      <c r="CZ70" s="29">
        <v>1.25</v>
      </c>
      <c r="DA70" s="29">
        <v>1.5</v>
      </c>
      <c r="DB70" s="29" t="s">
        <v>551</v>
      </c>
      <c r="DC70" s="62">
        <v>0.28799999999999998</v>
      </c>
      <c r="DD70" s="29" t="s">
        <v>548</v>
      </c>
      <c r="DE70" s="29" t="s">
        <v>548</v>
      </c>
      <c r="DF70" s="29" t="s">
        <v>548</v>
      </c>
      <c r="DG70" s="29" t="s">
        <v>546</v>
      </c>
      <c r="DH70" s="29" t="s">
        <v>546</v>
      </c>
      <c r="DI70" s="29">
        <v>3</v>
      </c>
      <c r="DJ70" s="29">
        <v>2</v>
      </c>
      <c r="DK70" s="29" t="s">
        <v>914</v>
      </c>
      <c r="DL70" s="29" t="s">
        <v>915</v>
      </c>
      <c r="DM70" s="29">
        <v>-4.2591938972473145</v>
      </c>
      <c r="DN70" s="29">
        <v>35.857143402099609</v>
      </c>
      <c r="DO70" s="29">
        <v>1322.0999755859375</v>
      </c>
      <c r="DP70" s="29">
        <v>5</v>
      </c>
      <c r="DQ70" s="29">
        <v>1706031849</v>
      </c>
      <c r="DR70" s="29" t="s">
        <v>916</v>
      </c>
      <c r="DS70" s="31">
        <v>42903.412905092591</v>
      </c>
      <c r="DT70" s="31">
        <v>42893.65834490741</v>
      </c>
      <c r="DU70" s="31">
        <v>42893.667199074072</v>
      </c>
      <c r="DV70" s="32">
        <v>42773</v>
      </c>
      <c r="DX70" s="44">
        <v>6.8147763946519149</v>
      </c>
      <c r="DY70" s="44">
        <v>5.9906639004149378</v>
      </c>
      <c r="DZ70" s="44">
        <v>3.3281466113416327</v>
      </c>
      <c r="EA70" s="44">
        <v>3.4359151682803142</v>
      </c>
      <c r="EC70" s="29">
        <f>IF(EQ70&lt;EP70,"FALSEE",1)</f>
        <v>1</v>
      </c>
      <c r="EE70" s="29" t="s">
        <v>2171</v>
      </c>
      <c r="EF70" s="29">
        <v>4.6913475990300002</v>
      </c>
      <c r="EG70" s="29" t="str">
        <f>IF(EF70&lt;0.5,"Depression",IF(EF70&lt;2,"Very gentle",IF(EF70&lt;5,"Gentle",IF(EF70&lt;9,"Moderate",IF(EF70&lt;15,"Strong",IF(EF70&lt;30,"Steep",IF(EF70&lt;1,"Very steep")))))))</f>
        <v>Gentle</v>
      </c>
      <c r="EH70" s="29" t="s">
        <v>2173</v>
      </c>
      <c r="EI70" s="29">
        <v>0.36257606744799997</v>
      </c>
      <c r="EJ70" s="43">
        <v>8.6527519226099994</v>
      </c>
      <c r="EK70" s="43">
        <f>VLOOKUP(D70,[1]SoilData!$G$15:$K$237,5,FALSE)</f>
        <v>336.15062674724533</v>
      </c>
      <c r="EL70" s="43">
        <f>VLOOKUP(D70,[1]SoilData!$G$245:$K$451,5,FALSE)</f>
        <v>250.34352018995361</v>
      </c>
      <c r="EM70" s="43">
        <f>VLOOKUP(D70,[1]SoilData!$G$15:$M$238,7,FALSE)</f>
        <v>1.083</v>
      </c>
      <c r="EN70" s="43">
        <f>VLOOKUP(D70,[1]SoilData!$G$245:$M$454,7,FALSE)</f>
        <v>1.4670000000000001</v>
      </c>
      <c r="EO70" s="60">
        <f>EM70-EN70</f>
        <v>-0.38400000000000012</v>
      </c>
      <c r="EP70" s="44">
        <f>AVERAGE(DZ70:EA70)</f>
        <v>3.3820308898109737</v>
      </c>
      <c r="EQ70" s="44">
        <f>AVERAGE(DX70:DY70)</f>
        <v>6.4027201475334259</v>
      </c>
      <c r="ER70" s="43">
        <f>EQ70-EP70</f>
        <v>3.0206892577224522</v>
      </c>
      <c r="ES70" s="64">
        <f>IF(CU70&gt;0.000001,CU70*352,0)</f>
        <v>337.91999999999996</v>
      </c>
      <c r="ET70" s="64">
        <f>IF(DC70&gt;0.0001,DC70*682,0)</f>
        <v>196.416</v>
      </c>
      <c r="EU70" s="64">
        <f>CY70*795</f>
        <v>0</v>
      </c>
      <c r="EV70" s="64">
        <f>ES70+ET70+EU70</f>
        <v>534.33600000000001</v>
      </c>
      <c r="EW70" s="64">
        <f>IF(AA70="YES",3.5*18.2,0)</f>
        <v>63.699999999999996</v>
      </c>
      <c r="EX70" s="64">
        <f>EV70-EW70</f>
        <v>470.63600000000002</v>
      </c>
    </row>
    <row r="71" spans="1:154" ht="15" x14ac:dyDescent="0.2">
      <c r="A71" s="29" t="s">
        <v>556</v>
      </c>
      <c r="B71" s="29">
        <v>109</v>
      </c>
      <c r="C71" s="29" t="s">
        <v>1414</v>
      </c>
      <c r="D71" s="29" t="s">
        <v>1414</v>
      </c>
      <c r="E71" s="29" t="e">
        <f>VLOOKUP(D71,Harvest_2017_Formulae!$C$2:$D$968,2,FALSE)</f>
        <v>#N/A</v>
      </c>
      <c r="F71" s="29" t="s">
        <v>1310</v>
      </c>
      <c r="G71" s="29">
        <v>2</v>
      </c>
      <c r="H71" s="61" t="str">
        <f>IF(G71&lt;0.05,"Homefield",IF(G71&lt;0.5,"Midfield","outfield"))</f>
        <v>outfield</v>
      </c>
      <c r="I71" s="29" t="s">
        <v>557</v>
      </c>
      <c r="J71" s="61" t="s">
        <v>2233</v>
      </c>
      <c r="K71" s="61" t="s">
        <v>2233</v>
      </c>
      <c r="L71" s="67">
        <v>0</v>
      </c>
      <c r="O71" s="29" t="s">
        <v>547</v>
      </c>
      <c r="Q71" s="67">
        <v>0</v>
      </c>
      <c r="R71" s="29" t="s">
        <v>547</v>
      </c>
      <c r="U71" s="29" t="s">
        <v>547</v>
      </c>
      <c r="W71" s="29" t="s">
        <v>547</v>
      </c>
      <c r="Z71" s="29" t="s">
        <v>547</v>
      </c>
      <c r="AA71" s="61" t="s">
        <v>546</v>
      </c>
      <c r="AB71" s="29" t="s">
        <v>547</v>
      </c>
      <c r="AC71" s="67">
        <v>0</v>
      </c>
      <c r="AD71" s="29" t="s">
        <v>547</v>
      </c>
      <c r="AF71" s="29" t="s">
        <v>547</v>
      </c>
      <c r="AG71" s="29" t="s">
        <v>547</v>
      </c>
      <c r="AH71" s="29" t="s">
        <v>548</v>
      </c>
      <c r="AI71" s="29" t="s">
        <v>546</v>
      </c>
      <c r="AJ71" s="29" t="s">
        <v>547</v>
      </c>
      <c r="AK71" s="67">
        <v>0</v>
      </c>
      <c r="AL71" s="29" t="s">
        <v>547</v>
      </c>
      <c r="AO71" s="29" t="s">
        <v>547</v>
      </c>
      <c r="AP71" s="29" t="s">
        <v>547</v>
      </c>
      <c r="AQ71" s="4">
        <f>Q71+AK71</f>
        <v>0</v>
      </c>
      <c r="AR71" s="4">
        <f>L71+AC71</f>
        <v>0</v>
      </c>
      <c r="AS71" t="str">
        <f>AQ71&amp;AR71</f>
        <v>00</v>
      </c>
      <c r="AT71" s="49">
        <f>AQ71-AR71</f>
        <v>0</v>
      </c>
      <c r="AU71">
        <v>1</v>
      </c>
      <c r="AV71" s="29" t="s">
        <v>548</v>
      </c>
      <c r="AW71" s="29">
        <v>1</v>
      </c>
      <c r="AX71" s="29" t="s">
        <v>548</v>
      </c>
      <c r="AY71" s="29">
        <v>2</v>
      </c>
      <c r="AZ71" s="29">
        <v>2</v>
      </c>
      <c r="BA71" s="29" t="s">
        <v>548</v>
      </c>
      <c r="BB71" s="29" t="s">
        <v>569</v>
      </c>
      <c r="BC71" s="29">
        <v>1</v>
      </c>
      <c r="BD71" s="29">
        <f>AW71+AZ71</f>
        <v>3</v>
      </c>
      <c r="BE71" s="29">
        <f>BD71+BC71</f>
        <v>4</v>
      </c>
      <c r="BF71" s="29" t="s">
        <v>548</v>
      </c>
      <c r="BG71" s="29" t="s">
        <v>548</v>
      </c>
      <c r="BH71" s="29" t="s">
        <v>548</v>
      </c>
      <c r="BI71" s="29" t="s">
        <v>546</v>
      </c>
      <c r="BJ71" s="29" t="s">
        <v>548</v>
      </c>
      <c r="BK71" s="29" t="s">
        <v>546</v>
      </c>
      <c r="BL71" s="29">
        <v>1</v>
      </c>
      <c r="BM71" s="29" t="s">
        <v>562</v>
      </c>
      <c r="BN71" s="29">
        <v>2</v>
      </c>
      <c r="BO71" s="29" t="s">
        <v>562</v>
      </c>
      <c r="BP71" s="29">
        <v>1</v>
      </c>
      <c r="BQ71" s="29" t="s">
        <v>562</v>
      </c>
      <c r="BS71" s="29" t="s">
        <v>547</v>
      </c>
      <c r="BT71" s="29">
        <v>1</v>
      </c>
      <c r="BU71" s="29" t="s">
        <v>562</v>
      </c>
      <c r="BW71" s="29">
        <f>(BL71*1)+(BN71*0.1)+(BP71*0.01)+(BR71*0.1)+(BT71*0.3)+(BV71*0.4)</f>
        <v>1.51</v>
      </c>
      <c r="BX71" s="29" t="s">
        <v>2223</v>
      </c>
      <c r="BY71" s="29">
        <v>3</v>
      </c>
      <c r="BZ71" s="29">
        <v>2</v>
      </c>
      <c r="CA71" s="29">
        <v>4</v>
      </c>
      <c r="CB71" s="29">
        <v>9</v>
      </c>
      <c r="CC71" s="29">
        <v>0</v>
      </c>
      <c r="CD71" s="29">
        <v>0</v>
      </c>
      <c r="CE71" s="29">
        <v>1</v>
      </c>
      <c r="CG71" s="29">
        <f>(CC71*15)+(CD71*0.8)+(CE71*0.3)+((AW71+AZ71)*15)</f>
        <v>45.3</v>
      </c>
      <c r="CH71" s="29" t="s">
        <v>2220</v>
      </c>
      <c r="CI71" s="29">
        <f>(BL71*1)+(BN71*0.1)+(BP71*0.01)+(BR71*0.1)+(BT71*0.3)+(BV71*0.4)+(CC71*15)+(CD71*0.8)+(CE71*0.3)+((AW71+AZ71)*15)</f>
        <v>46.81</v>
      </c>
      <c r="CJ71" s="29" t="s">
        <v>546</v>
      </c>
      <c r="CK71" s="29" t="s">
        <v>547</v>
      </c>
      <c r="CL71" s="29" t="s">
        <v>548</v>
      </c>
      <c r="CM71" s="29" t="s">
        <v>550</v>
      </c>
      <c r="CN71" s="29">
        <v>0.25</v>
      </c>
      <c r="CO71" s="29">
        <v>1</v>
      </c>
      <c r="CP71" s="29">
        <v>0</v>
      </c>
      <c r="CQ71" s="29" t="s">
        <v>548</v>
      </c>
      <c r="CR71" s="29">
        <v>0.5</v>
      </c>
      <c r="CS71" s="29">
        <v>4</v>
      </c>
      <c r="CT71" s="29" t="s">
        <v>551</v>
      </c>
      <c r="CU71" s="30">
        <v>1.92</v>
      </c>
      <c r="CV71" s="29">
        <v>1.25</v>
      </c>
      <c r="CW71" s="29">
        <v>4</v>
      </c>
      <c r="CX71" s="29" t="s">
        <v>552</v>
      </c>
      <c r="CY71" s="62">
        <v>0.12825599999999998</v>
      </c>
      <c r="CZ71" s="29">
        <v>1.25</v>
      </c>
      <c r="DA71" s="29">
        <v>1.75</v>
      </c>
      <c r="DB71" s="29" t="s">
        <v>552</v>
      </c>
      <c r="DC71" s="62">
        <v>5.6111999999999995E-2</v>
      </c>
      <c r="DD71" s="29" t="s">
        <v>546</v>
      </c>
      <c r="DE71" s="29" t="s">
        <v>546</v>
      </c>
      <c r="DF71" s="29" t="s">
        <v>546</v>
      </c>
      <c r="DG71" s="29" t="s">
        <v>546</v>
      </c>
      <c r="DH71" s="29" t="s">
        <v>546</v>
      </c>
      <c r="DI71" s="29">
        <v>0</v>
      </c>
      <c r="DJ71" s="29">
        <v>3</v>
      </c>
      <c r="DK71" s="29" t="s">
        <v>1415</v>
      </c>
      <c r="DL71" s="29" t="s">
        <v>1416</v>
      </c>
      <c r="DM71" s="29">
        <v>-4.2571825981140137</v>
      </c>
      <c r="DN71" s="29">
        <v>35.525119781494141</v>
      </c>
      <c r="DO71" s="29">
        <v>1629.5999755859375</v>
      </c>
      <c r="DP71" s="29">
        <v>5</v>
      </c>
      <c r="DQ71" s="29">
        <v>1706031849</v>
      </c>
      <c r="DR71" s="29" t="s">
        <v>1417</v>
      </c>
      <c r="DS71" s="31">
        <v>42903.412905092591</v>
      </c>
      <c r="DT71" s="31">
        <v>42901.441331018519</v>
      </c>
      <c r="DU71" s="31">
        <v>42901.470023148147</v>
      </c>
      <c r="DV71" s="32">
        <v>42744</v>
      </c>
      <c r="EC71" s="29">
        <f>IF(EQ71&lt;EP71,"FALSEE",1)</f>
        <v>1</v>
      </c>
      <c r="EE71" s="29" t="s">
        <v>2171</v>
      </c>
      <c r="EF71" s="29">
        <v>1.52882194519</v>
      </c>
      <c r="EG71" s="29" t="str">
        <f>IF(EF71&lt;0.5,"Depression",IF(EF71&lt;2,"Very gentle",IF(EF71&lt;5,"Gentle",IF(EF71&lt;9,"Moderate",IF(EF71&lt;15,"Strong",IF(EF71&lt;30,"Steep",IF(EF71&lt;1,"Very steep")))))))</f>
        <v>Very gentle</v>
      </c>
      <c r="EH71" s="29" t="s">
        <v>2177</v>
      </c>
      <c r="EI71" s="29">
        <v>0.63450175523800001</v>
      </c>
      <c r="EJ71" s="43">
        <v>8.1430721283</v>
      </c>
      <c r="EK71" s="43"/>
      <c r="EL71" s="43"/>
      <c r="EM71" s="43"/>
      <c r="EN71" s="43"/>
      <c r="EO71" s="60"/>
      <c r="EP71" s="43"/>
      <c r="EQ71" s="43"/>
      <c r="ER71" s="43"/>
      <c r="ES71" s="64">
        <f>IF(CU71&gt;0.000001,CU71*352,0)</f>
        <v>675.83999999999992</v>
      </c>
      <c r="ET71" s="64">
        <f>IF(DC71&gt;0.0001,DC71*682,0)</f>
        <v>38.268383999999998</v>
      </c>
      <c r="EU71" s="64">
        <f>CY71*795</f>
        <v>101.96351999999999</v>
      </c>
      <c r="EV71" s="64">
        <f>ES71+ET71+EU71</f>
        <v>816.0719039999999</v>
      </c>
      <c r="EW71" s="64">
        <f>IF(AA71="YES",3.5*18.2,0)</f>
        <v>0</v>
      </c>
      <c r="EX71" s="64">
        <f>EV71-EW71</f>
        <v>816.0719039999999</v>
      </c>
    </row>
    <row r="72" spans="1:154" ht="15" x14ac:dyDescent="0.2">
      <c r="A72" s="29" t="s">
        <v>556</v>
      </c>
      <c r="B72" s="29">
        <v>196</v>
      </c>
      <c r="C72" s="29" t="s">
        <v>121</v>
      </c>
      <c r="D72" s="29" t="s">
        <v>121</v>
      </c>
      <c r="E72" s="29" t="str">
        <f>VLOOKUP(D72,Harvest_2017_Formulae!$C$2:$D$968,2,FALSE)</f>
        <v>ENDAGWE</v>
      </c>
      <c r="F72" s="29" t="s">
        <v>732</v>
      </c>
      <c r="G72" s="29">
        <v>0</v>
      </c>
      <c r="H72" s="61" t="str">
        <f>IF(G72&lt;0.05,"Homefield",IF(G72&lt;0.5,"Midfield","outfield"))</f>
        <v>Homefield</v>
      </c>
      <c r="I72" s="29" t="s">
        <v>557</v>
      </c>
      <c r="J72" s="61" t="s">
        <v>2233</v>
      </c>
      <c r="K72" s="61" t="s">
        <v>2233</v>
      </c>
      <c r="L72" s="67">
        <v>0</v>
      </c>
      <c r="O72" s="29" t="s">
        <v>547</v>
      </c>
      <c r="Q72" s="67">
        <v>0</v>
      </c>
      <c r="R72" s="29" t="s">
        <v>547</v>
      </c>
      <c r="U72" s="29" t="s">
        <v>547</v>
      </c>
      <c r="W72" s="29" t="s">
        <v>547</v>
      </c>
      <c r="Z72" s="29" t="s">
        <v>547</v>
      </c>
      <c r="AA72" s="61" t="s">
        <v>546</v>
      </c>
      <c r="AB72" s="29" t="s">
        <v>547</v>
      </c>
      <c r="AC72" s="67">
        <v>0</v>
      </c>
      <c r="AD72" s="29" t="s">
        <v>547</v>
      </c>
      <c r="AF72" s="29" t="s">
        <v>547</v>
      </c>
      <c r="AG72" s="29" t="s">
        <v>547</v>
      </c>
      <c r="AH72" s="29" t="s">
        <v>548</v>
      </c>
      <c r="AI72" s="29" t="s">
        <v>546</v>
      </c>
      <c r="AJ72" s="29" t="s">
        <v>547</v>
      </c>
      <c r="AK72" s="67">
        <v>0</v>
      </c>
      <c r="AL72" s="29" t="s">
        <v>547</v>
      </c>
      <c r="AO72" s="29" t="s">
        <v>547</v>
      </c>
      <c r="AP72" s="29" t="s">
        <v>547</v>
      </c>
      <c r="AQ72" s="4">
        <f>Q72+AK72</f>
        <v>0</v>
      </c>
      <c r="AR72" s="4">
        <f>L72+AC72</f>
        <v>0</v>
      </c>
      <c r="AS72" t="str">
        <f>AQ72&amp;AR72</f>
        <v>00</v>
      </c>
      <c r="AT72" s="49">
        <f>AQ72-AR72</f>
        <v>0</v>
      </c>
      <c r="AU72">
        <v>1</v>
      </c>
      <c r="AV72" s="29" t="s">
        <v>548</v>
      </c>
      <c r="AW72" s="29">
        <v>0.25</v>
      </c>
      <c r="AX72" s="29" t="s">
        <v>548</v>
      </c>
      <c r="AY72" s="29">
        <v>2</v>
      </c>
      <c r="AZ72" s="29">
        <v>7.25</v>
      </c>
      <c r="BA72" s="29" t="s">
        <v>546</v>
      </c>
      <c r="BB72" s="29" t="s">
        <v>547</v>
      </c>
      <c r="BD72" s="29">
        <f>AW72+AZ72</f>
        <v>7.5</v>
      </c>
      <c r="BE72" s="29">
        <f>BD72+BC72</f>
        <v>7.5</v>
      </c>
      <c r="BF72" s="29" t="s">
        <v>548</v>
      </c>
      <c r="BG72" s="29" t="s">
        <v>548</v>
      </c>
      <c r="BH72" s="29" t="s">
        <v>548</v>
      </c>
      <c r="BI72" s="29" t="s">
        <v>546</v>
      </c>
      <c r="BJ72" s="29" t="s">
        <v>548</v>
      </c>
      <c r="BK72" s="29" t="s">
        <v>546</v>
      </c>
      <c r="BL72" s="29">
        <v>1</v>
      </c>
      <c r="BM72" s="29" t="s">
        <v>562</v>
      </c>
      <c r="BN72" s="29">
        <v>5</v>
      </c>
      <c r="BO72" s="29" t="s">
        <v>549</v>
      </c>
      <c r="BP72" s="29">
        <v>10</v>
      </c>
      <c r="BQ72" s="29" t="s">
        <v>549</v>
      </c>
      <c r="BS72" s="29" t="s">
        <v>547</v>
      </c>
      <c r="BT72" s="29">
        <v>1</v>
      </c>
      <c r="BU72" s="29" t="s">
        <v>549</v>
      </c>
      <c r="BW72" s="29">
        <f>(BL72*1)+(BN72*0.1)+(BP72*0.01)+(BR72*0.1)+(BT72*0.3)+(BV72*0.4)</f>
        <v>1.9000000000000001</v>
      </c>
      <c r="BX72" s="29" t="s">
        <v>2219</v>
      </c>
      <c r="BY72" s="29">
        <v>1</v>
      </c>
      <c r="BZ72" s="29">
        <v>1</v>
      </c>
      <c r="CA72" s="29">
        <v>3</v>
      </c>
      <c r="CB72" s="29">
        <v>5</v>
      </c>
      <c r="CC72" s="29">
        <v>0</v>
      </c>
      <c r="CD72" s="29">
        <v>0</v>
      </c>
      <c r="CE72" s="29">
        <v>0</v>
      </c>
      <c r="CF72" s="29" t="s">
        <v>547</v>
      </c>
      <c r="CG72" s="29">
        <f>(CC72*15)+(CD72*0.8)+(CE72*0.3)+((AW72+AZ72)*15)</f>
        <v>112.5</v>
      </c>
      <c r="CH72" s="29" t="s">
        <v>2221</v>
      </c>
      <c r="CI72" s="29">
        <f>(BL72*1)+(BN72*0.1)+(BP72*0.01)+(BR72*0.1)+(BT72*0.3)+(BV72*0.4)+(CC72*15)+(CD72*0.8)+(CE72*0.3)+((AW72+AZ72)*15)</f>
        <v>114.4</v>
      </c>
      <c r="CJ72" s="29" t="s">
        <v>546</v>
      </c>
      <c r="CK72" s="29" t="s">
        <v>547</v>
      </c>
      <c r="CL72" s="29" t="s">
        <v>548</v>
      </c>
      <c r="CM72" s="29" t="s">
        <v>550</v>
      </c>
      <c r="CN72" s="29">
        <v>0.25</v>
      </c>
      <c r="CO72" s="29">
        <v>0</v>
      </c>
      <c r="CP72" s="29">
        <v>0</v>
      </c>
      <c r="CQ72" s="29" t="s">
        <v>548</v>
      </c>
      <c r="CR72" s="29">
        <v>0.25</v>
      </c>
      <c r="CS72" s="29">
        <v>4</v>
      </c>
      <c r="CT72" s="29" t="s">
        <v>551</v>
      </c>
      <c r="CU72" s="30">
        <v>3.84</v>
      </c>
      <c r="CW72" s="29">
        <v>999</v>
      </c>
      <c r="CX72" s="29" t="s">
        <v>551</v>
      </c>
      <c r="CY72" s="62"/>
      <c r="CZ72" s="29">
        <v>999</v>
      </c>
      <c r="DA72" s="29">
        <v>999</v>
      </c>
      <c r="DB72" s="29" t="s">
        <v>551</v>
      </c>
      <c r="DC72" s="62"/>
      <c r="DD72" s="29" t="s">
        <v>546</v>
      </c>
      <c r="DE72" s="29" t="s">
        <v>546</v>
      </c>
      <c r="DF72" s="29" t="s">
        <v>548</v>
      </c>
      <c r="DG72" s="29" t="s">
        <v>546</v>
      </c>
      <c r="DH72" s="29" t="s">
        <v>546</v>
      </c>
      <c r="DI72" s="29">
        <v>1</v>
      </c>
      <c r="DJ72" s="29">
        <v>3</v>
      </c>
      <c r="DK72" s="29" t="s">
        <v>743</v>
      </c>
      <c r="DL72" s="29" t="s">
        <v>744</v>
      </c>
      <c r="DM72" s="29">
        <v>-4.3547811508178711</v>
      </c>
      <c r="DN72" s="29">
        <v>35.648090362548828</v>
      </c>
      <c r="DO72" s="29">
        <v>1588.5</v>
      </c>
      <c r="DP72" s="29">
        <v>5</v>
      </c>
      <c r="DQ72" s="29">
        <v>1706031849</v>
      </c>
      <c r="DR72" s="29" t="s">
        <v>745</v>
      </c>
      <c r="DS72" s="31">
        <v>42948.907476851848</v>
      </c>
      <c r="DT72" s="31">
        <v>42934.434548611112</v>
      </c>
      <c r="DU72" s="31">
        <v>42934.441377314812</v>
      </c>
      <c r="DV72" s="32">
        <v>42770</v>
      </c>
      <c r="DX72" s="44">
        <v>1.955993265993266</v>
      </c>
      <c r="DY72" s="44">
        <v>2.7487878787878794</v>
      </c>
      <c r="DZ72" s="44">
        <v>3.4294871794871797</v>
      </c>
      <c r="EA72" s="44">
        <v>0.83679487179487189</v>
      </c>
      <c r="EC72" s="29">
        <f>IF(EQ72&lt;EP72,"FALSEE",1)</f>
        <v>1</v>
      </c>
      <c r="EE72" s="29" t="s">
        <v>2183</v>
      </c>
      <c r="EF72" s="29">
        <v>4.7364945411699999</v>
      </c>
      <c r="EG72" s="29" t="str">
        <f>IF(EF72&lt;0.5,"Depression",IF(EF72&lt;2,"Very gentle",IF(EF72&lt;5,"Gentle",IF(EF72&lt;9,"Moderate",IF(EF72&lt;15,"Strong",IF(EF72&lt;30,"Steep",IF(EF72&lt;1,"Very steep")))))))</f>
        <v>Gentle</v>
      </c>
      <c r="EH72" s="29" t="s">
        <v>2182</v>
      </c>
      <c r="EI72" s="29">
        <v>1.26899504662</v>
      </c>
      <c r="EJ72" s="43">
        <v>7.4302625656099996</v>
      </c>
      <c r="EK72" s="43">
        <f>VLOOKUP(D72,[1]SoilData!$G$15:$K$237,5,FALSE)</f>
        <v>39.794211970915427</v>
      </c>
      <c r="EL72" s="43">
        <f>VLOOKUP(D72,[1]SoilData!$G$245:$K$451,5,FALSE)</f>
        <v>43.624596715943625</v>
      </c>
      <c r="EM72" s="43">
        <f>VLOOKUP(D72,[1]SoilData!$G$15:$M$238,7,FALSE)</f>
        <v>0.71799999999999997</v>
      </c>
      <c r="EN72" s="43">
        <f>VLOOKUP(D72,[1]SoilData!$G$245:$M$454,7,FALSE)</f>
        <v>0.70299999999999996</v>
      </c>
      <c r="EO72" s="60">
        <f>EM72-EN72</f>
        <v>1.5000000000000013E-2</v>
      </c>
      <c r="EP72" s="44">
        <f>AVERAGE(DZ72:EA72)</f>
        <v>2.1331410256410259</v>
      </c>
      <c r="EQ72" s="44">
        <f>AVERAGE(DX72:DY72)</f>
        <v>2.3523905723905729</v>
      </c>
      <c r="ER72" s="43">
        <f>EQ72-EP72</f>
        <v>0.219249546749547</v>
      </c>
      <c r="ES72" s="64">
        <f>IF(CU72&gt;0.000001,CU72*352,0)</f>
        <v>1351.6799999999998</v>
      </c>
      <c r="ET72" s="64">
        <f>IF(DC72&gt;0.0001,DC72*682,0)</f>
        <v>0</v>
      </c>
      <c r="EU72" s="64">
        <f>CY72*795</f>
        <v>0</v>
      </c>
      <c r="EV72" s="64">
        <f>ES72+ET72+EU72</f>
        <v>1351.6799999999998</v>
      </c>
      <c r="EW72" s="64">
        <f>IF(AA72="YES",3.5*18.2,0)</f>
        <v>0</v>
      </c>
      <c r="EX72" s="64">
        <f>EV72-EW72</f>
        <v>1351.6799999999998</v>
      </c>
    </row>
    <row r="73" spans="1:154" ht="15" x14ac:dyDescent="0.2">
      <c r="A73" s="29" t="s">
        <v>556</v>
      </c>
      <c r="B73" s="29">
        <v>174</v>
      </c>
      <c r="C73" s="29" t="s">
        <v>331</v>
      </c>
      <c r="D73" s="29" t="s">
        <v>331</v>
      </c>
      <c r="E73" s="29" t="str">
        <f>VLOOKUP(D73,Harvest_2017_Formulae!$C$2:$D$968,2,FALSE)</f>
        <v>DURU</v>
      </c>
      <c r="F73" s="29" t="s">
        <v>645</v>
      </c>
      <c r="G73" s="29">
        <v>0</v>
      </c>
      <c r="H73" s="61" t="str">
        <f>IF(G73&lt;0.05,"Homefield",IF(G73&lt;0.5,"Midfield","outfield"))</f>
        <v>Homefield</v>
      </c>
      <c r="I73" s="29" t="s">
        <v>557</v>
      </c>
      <c r="J73" s="61" t="s">
        <v>2233</v>
      </c>
      <c r="K73" s="61" t="s">
        <v>2233</v>
      </c>
      <c r="L73" s="67">
        <v>0</v>
      </c>
      <c r="O73" s="29" t="s">
        <v>547</v>
      </c>
      <c r="Q73" s="67">
        <v>0</v>
      </c>
      <c r="R73" s="29" t="s">
        <v>547</v>
      </c>
      <c r="U73" s="29" t="s">
        <v>547</v>
      </c>
      <c r="W73" s="29" t="s">
        <v>547</v>
      </c>
      <c r="Z73" s="29" t="s">
        <v>547</v>
      </c>
      <c r="AA73" s="61" t="s">
        <v>548</v>
      </c>
      <c r="AB73" s="29" t="s">
        <v>568</v>
      </c>
      <c r="AC73" s="67">
        <v>0</v>
      </c>
      <c r="AD73" s="29" t="s">
        <v>547</v>
      </c>
      <c r="AF73" s="29" t="s">
        <v>547</v>
      </c>
      <c r="AG73" s="29" t="s">
        <v>547</v>
      </c>
      <c r="AH73" s="29" t="s">
        <v>546</v>
      </c>
      <c r="AI73" s="29" t="s">
        <v>546</v>
      </c>
      <c r="AJ73" s="29" t="s">
        <v>547</v>
      </c>
      <c r="AK73" s="67">
        <v>0</v>
      </c>
      <c r="AL73" s="29" t="s">
        <v>547</v>
      </c>
      <c r="AO73" s="29" t="s">
        <v>547</v>
      </c>
      <c r="AP73" s="29" t="s">
        <v>547</v>
      </c>
      <c r="AQ73" s="4">
        <f>Q73+AK73</f>
        <v>0</v>
      </c>
      <c r="AR73" s="4">
        <f>L73+AC73</f>
        <v>0</v>
      </c>
      <c r="AS73" t="str">
        <f>AQ73&amp;AR73</f>
        <v>00</v>
      </c>
      <c r="AT73" s="49">
        <f>AQ73-AR73</f>
        <v>0</v>
      </c>
      <c r="AU73">
        <v>1</v>
      </c>
      <c r="AV73" s="29" t="s">
        <v>548</v>
      </c>
      <c r="AW73" s="29">
        <v>2.5</v>
      </c>
      <c r="AX73" s="29" t="s">
        <v>548</v>
      </c>
      <c r="AY73" s="29">
        <v>1</v>
      </c>
      <c r="AZ73" s="29">
        <v>2.5</v>
      </c>
      <c r="BA73" s="29" t="s">
        <v>546</v>
      </c>
      <c r="BB73" s="29" t="s">
        <v>547</v>
      </c>
      <c r="BD73" s="29">
        <f>AW73+AZ73</f>
        <v>5</v>
      </c>
      <c r="BE73" s="29">
        <f>BD73+BC73</f>
        <v>5</v>
      </c>
      <c r="BF73" s="29" t="s">
        <v>548</v>
      </c>
      <c r="BG73" s="29" t="s">
        <v>546</v>
      </c>
      <c r="BH73" s="29" t="s">
        <v>546</v>
      </c>
      <c r="BI73" s="29" t="s">
        <v>546</v>
      </c>
      <c r="BJ73" s="29" t="s">
        <v>546</v>
      </c>
      <c r="BK73" s="29" t="s">
        <v>546</v>
      </c>
      <c r="BL73" s="29">
        <v>2</v>
      </c>
      <c r="BM73" s="29" t="s">
        <v>562</v>
      </c>
      <c r="BO73" s="29" t="s">
        <v>547</v>
      </c>
      <c r="BQ73" s="29" t="s">
        <v>547</v>
      </c>
      <c r="BS73" s="29" t="s">
        <v>547</v>
      </c>
      <c r="BU73" s="29" t="s">
        <v>547</v>
      </c>
      <c r="BW73" s="29">
        <f>(BL73*1)+(BN73*0.1)+(BP73*0.01)+(BR73*0.1)+(BT73*0.3)+(BV73*0.4)</f>
        <v>2</v>
      </c>
      <c r="BX73" s="29" t="s">
        <v>2219</v>
      </c>
      <c r="BY73" s="29">
        <v>1</v>
      </c>
      <c r="BZ73" s="29">
        <v>1</v>
      </c>
      <c r="CA73" s="29">
        <v>2</v>
      </c>
      <c r="CB73" s="29">
        <v>4</v>
      </c>
      <c r="CC73" s="29">
        <v>0</v>
      </c>
      <c r="CD73" s="29">
        <v>0</v>
      </c>
      <c r="CE73" s="29">
        <v>0</v>
      </c>
      <c r="CF73" s="29" t="s">
        <v>547</v>
      </c>
      <c r="CG73" s="29">
        <f>(CC73*15)+(CD73*0.8)+(CE73*0.3)+((AW73+AZ73)*15)</f>
        <v>75</v>
      </c>
      <c r="CH73" s="29" t="s">
        <v>2221</v>
      </c>
      <c r="CI73" s="29">
        <f>(BL73*1)+(BN73*0.1)+(BP73*0.01)+(BR73*0.1)+(BT73*0.3)+(BV73*0.4)+(CC73*15)+(CD73*0.8)+(CE73*0.3)+((AW73+AZ73)*15)</f>
        <v>77</v>
      </c>
      <c r="CJ73" s="29" t="s">
        <v>546</v>
      </c>
      <c r="CK73" s="29" t="s">
        <v>547</v>
      </c>
      <c r="CL73" s="29" t="s">
        <v>546</v>
      </c>
      <c r="CM73" s="29" t="s">
        <v>547</v>
      </c>
      <c r="CN73" s="29">
        <v>0.25</v>
      </c>
      <c r="CO73" s="29">
        <v>2</v>
      </c>
      <c r="CQ73" s="29" t="s">
        <v>548</v>
      </c>
      <c r="CR73" s="29">
        <v>2.25</v>
      </c>
      <c r="CS73" s="29">
        <v>17</v>
      </c>
      <c r="CT73" s="29" t="s">
        <v>551</v>
      </c>
      <c r="CU73" s="30">
        <v>1.8133333333333335</v>
      </c>
      <c r="CW73" s="29">
        <v>999</v>
      </c>
      <c r="CX73" s="29" t="s">
        <v>551</v>
      </c>
      <c r="CY73" s="62"/>
      <c r="CZ73" s="29">
        <v>2.25</v>
      </c>
      <c r="DA73" s="29">
        <v>4</v>
      </c>
      <c r="DB73" s="29" t="s">
        <v>551</v>
      </c>
      <c r="DC73" s="62">
        <v>0.42666666666666664</v>
      </c>
      <c r="DD73" s="29" t="s">
        <v>548</v>
      </c>
      <c r="DE73" s="29" t="s">
        <v>548</v>
      </c>
      <c r="DF73" s="29" t="s">
        <v>548</v>
      </c>
      <c r="DG73" s="29" t="s">
        <v>548</v>
      </c>
      <c r="DH73" s="29" t="s">
        <v>548</v>
      </c>
      <c r="DI73" s="29">
        <v>5</v>
      </c>
      <c r="DJ73" s="29">
        <v>4</v>
      </c>
      <c r="DK73" s="29" t="s">
        <v>673</v>
      </c>
      <c r="DL73" s="29" t="s">
        <v>674</v>
      </c>
      <c r="DM73" s="29">
        <v>-4.3184409141540527</v>
      </c>
      <c r="DN73" s="29">
        <v>35.595367431640625</v>
      </c>
      <c r="DO73" s="29">
        <v>1528.4000244140625</v>
      </c>
      <c r="DP73" s="29">
        <v>5</v>
      </c>
      <c r="DQ73" s="29">
        <v>1706031849</v>
      </c>
      <c r="DR73" s="29" t="s">
        <v>675</v>
      </c>
      <c r="DS73" s="31">
        <v>42921.432743055557</v>
      </c>
      <c r="DT73" s="31">
        <v>42920.580439814818</v>
      </c>
      <c r="DU73" s="31">
        <v>42920.591828703706</v>
      </c>
      <c r="DV73" s="32">
        <v>42770</v>
      </c>
      <c r="DX73" s="44">
        <v>5.7480888888888879</v>
      </c>
      <c r="DY73" s="44">
        <v>6.6156000000000006</v>
      </c>
      <c r="DZ73" s="44">
        <v>3.7018222222222219</v>
      </c>
      <c r="EA73" s="44">
        <v>4.2647111111111116</v>
      </c>
      <c r="EC73" s="29">
        <f>IF(EQ73&lt;EP73,"FALSEE",1)</f>
        <v>1</v>
      </c>
      <c r="EE73" s="29" t="s">
        <v>2171</v>
      </c>
      <c r="EF73" s="29">
        <v>2.1943719387099998</v>
      </c>
      <c r="EG73" s="29" t="str">
        <f>IF(EF73&lt;0.5,"Depression",IF(EF73&lt;2,"Very gentle",IF(EF73&lt;5,"Gentle",IF(EF73&lt;9,"Moderate",IF(EF73&lt;15,"Strong",IF(EF73&lt;30,"Steep",IF(EF73&lt;1,"Very steep")))))))</f>
        <v>Gentle</v>
      </c>
      <c r="EH73" s="29" t="s">
        <v>2172</v>
      </c>
      <c r="EI73" s="29">
        <v>-0.54384291171999999</v>
      </c>
      <c r="EJ73" s="43">
        <v>10.636289596599999</v>
      </c>
      <c r="EK73" s="43">
        <f>VLOOKUP(D73,[1]SoilData!$G$15:$K$237,5,FALSE)</f>
        <v>1.8910316778667779</v>
      </c>
      <c r="EL73" s="43"/>
      <c r="EM73" s="43">
        <f>VLOOKUP(D73,[1]SoilData!$G$15:$M$238,7,FALSE)</f>
        <v>0.622</v>
      </c>
      <c r="EN73" s="43"/>
      <c r="EO73" s="60"/>
      <c r="EP73" s="44">
        <f>AVERAGE(DZ73:EA73)</f>
        <v>3.9832666666666667</v>
      </c>
      <c r="EQ73" s="44">
        <f>AVERAGE(DX73:DY73)</f>
        <v>6.1818444444444438</v>
      </c>
      <c r="ER73" s="43">
        <f>EQ73-EP73</f>
        <v>2.1985777777777771</v>
      </c>
      <c r="ES73" s="64">
        <f>IF(CU73&gt;0.000001,CU73*352,0)</f>
        <v>638.29333333333341</v>
      </c>
      <c r="ET73" s="64">
        <f>IF(DC73&gt;0.0001,DC73*682,0)</f>
        <v>290.98666666666662</v>
      </c>
      <c r="EU73" s="64">
        <f>CY73*795</f>
        <v>0</v>
      </c>
      <c r="EV73" s="64">
        <f>ES73+ET73+EU73</f>
        <v>929.28</v>
      </c>
      <c r="EW73" s="64">
        <f>IF(AA73="YES",3.5*18.2,0)</f>
        <v>63.699999999999996</v>
      </c>
      <c r="EX73" s="64">
        <f>EV73-EW73</f>
        <v>865.57999999999993</v>
      </c>
    </row>
    <row r="74" spans="1:154" s="34" customFormat="1" ht="15" x14ac:dyDescent="0.2">
      <c r="A74" s="29" t="s">
        <v>644</v>
      </c>
      <c r="B74" s="29">
        <v>164</v>
      </c>
      <c r="C74" s="29" t="s">
        <v>326</v>
      </c>
      <c r="D74" s="29" t="s">
        <v>326</v>
      </c>
      <c r="E74" s="29" t="str">
        <f>VLOOKUP(D74,Harvest_2017_Formulae!$C$2:$D$968,2,FALSE)</f>
        <v>DURU</v>
      </c>
      <c r="F74" s="29" t="s">
        <v>645</v>
      </c>
      <c r="G74" s="29">
        <v>0</v>
      </c>
      <c r="H74" s="61" t="str">
        <f>IF(G74&lt;0.05,"Homefield",IF(G74&lt;0.5,"Midfield","outfield"))</f>
        <v>Homefield</v>
      </c>
      <c r="I74" s="29" t="s">
        <v>557</v>
      </c>
      <c r="J74" s="61" t="s">
        <v>2233</v>
      </c>
      <c r="K74" s="61" t="s">
        <v>2233</v>
      </c>
      <c r="L74" s="67">
        <v>0</v>
      </c>
      <c r="M74" s="29"/>
      <c r="N74" s="29"/>
      <c r="O74" s="29" t="s">
        <v>547</v>
      </c>
      <c r="P74" s="29"/>
      <c r="Q74" s="67">
        <v>0</v>
      </c>
      <c r="R74" s="29" t="s">
        <v>547</v>
      </c>
      <c r="S74" s="29"/>
      <c r="T74" s="29"/>
      <c r="U74" s="29" t="s">
        <v>547</v>
      </c>
      <c r="V74" s="29"/>
      <c r="W74" s="29" t="s">
        <v>547</v>
      </c>
      <c r="X74" s="29"/>
      <c r="Y74" s="29"/>
      <c r="Z74" s="29" t="s">
        <v>547</v>
      </c>
      <c r="AA74" s="61" t="s">
        <v>548</v>
      </c>
      <c r="AB74" s="29" t="s">
        <v>568</v>
      </c>
      <c r="AC74" s="67">
        <v>0</v>
      </c>
      <c r="AD74" s="29" t="s">
        <v>547</v>
      </c>
      <c r="AE74" s="29"/>
      <c r="AF74" s="29" t="s">
        <v>547</v>
      </c>
      <c r="AG74" s="29" t="s">
        <v>547</v>
      </c>
      <c r="AH74" s="29" t="s">
        <v>548</v>
      </c>
      <c r="AI74" s="29" t="s">
        <v>546</v>
      </c>
      <c r="AJ74" s="29" t="s">
        <v>547</v>
      </c>
      <c r="AK74" s="67">
        <v>0</v>
      </c>
      <c r="AL74" s="29" t="s">
        <v>547</v>
      </c>
      <c r="AM74" s="29"/>
      <c r="AN74" s="29"/>
      <c r="AO74" s="29" t="s">
        <v>547</v>
      </c>
      <c r="AP74" s="29" t="s">
        <v>547</v>
      </c>
      <c r="AQ74" s="4">
        <f>Q74+AK74</f>
        <v>0</v>
      </c>
      <c r="AR74" s="4">
        <f>L74+AC74</f>
        <v>0</v>
      </c>
      <c r="AS74" t="str">
        <f>AQ74&amp;AR74</f>
        <v>00</v>
      </c>
      <c r="AT74" s="49">
        <f>AQ74-AR74</f>
        <v>0</v>
      </c>
      <c r="AU74">
        <v>1</v>
      </c>
      <c r="AV74" s="29" t="s">
        <v>548</v>
      </c>
      <c r="AW74" s="29">
        <v>0.25</v>
      </c>
      <c r="AX74" s="29" t="s">
        <v>548</v>
      </c>
      <c r="AY74" s="29">
        <v>1</v>
      </c>
      <c r="AZ74" s="29">
        <v>0.75</v>
      </c>
      <c r="BA74" s="29" t="s">
        <v>548</v>
      </c>
      <c r="BB74" s="29" t="s">
        <v>584</v>
      </c>
      <c r="BC74" s="29">
        <v>0.5</v>
      </c>
      <c r="BD74" s="29">
        <f>AW74+AZ74</f>
        <v>1</v>
      </c>
      <c r="BE74" s="29">
        <f>BD74+BC74</f>
        <v>1.5</v>
      </c>
      <c r="BF74" s="29" t="s">
        <v>548</v>
      </c>
      <c r="BG74" s="29" t="s">
        <v>546</v>
      </c>
      <c r="BH74" s="29" t="s">
        <v>548</v>
      </c>
      <c r="BI74" s="29" t="s">
        <v>546</v>
      </c>
      <c r="BJ74" s="29" t="s">
        <v>546</v>
      </c>
      <c r="BK74" s="29" t="s">
        <v>546</v>
      </c>
      <c r="BL74" s="29">
        <v>2</v>
      </c>
      <c r="BM74" s="29" t="s">
        <v>562</v>
      </c>
      <c r="BN74" s="29"/>
      <c r="BO74" s="29" t="s">
        <v>547</v>
      </c>
      <c r="BP74" s="29">
        <v>7</v>
      </c>
      <c r="BQ74" s="29" t="s">
        <v>580</v>
      </c>
      <c r="BR74" s="29"/>
      <c r="BS74" s="29" t="s">
        <v>547</v>
      </c>
      <c r="BT74" s="29"/>
      <c r="BU74" s="29" t="s">
        <v>547</v>
      </c>
      <c r="BV74" s="29"/>
      <c r="BW74" s="29">
        <f>(BL74*1)+(BN74*0.1)+(BP74*0.01)+(BR74*0.1)+(BT74*0.3)+(BV74*0.4)</f>
        <v>2.0699999999999998</v>
      </c>
      <c r="BX74" s="29" t="s">
        <v>2219</v>
      </c>
      <c r="BY74" s="29">
        <v>2</v>
      </c>
      <c r="BZ74" s="29">
        <v>1</v>
      </c>
      <c r="CA74" s="29">
        <v>5</v>
      </c>
      <c r="CB74" s="29">
        <v>8</v>
      </c>
      <c r="CC74" s="29">
        <v>0</v>
      </c>
      <c r="CD74" s="29">
        <v>0</v>
      </c>
      <c r="CE74" s="29">
        <v>0</v>
      </c>
      <c r="CF74" s="29" t="s">
        <v>547</v>
      </c>
      <c r="CG74" s="29">
        <f>(CC74*15)+(CD74*0.8)+(CE74*0.3)+((AW74+AZ74)*15)</f>
        <v>15</v>
      </c>
      <c r="CH74" s="29" t="s">
        <v>2219</v>
      </c>
      <c r="CI74" s="29">
        <f>(BL74*1)+(BN74*0.1)+(BP74*0.01)+(BR74*0.1)+(BT74*0.3)+(BV74*0.4)+(CC74*15)+(CD74*0.8)+(CE74*0.3)+((AW74+AZ74)*15)</f>
        <v>17.07</v>
      </c>
      <c r="CJ74" s="29" t="s">
        <v>546</v>
      </c>
      <c r="CK74" s="29" t="s">
        <v>547</v>
      </c>
      <c r="CL74" s="29" t="s">
        <v>546</v>
      </c>
      <c r="CM74" s="29" t="s">
        <v>547</v>
      </c>
      <c r="CN74" s="29">
        <v>0.25</v>
      </c>
      <c r="CO74" s="29">
        <v>0.25</v>
      </c>
      <c r="CP74" s="29"/>
      <c r="CQ74" s="29" t="s">
        <v>548</v>
      </c>
      <c r="CR74" s="29">
        <v>0.5</v>
      </c>
      <c r="CS74" s="29">
        <v>1</v>
      </c>
      <c r="CT74" s="29" t="s">
        <v>551</v>
      </c>
      <c r="CU74" s="30">
        <v>0.48</v>
      </c>
      <c r="CV74" s="29"/>
      <c r="CW74" s="29">
        <v>999</v>
      </c>
      <c r="CX74" s="29" t="s">
        <v>551</v>
      </c>
      <c r="CY74" s="62"/>
      <c r="CZ74" s="29">
        <v>0.25</v>
      </c>
      <c r="DA74" s="29">
        <v>0</v>
      </c>
      <c r="DB74" s="29" t="s">
        <v>551</v>
      </c>
      <c r="DC74" s="62">
        <v>0</v>
      </c>
      <c r="DD74" s="29" t="s">
        <v>548</v>
      </c>
      <c r="DE74" s="29" t="s">
        <v>546</v>
      </c>
      <c r="DF74" s="29" t="s">
        <v>546</v>
      </c>
      <c r="DG74" s="29" t="s">
        <v>546</v>
      </c>
      <c r="DH74" s="29" t="s">
        <v>546</v>
      </c>
      <c r="DI74" s="29">
        <v>1</v>
      </c>
      <c r="DJ74" s="29">
        <v>2</v>
      </c>
      <c r="DK74" s="29" t="s">
        <v>646</v>
      </c>
      <c r="DL74" s="29" t="s">
        <v>647</v>
      </c>
      <c r="DM74" s="29">
        <v>-4.3194785118103027</v>
      </c>
      <c r="DN74" s="29">
        <v>35.6044921875</v>
      </c>
      <c r="DO74" s="29">
        <v>1588.4000244140625</v>
      </c>
      <c r="DP74" s="29">
        <v>5</v>
      </c>
      <c r="DQ74" s="29">
        <v>1706031849</v>
      </c>
      <c r="DR74" s="29" t="s">
        <v>648</v>
      </c>
      <c r="DS74" s="31">
        <v>42921.432546296295</v>
      </c>
      <c r="DT74" s="31">
        <v>42919.514537037037</v>
      </c>
      <c r="DU74" s="31">
        <v>42919.533020833333</v>
      </c>
      <c r="DV74" s="32">
        <v>42764</v>
      </c>
      <c r="DW74" s="29"/>
      <c r="DX74" s="44">
        <v>5.2553019824804066</v>
      </c>
      <c r="DY74" s="44">
        <v>6.8591516828031365</v>
      </c>
      <c r="DZ74" s="44">
        <v>3.4929691101890277</v>
      </c>
      <c r="EA74" s="44">
        <v>2.3709082526509917</v>
      </c>
      <c r="EB74" s="29"/>
      <c r="EC74" s="29">
        <f>IF(EQ74&lt;EP74,"FALSEE",1)</f>
        <v>1</v>
      </c>
      <c r="ED74" s="29"/>
      <c r="EE74" s="29" t="s">
        <v>2174</v>
      </c>
      <c r="EF74" s="29">
        <v>12.976887702899999</v>
      </c>
      <c r="EG74" s="29" t="str">
        <f>IF(EF74&lt;0.5,"Depression",IF(EF74&lt;2,"Very gentle",IF(EF74&lt;5,"Gentle",IF(EF74&lt;9,"Moderate",IF(EF74&lt;15,"Strong",IF(EF74&lt;30,"Steep",IF(EF74&lt;1,"Very steep")))))))</f>
        <v>Strong</v>
      </c>
      <c r="EH74" s="29" t="s">
        <v>2178</v>
      </c>
      <c r="EI74" s="29">
        <v>-0.27191722393000001</v>
      </c>
      <c r="EJ74" s="43">
        <v>7.2643718719499999</v>
      </c>
      <c r="EK74" s="43">
        <f>VLOOKUP(D74,[1]SoilData!$G$15:$K$237,5,FALSE)</f>
        <v>413.14252088335769</v>
      </c>
      <c r="EL74" s="43"/>
      <c r="EM74" s="43">
        <f>VLOOKUP(D74,[1]SoilData!$G$15:$M$238,7,FALSE)</f>
        <v>1.516</v>
      </c>
      <c r="EN74" s="43"/>
      <c r="EO74" s="60"/>
      <c r="EP74" s="44">
        <f>AVERAGE(DZ74:EA74)</f>
        <v>2.9319386814200099</v>
      </c>
      <c r="EQ74" s="44">
        <f>AVERAGE(DX74:DY74)</f>
        <v>6.0572268326417715</v>
      </c>
      <c r="ER74" s="43">
        <f>EQ74-EP74</f>
        <v>3.1252881512217616</v>
      </c>
      <c r="ES74" s="64">
        <f>IF(CU74&gt;0.000001,CU74*352,0)</f>
        <v>168.95999999999998</v>
      </c>
      <c r="ET74" s="64">
        <f>IF(DC74&gt;0.0001,DC74*682,0)</f>
        <v>0</v>
      </c>
      <c r="EU74" s="64">
        <f>CY74*795</f>
        <v>0</v>
      </c>
      <c r="EV74" s="64">
        <f>ES74+ET74+EU74</f>
        <v>168.95999999999998</v>
      </c>
      <c r="EW74" s="64">
        <f>IF(AA74="YES",3.5*18.2,0)</f>
        <v>63.699999999999996</v>
      </c>
      <c r="EX74" s="64">
        <f>EV74-EW74</f>
        <v>105.25999999999999</v>
      </c>
    </row>
    <row r="75" spans="1:154" s="34" customFormat="1" ht="15" x14ac:dyDescent="0.2">
      <c r="A75" s="29" t="s">
        <v>556</v>
      </c>
      <c r="B75" s="29">
        <v>165</v>
      </c>
      <c r="C75" s="29" t="s">
        <v>328</v>
      </c>
      <c r="D75" s="29" t="s">
        <v>328</v>
      </c>
      <c r="E75" s="29" t="str">
        <f>VLOOKUP(D75,Harvest_2017_Formulae!$C$2:$D$968,2,FALSE)</f>
        <v>DURU</v>
      </c>
      <c r="F75" s="29" t="s">
        <v>645</v>
      </c>
      <c r="G75" s="29">
        <v>0</v>
      </c>
      <c r="H75" s="61" t="str">
        <f>IF(G75&lt;0.05,"Homefield",IF(G75&lt;0.5,"Midfield","outfield"))</f>
        <v>Homefield</v>
      </c>
      <c r="I75" s="29" t="s">
        <v>557</v>
      </c>
      <c r="J75" s="61" t="s">
        <v>2233</v>
      </c>
      <c r="K75" s="61" t="s">
        <v>2233</v>
      </c>
      <c r="L75" s="67">
        <v>0</v>
      </c>
      <c r="M75" s="29"/>
      <c r="N75" s="29"/>
      <c r="O75" s="29" t="s">
        <v>547</v>
      </c>
      <c r="P75" s="29"/>
      <c r="Q75" s="67">
        <v>0</v>
      </c>
      <c r="R75" s="29" t="s">
        <v>547</v>
      </c>
      <c r="S75" s="29"/>
      <c r="T75" s="29"/>
      <c r="U75" s="29" t="s">
        <v>547</v>
      </c>
      <c r="V75" s="29"/>
      <c r="W75" s="29" t="s">
        <v>547</v>
      </c>
      <c r="X75" s="29"/>
      <c r="Y75" s="29"/>
      <c r="Z75" s="29" t="s">
        <v>547</v>
      </c>
      <c r="AA75" s="61" t="s">
        <v>548</v>
      </c>
      <c r="AB75" s="29" t="s">
        <v>568</v>
      </c>
      <c r="AC75" s="67">
        <v>0</v>
      </c>
      <c r="AD75" s="29" t="s">
        <v>547</v>
      </c>
      <c r="AE75" s="29"/>
      <c r="AF75" s="29" t="s">
        <v>547</v>
      </c>
      <c r="AG75" s="29" t="s">
        <v>547</v>
      </c>
      <c r="AH75" s="29" t="s">
        <v>546</v>
      </c>
      <c r="AI75" s="29" t="s">
        <v>546</v>
      </c>
      <c r="AJ75" s="29" t="s">
        <v>547</v>
      </c>
      <c r="AK75" s="67">
        <v>0</v>
      </c>
      <c r="AL75" s="29" t="s">
        <v>547</v>
      </c>
      <c r="AM75" s="29"/>
      <c r="AN75" s="29"/>
      <c r="AO75" s="29" t="s">
        <v>547</v>
      </c>
      <c r="AP75" s="29" t="s">
        <v>547</v>
      </c>
      <c r="AQ75" s="4">
        <f>Q75+AK75</f>
        <v>0</v>
      </c>
      <c r="AR75" s="4">
        <f>L75+AC75</f>
        <v>0</v>
      </c>
      <c r="AS75" t="str">
        <f>AQ75&amp;AR75</f>
        <v>00</v>
      </c>
      <c r="AT75" s="49">
        <f>AQ75-AR75</f>
        <v>0</v>
      </c>
      <c r="AU75">
        <v>1</v>
      </c>
      <c r="AV75" s="29" t="s">
        <v>548</v>
      </c>
      <c r="AW75" s="29">
        <v>0.25</v>
      </c>
      <c r="AX75" s="29" t="s">
        <v>548</v>
      </c>
      <c r="AY75" s="29">
        <v>2</v>
      </c>
      <c r="AZ75" s="29">
        <v>1.5</v>
      </c>
      <c r="BA75" s="29" t="s">
        <v>546</v>
      </c>
      <c r="BB75" s="29" t="s">
        <v>547</v>
      </c>
      <c r="BC75" s="29"/>
      <c r="BD75" s="29">
        <f>AW75+AZ75</f>
        <v>1.75</v>
      </c>
      <c r="BE75" s="29">
        <f>BD75+BC75</f>
        <v>1.75</v>
      </c>
      <c r="BF75" s="29" t="s">
        <v>548</v>
      </c>
      <c r="BG75" s="29" t="s">
        <v>546</v>
      </c>
      <c r="BH75" s="29" t="s">
        <v>548</v>
      </c>
      <c r="BI75" s="29" t="s">
        <v>546</v>
      </c>
      <c r="BJ75" s="29" t="s">
        <v>546</v>
      </c>
      <c r="BK75" s="29" t="s">
        <v>546</v>
      </c>
      <c r="BL75" s="29">
        <v>2</v>
      </c>
      <c r="BM75" s="29" t="s">
        <v>562</v>
      </c>
      <c r="BN75" s="29"/>
      <c r="BO75" s="29" t="s">
        <v>547</v>
      </c>
      <c r="BP75" s="29">
        <v>8</v>
      </c>
      <c r="BQ75" s="29" t="s">
        <v>580</v>
      </c>
      <c r="BR75" s="29"/>
      <c r="BS75" s="29" t="s">
        <v>547</v>
      </c>
      <c r="BT75" s="29"/>
      <c r="BU75" s="29" t="s">
        <v>547</v>
      </c>
      <c r="BV75" s="29"/>
      <c r="BW75" s="29">
        <f>(BL75*1)+(BN75*0.1)+(BP75*0.01)+(BR75*0.1)+(BT75*0.3)+(BV75*0.4)</f>
        <v>2.08</v>
      </c>
      <c r="BX75" s="29" t="s">
        <v>2219</v>
      </c>
      <c r="BY75" s="29">
        <v>2</v>
      </c>
      <c r="BZ75" s="29">
        <v>1</v>
      </c>
      <c r="CA75" s="29">
        <v>5</v>
      </c>
      <c r="CB75" s="29">
        <v>8</v>
      </c>
      <c r="CC75" s="29">
        <v>0</v>
      </c>
      <c r="CD75" s="29">
        <v>0</v>
      </c>
      <c r="CE75" s="29">
        <v>0</v>
      </c>
      <c r="CF75" s="29" t="s">
        <v>547</v>
      </c>
      <c r="CG75" s="29">
        <f>(CC75*15)+(CD75*0.8)+(CE75*0.3)+((AW75+AZ75)*15)</f>
        <v>26.25</v>
      </c>
      <c r="CH75" s="29" t="s">
        <v>2220</v>
      </c>
      <c r="CI75" s="29">
        <f>(BL75*1)+(BN75*0.1)+(BP75*0.01)+(BR75*0.1)+(BT75*0.3)+(BV75*0.4)+(CC75*15)+(CD75*0.8)+(CE75*0.3)+((AW75+AZ75)*15)</f>
        <v>28.33</v>
      </c>
      <c r="CJ75" s="29" t="s">
        <v>546</v>
      </c>
      <c r="CK75" s="29" t="s">
        <v>547</v>
      </c>
      <c r="CL75" s="29" t="s">
        <v>546</v>
      </c>
      <c r="CM75" s="29" t="s">
        <v>547</v>
      </c>
      <c r="CN75" s="29">
        <v>0.25</v>
      </c>
      <c r="CO75" s="29"/>
      <c r="CP75" s="29"/>
      <c r="CQ75" s="29" t="s">
        <v>548</v>
      </c>
      <c r="CR75" s="29">
        <v>0.25</v>
      </c>
      <c r="CS75" s="29">
        <v>4.5</v>
      </c>
      <c r="CT75" s="29" t="s">
        <v>551</v>
      </c>
      <c r="CU75" s="30">
        <v>4.32</v>
      </c>
      <c r="CV75" s="29"/>
      <c r="CW75" s="29">
        <v>999</v>
      </c>
      <c r="CX75" s="29" t="s">
        <v>551</v>
      </c>
      <c r="CY75" s="62"/>
      <c r="CZ75" s="29">
        <v>0.25</v>
      </c>
      <c r="DA75" s="29">
        <v>1.5</v>
      </c>
      <c r="DB75" s="29" t="s">
        <v>551</v>
      </c>
      <c r="DC75" s="62">
        <v>1.44</v>
      </c>
      <c r="DD75" s="29" t="s">
        <v>548</v>
      </c>
      <c r="DE75" s="29" t="s">
        <v>546</v>
      </c>
      <c r="DF75" s="29" t="s">
        <v>546</v>
      </c>
      <c r="DG75" s="29" t="s">
        <v>546</v>
      </c>
      <c r="DH75" s="29" t="s">
        <v>546</v>
      </c>
      <c r="DI75" s="29">
        <v>1</v>
      </c>
      <c r="DJ75" s="29">
        <v>2</v>
      </c>
      <c r="DK75" s="29" t="s">
        <v>664</v>
      </c>
      <c r="DL75" s="29" t="s">
        <v>665</v>
      </c>
      <c r="DM75" s="29">
        <v>-4.3192477226257324</v>
      </c>
      <c r="DN75" s="29">
        <v>35.6043701171875</v>
      </c>
      <c r="DO75" s="29">
        <v>1589.9000244140625</v>
      </c>
      <c r="DP75" s="29">
        <v>5</v>
      </c>
      <c r="DQ75" s="29">
        <v>1706031849</v>
      </c>
      <c r="DR75" s="29" t="s">
        <v>666</v>
      </c>
      <c r="DS75" s="31">
        <v>42921.432569444441</v>
      </c>
      <c r="DT75" s="31">
        <v>42919.533634259264</v>
      </c>
      <c r="DU75" s="31">
        <v>42919.540590277778</v>
      </c>
      <c r="DV75" s="32">
        <v>42763</v>
      </c>
      <c r="DW75" s="29"/>
      <c r="DX75" s="44">
        <v>3.6759259259259265</v>
      </c>
      <c r="DY75" s="44">
        <v>2.8567195767195774</v>
      </c>
      <c r="DZ75" s="44">
        <v>3.2243121693121695</v>
      </c>
      <c r="EA75" s="44">
        <v>3.187552910052911</v>
      </c>
      <c r="EB75" s="29"/>
      <c r="EC75" s="29">
        <f>IF(EQ75&lt;EP75,"FALSEE",1)</f>
        <v>1</v>
      </c>
      <c r="ED75" s="29"/>
      <c r="EE75" s="29" t="s">
        <v>2175</v>
      </c>
      <c r="EF75" s="29">
        <v>12.7252845764</v>
      </c>
      <c r="EG75" s="29" t="str">
        <f>IF(EF75&lt;0.5,"Depression",IF(EF75&lt;2,"Very gentle",IF(EF75&lt;5,"Gentle",IF(EF75&lt;9,"Moderate",IF(EF75&lt;15,"Strong",IF(EF75&lt;30,"Steep",IF(EF75&lt;1,"Very steep")))))))</f>
        <v>Strong</v>
      </c>
      <c r="EH75" s="29" t="s">
        <v>2176</v>
      </c>
      <c r="EI75" s="29">
        <v>-1.35961997509</v>
      </c>
      <c r="EJ75" s="43">
        <v>7.5343203544600001</v>
      </c>
      <c r="EK75" s="43">
        <f>VLOOKUP(D75,[1]SoilData!$G$15:$K$237,5,FALSE)</f>
        <v>252.91336196692504</v>
      </c>
      <c r="EL75" s="43">
        <f>VLOOKUP(D75,[1]SoilData!$G$245:$K$451,5,FALSE)</f>
        <v>569.19178869762266</v>
      </c>
      <c r="EM75" s="43">
        <f>VLOOKUP(D75,[1]SoilData!$G$15:$M$238,7,FALSE)</f>
        <v>0.82199999999999995</v>
      </c>
      <c r="EN75" s="43">
        <f>VLOOKUP(D75,[1]SoilData!$G$245:$M$454,7,FALSE)</f>
        <v>1.7809999999999999</v>
      </c>
      <c r="EO75" s="60">
        <f>EM75-EN75</f>
        <v>-0.95899999999999996</v>
      </c>
      <c r="EP75" s="44">
        <f>AVERAGE(DZ75:EA75)</f>
        <v>3.2059325396825402</v>
      </c>
      <c r="EQ75" s="44">
        <f>AVERAGE(DX75:DY75)</f>
        <v>3.2663227513227522</v>
      </c>
      <c r="ER75" s="43">
        <f>EQ75-EP75</f>
        <v>6.0390211640211966E-2</v>
      </c>
      <c r="ES75" s="64">
        <f>IF(CU75&gt;0.000001,CU75*352,0)</f>
        <v>1520.64</v>
      </c>
      <c r="ET75" s="64">
        <f>IF(DC75&gt;0.0001,DC75*682,0)</f>
        <v>982.07999999999993</v>
      </c>
      <c r="EU75" s="64">
        <f>CY75*795</f>
        <v>0</v>
      </c>
      <c r="EV75" s="64">
        <f>ES75+ET75+EU75</f>
        <v>2502.7200000000003</v>
      </c>
      <c r="EW75" s="64">
        <f>IF(AA75="YES",3.5*18.2,0)</f>
        <v>63.699999999999996</v>
      </c>
      <c r="EX75" s="64">
        <f>EV75-EW75</f>
        <v>2439.0200000000004</v>
      </c>
    </row>
    <row r="76" spans="1:154" ht="15" x14ac:dyDescent="0.2">
      <c r="A76" s="29" t="s">
        <v>556</v>
      </c>
      <c r="B76" s="29">
        <v>4</v>
      </c>
      <c r="C76" s="29" t="s">
        <v>426</v>
      </c>
      <c r="D76" s="29" t="s">
        <v>547</v>
      </c>
      <c r="E76" s="29" t="e">
        <f>VLOOKUP(D76,Harvest_2017_Formulae!$C$2:$D$968,2,FALSE)</f>
        <v>#N/A</v>
      </c>
      <c r="F76" s="29" t="s">
        <v>777</v>
      </c>
      <c r="G76" s="29">
        <v>1</v>
      </c>
      <c r="H76" s="61" t="str">
        <f>IF(G76&lt;0.05,"Homefield",IF(G76&lt;0.5,"Midfield","outfield"))</f>
        <v>outfield</v>
      </c>
      <c r="I76" s="29" t="s">
        <v>557</v>
      </c>
      <c r="J76" s="61" t="s">
        <v>2233</v>
      </c>
      <c r="K76" s="61" t="s">
        <v>2233</v>
      </c>
      <c r="L76" s="67">
        <v>0</v>
      </c>
      <c r="O76" s="29" t="s">
        <v>547</v>
      </c>
      <c r="Q76" s="67">
        <v>0</v>
      </c>
      <c r="R76" s="29" t="s">
        <v>547</v>
      </c>
      <c r="T76" s="29" t="s">
        <v>559</v>
      </c>
      <c r="U76" s="29" t="s">
        <v>560</v>
      </c>
      <c r="W76" s="29" t="s">
        <v>819</v>
      </c>
      <c r="X76" s="29">
        <v>999</v>
      </c>
      <c r="Z76" s="29" t="s">
        <v>547</v>
      </c>
      <c r="AA76" s="61" t="s">
        <v>548</v>
      </c>
      <c r="AB76" s="29" t="s">
        <v>568</v>
      </c>
      <c r="AC76" s="67">
        <v>0</v>
      </c>
      <c r="AD76" s="29" t="s">
        <v>547</v>
      </c>
      <c r="AF76" s="29" t="s">
        <v>547</v>
      </c>
      <c r="AG76" s="29" t="s">
        <v>547</v>
      </c>
      <c r="AH76" s="29" t="s">
        <v>548</v>
      </c>
      <c r="AI76" s="29" t="s">
        <v>546</v>
      </c>
      <c r="AJ76" s="29" t="s">
        <v>547</v>
      </c>
      <c r="AK76" s="67">
        <v>0</v>
      </c>
      <c r="AL76" s="29" t="s">
        <v>547</v>
      </c>
      <c r="AO76" s="29" t="s">
        <v>547</v>
      </c>
      <c r="AP76" s="29" t="s">
        <v>547</v>
      </c>
      <c r="AQ76" s="4">
        <f>Q76+AK76</f>
        <v>0</v>
      </c>
      <c r="AR76" s="4">
        <f>L76+AC76</f>
        <v>0</v>
      </c>
      <c r="AS76" t="str">
        <f>AQ76&amp;AR76</f>
        <v>00</v>
      </c>
      <c r="AT76" s="49">
        <f>AQ76-AR76</f>
        <v>0</v>
      </c>
      <c r="AU76">
        <v>1</v>
      </c>
      <c r="AV76" s="29" t="s">
        <v>548</v>
      </c>
      <c r="AW76" s="29">
        <v>0.5</v>
      </c>
      <c r="AX76" s="29" t="s">
        <v>548</v>
      </c>
      <c r="AY76" s="29">
        <v>2</v>
      </c>
      <c r="AZ76" s="29">
        <v>5.5</v>
      </c>
      <c r="BA76" s="29" t="s">
        <v>548</v>
      </c>
      <c r="BB76" s="29" t="s">
        <v>569</v>
      </c>
      <c r="BC76" s="29">
        <v>1</v>
      </c>
      <c r="BD76" s="29">
        <f>AW76+AZ76</f>
        <v>6</v>
      </c>
      <c r="BE76" s="29">
        <f>BD76+BC76</f>
        <v>7</v>
      </c>
      <c r="BF76" s="29" t="s">
        <v>548</v>
      </c>
      <c r="BG76" s="29" t="s">
        <v>546</v>
      </c>
      <c r="BH76" s="29" t="s">
        <v>548</v>
      </c>
      <c r="BI76" s="29" t="s">
        <v>546</v>
      </c>
      <c r="BJ76" s="29" t="s">
        <v>546</v>
      </c>
      <c r="BK76" s="29" t="s">
        <v>546</v>
      </c>
      <c r="BL76" s="29">
        <v>2</v>
      </c>
      <c r="BM76" s="29" t="s">
        <v>562</v>
      </c>
      <c r="BO76" s="29" t="s">
        <v>547</v>
      </c>
      <c r="BP76" s="29">
        <v>15</v>
      </c>
      <c r="BQ76" s="29" t="s">
        <v>549</v>
      </c>
      <c r="BS76" s="29" t="s">
        <v>547</v>
      </c>
      <c r="BU76" s="29" t="s">
        <v>547</v>
      </c>
      <c r="BW76" s="29">
        <f>(BL76*1)+(BN76*0.1)+(BP76*0.01)+(BR76*0.1)+(BT76*0.3)+(BV76*0.4)</f>
        <v>2.15</v>
      </c>
      <c r="BX76" s="29" t="s">
        <v>2219</v>
      </c>
      <c r="BY76" s="29">
        <v>3</v>
      </c>
      <c r="BZ76" s="29">
        <v>4</v>
      </c>
      <c r="CA76" s="29">
        <v>1</v>
      </c>
      <c r="CB76" s="29">
        <v>8</v>
      </c>
      <c r="CC76" s="29">
        <v>0</v>
      </c>
      <c r="CD76" s="29">
        <v>0</v>
      </c>
      <c r="CE76" s="29">
        <v>1</v>
      </c>
      <c r="CF76" s="29" t="s">
        <v>547</v>
      </c>
      <c r="CG76" s="29">
        <f>(CC76*15)+(CD76*0.8)+(CE76*0.3)+((AW76+AZ76)*15)</f>
        <v>90.3</v>
      </c>
      <c r="CH76" s="29" t="s">
        <v>2221</v>
      </c>
      <c r="CI76" s="29">
        <f>(BL76*1)+(BN76*0.1)+(BP76*0.01)+(BR76*0.1)+(BT76*0.3)+(BV76*0.4)+(CC76*15)+(CD76*0.8)+(CE76*0.3)+((AW76+AZ76)*15)</f>
        <v>92.45</v>
      </c>
      <c r="CJ76" s="29" t="s">
        <v>548</v>
      </c>
      <c r="CK76" s="29" t="s">
        <v>563</v>
      </c>
      <c r="CL76" s="29" t="s">
        <v>548</v>
      </c>
      <c r="CM76" s="29" t="s">
        <v>550</v>
      </c>
      <c r="CN76" s="29">
        <v>0.25</v>
      </c>
      <c r="CP76" s="29">
        <v>0.75</v>
      </c>
      <c r="CQ76" s="29" t="s">
        <v>548</v>
      </c>
      <c r="CR76" s="29">
        <v>1</v>
      </c>
      <c r="CS76" s="29">
        <v>15</v>
      </c>
      <c r="CT76" s="29" t="s">
        <v>551</v>
      </c>
      <c r="CU76" s="30">
        <v>3.5999999999999996</v>
      </c>
      <c r="CW76" s="29">
        <v>999</v>
      </c>
      <c r="CX76" s="29" t="s">
        <v>551</v>
      </c>
      <c r="CY76" s="62"/>
      <c r="CZ76" s="29">
        <v>1</v>
      </c>
      <c r="DA76" s="29">
        <v>5</v>
      </c>
      <c r="DB76" s="29" t="s">
        <v>551</v>
      </c>
      <c r="DC76" s="62">
        <v>1.2</v>
      </c>
      <c r="DD76" s="29" t="s">
        <v>546</v>
      </c>
      <c r="DE76" s="29" t="s">
        <v>548</v>
      </c>
      <c r="DF76" s="29" t="s">
        <v>546</v>
      </c>
      <c r="DG76" s="29" t="s">
        <v>546</v>
      </c>
      <c r="DH76" s="29" t="s">
        <v>546</v>
      </c>
      <c r="DI76" s="29">
        <v>1</v>
      </c>
      <c r="DJ76" s="29">
        <v>3</v>
      </c>
      <c r="DK76" s="29" t="s">
        <v>1422</v>
      </c>
      <c r="DL76" s="29" t="s">
        <v>1423</v>
      </c>
      <c r="DM76" s="29">
        <v>-4.3023514747619629</v>
      </c>
      <c r="DN76" s="29">
        <v>35.852252960205078</v>
      </c>
      <c r="DO76" s="29">
        <v>1259.4000244140625</v>
      </c>
      <c r="DP76" s="29">
        <v>5</v>
      </c>
      <c r="DQ76" s="29">
        <v>1705231439</v>
      </c>
      <c r="DR76" s="29" t="s">
        <v>1424</v>
      </c>
      <c r="DS76" s="31">
        <v>42893.595219907409</v>
      </c>
      <c r="DT76" s="31">
        <v>42892.482222222221</v>
      </c>
      <c r="DU76" s="31">
        <v>42892.516087962962</v>
      </c>
      <c r="DV76" s="32">
        <v>42774</v>
      </c>
      <c r="EC76" s="29">
        <f>IF(EQ76&lt;EP76,"FALSEE",1)</f>
        <v>1</v>
      </c>
      <c r="EE76" s="29" t="s">
        <v>2171</v>
      </c>
      <c r="EF76" s="29">
        <v>0.55693554878200002</v>
      </c>
      <c r="EG76" s="29" t="str">
        <f>IF(EF76&lt;0.5,"Depression",IF(EF76&lt;2,"Very gentle",IF(EF76&lt;5,"Gentle",IF(EF76&lt;9,"Moderate",IF(EF76&lt;15,"Strong",IF(EF76&lt;30,"Steep",IF(EF76&lt;1,"Very steep")))))))</f>
        <v>Very gentle</v>
      </c>
      <c r="EH76" s="29" t="s">
        <v>2177</v>
      </c>
      <c r="EI76" s="29">
        <v>0.815785527229</v>
      </c>
      <c r="EJ76" s="43">
        <v>8.9477910995500007</v>
      </c>
      <c r="EK76" s="43"/>
      <c r="EL76" s="43"/>
      <c r="EM76" s="43"/>
      <c r="EN76" s="43"/>
      <c r="EO76" s="60"/>
      <c r="EP76" s="43"/>
      <c r="EQ76" s="43"/>
      <c r="ER76" s="43"/>
      <c r="ES76" s="64">
        <f>IF(CU76&gt;0.000001,CU76*352,0)</f>
        <v>1267.1999999999998</v>
      </c>
      <c r="ET76" s="64">
        <f>IF(DC76&gt;0.0001,DC76*682,0)</f>
        <v>818.4</v>
      </c>
      <c r="EU76" s="64">
        <f>CY76*795</f>
        <v>0</v>
      </c>
      <c r="EV76" s="64">
        <f>ES76+ET76+EU76</f>
        <v>2085.6</v>
      </c>
      <c r="EW76" s="64">
        <f>IF(AA76="YES",3.5*18.2,0)</f>
        <v>63.699999999999996</v>
      </c>
      <c r="EX76" s="64">
        <f>EV76-EW76</f>
        <v>2021.8999999999999</v>
      </c>
    </row>
    <row r="77" spans="1:154" ht="15" x14ac:dyDescent="0.2">
      <c r="A77" s="29" t="s">
        <v>556</v>
      </c>
      <c r="B77" s="29">
        <v>205</v>
      </c>
      <c r="C77" s="29" t="s">
        <v>285</v>
      </c>
      <c r="D77" s="29" t="s">
        <v>285</v>
      </c>
      <c r="E77" s="29" t="str">
        <f>VLOOKUP(D77,Harvest_2017_Formulae!$C$2:$D$968,2,FALSE)</f>
        <v>TSAMASI</v>
      </c>
      <c r="F77" s="29" t="s">
        <v>1014</v>
      </c>
      <c r="G77" s="29">
        <v>0</v>
      </c>
      <c r="H77" s="61" t="str">
        <f>IF(G77&lt;0.05,"Homefield",IF(G77&lt;0.5,"Midfield","outfield"))</f>
        <v>Homefield</v>
      </c>
      <c r="I77" s="29" t="s">
        <v>557</v>
      </c>
      <c r="J77" s="61" t="s">
        <v>2233</v>
      </c>
      <c r="K77" s="61" t="s">
        <v>2233</v>
      </c>
      <c r="L77" s="67">
        <v>0</v>
      </c>
      <c r="O77" s="29" t="s">
        <v>547</v>
      </c>
      <c r="Q77" s="67">
        <v>0</v>
      </c>
      <c r="R77" s="29" t="s">
        <v>547</v>
      </c>
      <c r="U77" s="29" t="s">
        <v>547</v>
      </c>
      <c r="W77" s="29" t="s">
        <v>547</v>
      </c>
      <c r="Z77" s="29" t="s">
        <v>547</v>
      </c>
      <c r="AA77" s="61" t="s">
        <v>546</v>
      </c>
      <c r="AB77" s="29" t="s">
        <v>547</v>
      </c>
      <c r="AC77" s="67">
        <v>0</v>
      </c>
      <c r="AD77" s="29" t="s">
        <v>547</v>
      </c>
      <c r="AF77" s="29" t="s">
        <v>547</v>
      </c>
      <c r="AG77" s="29" t="s">
        <v>547</v>
      </c>
      <c r="AH77" s="29" t="s">
        <v>546</v>
      </c>
      <c r="AI77" s="29" t="s">
        <v>546</v>
      </c>
      <c r="AJ77" s="29" t="s">
        <v>547</v>
      </c>
      <c r="AK77" s="67">
        <v>0</v>
      </c>
      <c r="AL77" s="29" t="s">
        <v>547</v>
      </c>
      <c r="AO77" s="29" t="s">
        <v>547</v>
      </c>
      <c r="AP77" s="29" t="s">
        <v>547</v>
      </c>
      <c r="AQ77" s="4">
        <f>Q77+AK77</f>
        <v>0</v>
      </c>
      <c r="AR77" s="4">
        <f>L77+AC77</f>
        <v>0</v>
      </c>
      <c r="AS77" t="str">
        <f>AQ77&amp;AR77</f>
        <v>00</v>
      </c>
      <c r="AT77" s="49">
        <f>AQ77-AR77</f>
        <v>0</v>
      </c>
      <c r="AU77">
        <v>1</v>
      </c>
      <c r="AV77" s="29" t="s">
        <v>548</v>
      </c>
      <c r="AW77" s="29">
        <v>0.75</v>
      </c>
      <c r="AX77" s="29" t="s">
        <v>548</v>
      </c>
      <c r="AY77" s="29">
        <v>2</v>
      </c>
      <c r="AZ77" s="29">
        <v>3.75</v>
      </c>
      <c r="BA77" s="29" t="s">
        <v>548</v>
      </c>
      <c r="BB77" s="29" t="s">
        <v>569</v>
      </c>
      <c r="BC77" s="29">
        <v>1</v>
      </c>
      <c r="BD77" s="29">
        <f>AW77+AZ77</f>
        <v>4.5</v>
      </c>
      <c r="BE77" s="29">
        <f>BD77+BC77</f>
        <v>5.5</v>
      </c>
      <c r="BF77" s="29" t="s">
        <v>548</v>
      </c>
      <c r="BG77" s="29" t="s">
        <v>546</v>
      </c>
      <c r="BH77" s="29" t="s">
        <v>548</v>
      </c>
      <c r="BI77" s="29" t="s">
        <v>546</v>
      </c>
      <c r="BJ77" s="29" t="s">
        <v>546</v>
      </c>
      <c r="BK77" s="29" t="s">
        <v>546</v>
      </c>
      <c r="BL77" s="29">
        <v>2</v>
      </c>
      <c r="BM77" s="29" t="s">
        <v>549</v>
      </c>
      <c r="BO77" s="29" t="s">
        <v>547</v>
      </c>
      <c r="BP77" s="29">
        <v>18</v>
      </c>
      <c r="BQ77" s="29" t="s">
        <v>549</v>
      </c>
      <c r="BS77" s="29" t="s">
        <v>547</v>
      </c>
      <c r="BU77" s="29" t="s">
        <v>547</v>
      </c>
      <c r="BW77" s="29">
        <f>(BL77*1)+(BN77*0.1)+(BP77*0.01)+(BR77*0.1)+(BT77*0.3)+(BV77*0.4)</f>
        <v>2.1800000000000002</v>
      </c>
      <c r="BX77" s="29" t="s">
        <v>2219</v>
      </c>
      <c r="BY77" s="29">
        <v>2</v>
      </c>
      <c r="BZ77" s="29">
        <v>2</v>
      </c>
      <c r="CA77" s="29">
        <v>7</v>
      </c>
      <c r="CB77" s="29">
        <v>11</v>
      </c>
      <c r="CC77" s="29">
        <v>0</v>
      </c>
      <c r="CD77" s="29">
        <v>8</v>
      </c>
      <c r="CE77" s="29">
        <v>0</v>
      </c>
      <c r="CF77" s="29" t="s">
        <v>547</v>
      </c>
      <c r="CG77" s="29">
        <f>(CC77*15)+(CD77*0.8)+(CE77*0.3)+((AW77+AZ77)*15)</f>
        <v>73.900000000000006</v>
      </c>
      <c r="CH77" s="29" t="s">
        <v>2221</v>
      </c>
      <c r="CI77" s="29">
        <f>(BL77*1)+(BN77*0.1)+(BP77*0.01)+(BR77*0.1)+(BT77*0.3)+(BV77*0.4)+(CC77*15)+(CD77*0.8)+(CE77*0.3)+((AW77+AZ77)*15)</f>
        <v>76.08</v>
      </c>
      <c r="CJ77" s="29" t="s">
        <v>546</v>
      </c>
      <c r="CK77" s="29" t="s">
        <v>547</v>
      </c>
      <c r="CL77" s="29" t="s">
        <v>548</v>
      </c>
      <c r="CM77" s="29" t="s">
        <v>550</v>
      </c>
      <c r="CN77" s="29">
        <v>0.25</v>
      </c>
      <c r="CO77" s="29">
        <v>0.75</v>
      </c>
      <c r="CQ77" s="29" t="s">
        <v>546</v>
      </c>
      <c r="CR77" s="29">
        <v>1</v>
      </c>
      <c r="CS77" s="29">
        <v>4</v>
      </c>
      <c r="CT77" s="29" t="s">
        <v>552</v>
      </c>
      <c r="CU77" s="30">
        <v>0.16031999999999999</v>
      </c>
      <c r="CW77" s="29">
        <v>999</v>
      </c>
      <c r="CX77" s="29" t="s">
        <v>552</v>
      </c>
      <c r="CY77" s="62"/>
      <c r="CZ77" s="29">
        <v>1</v>
      </c>
      <c r="DA77" s="29">
        <v>1</v>
      </c>
      <c r="DB77" s="29" t="s">
        <v>551</v>
      </c>
      <c r="DC77" s="62">
        <v>0.24</v>
      </c>
      <c r="DD77" s="29" t="s">
        <v>546</v>
      </c>
      <c r="DE77" s="29" t="s">
        <v>546</v>
      </c>
      <c r="DF77" s="29" t="s">
        <v>546</v>
      </c>
      <c r="DG77" s="29" t="s">
        <v>546</v>
      </c>
      <c r="DH77" s="29" t="s">
        <v>546</v>
      </c>
      <c r="DI77" s="29">
        <v>0</v>
      </c>
      <c r="DJ77" s="29">
        <v>2</v>
      </c>
      <c r="DK77" s="29" t="s">
        <v>1344</v>
      </c>
      <c r="DL77" s="29" t="s">
        <v>1345</v>
      </c>
      <c r="DM77" s="29">
        <v>-4.294527530670166</v>
      </c>
      <c r="DN77" s="29">
        <v>35.81781005859375</v>
      </c>
      <c r="DO77" s="29">
        <v>1336.5999755859375</v>
      </c>
      <c r="DP77" s="29">
        <v>5</v>
      </c>
      <c r="DQ77" s="29">
        <v>1706031849</v>
      </c>
      <c r="DR77" s="29" t="s">
        <v>1346</v>
      </c>
      <c r="DS77" s="31">
        <v>42948.908564814818</v>
      </c>
      <c r="DT77" s="31">
        <v>42938.600416666668</v>
      </c>
      <c r="DU77" s="31">
        <v>42938.618668981479</v>
      </c>
      <c r="DV77" s="32">
        <v>42793</v>
      </c>
      <c r="DX77" s="44">
        <v>2.1895026455026456</v>
      </c>
      <c r="DY77" s="44">
        <v>1.6842328042328039</v>
      </c>
      <c r="DZ77" s="44">
        <v>1.2888383838383837</v>
      </c>
      <c r="EA77" s="44">
        <v>2.7530808080808078</v>
      </c>
      <c r="EC77" s="29" t="str">
        <f>IF(EQ77&lt;EP77,"FALSEE",1)</f>
        <v>FALSEE</v>
      </c>
      <c r="EE77" s="29" t="s">
        <v>2179</v>
      </c>
      <c r="EF77" s="29">
        <v>4.0362029075599999</v>
      </c>
      <c r="EG77" s="29" t="str">
        <f>IF(EF77&lt;0.5,"Depression",IF(EF77&lt;2,"Very gentle",IF(EF77&lt;5,"Gentle",IF(EF77&lt;9,"Moderate",IF(EF77&lt;15,"Strong",IF(EF77&lt;30,"Steep",IF(EF77&lt;1,"Very steep")))))))</f>
        <v>Gentle</v>
      </c>
      <c r="EH77" s="29" t="s">
        <v>2173</v>
      </c>
      <c r="EI77" s="29">
        <v>-0.18127532303300001</v>
      </c>
      <c r="EJ77" s="43">
        <v>10.2631206512</v>
      </c>
      <c r="EK77" s="43">
        <f>VLOOKUP(D77,[1]SoilData!$G$15:$K$237,5,FALSE)</f>
        <v>425.82156364242962</v>
      </c>
      <c r="EL77" s="43">
        <f>VLOOKUP(D77,[1]SoilData!$G$245:$K$451,5,FALSE)</f>
        <v>392.50495444426986</v>
      </c>
      <c r="EM77" s="43">
        <f>VLOOKUP(D77,[1]SoilData!$G$15:$M$238,7,FALSE)</f>
        <v>1.2529999999999999</v>
      </c>
      <c r="EN77" s="43">
        <f>VLOOKUP(D77,[1]SoilData!$G$245:$M$454,7,FALSE)</f>
        <v>1.7470000000000001</v>
      </c>
      <c r="EO77" s="60">
        <f>EM77-EN77</f>
        <v>-0.49400000000000022</v>
      </c>
      <c r="EP77" s="44">
        <f>AVERAGE(DZ77:EA77)</f>
        <v>2.0209595959595958</v>
      </c>
      <c r="EQ77" s="44">
        <f>AVERAGE(DX77:DY77)</f>
        <v>1.9368677248677248</v>
      </c>
      <c r="ER77" s="43">
        <f>EQ77-EP77</f>
        <v>-8.4091871091870996E-2</v>
      </c>
      <c r="ES77" s="64">
        <f>IF(CU77&gt;0.000001,CU77*352,0)</f>
        <v>56.432639999999999</v>
      </c>
      <c r="ET77" s="64">
        <f>IF(DC77&gt;0.0001,DC77*682,0)</f>
        <v>163.68</v>
      </c>
      <c r="EU77" s="64">
        <f>CY77*795</f>
        <v>0</v>
      </c>
      <c r="EV77" s="64">
        <f>ES77+ET77+EU77</f>
        <v>220.11264</v>
      </c>
      <c r="EW77" s="64">
        <f>IF(AA77="YES",3.5*18.2,0)</f>
        <v>0</v>
      </c>
      <c r="EX77" s="64">
        <f>EV77-EW77</f>
        <v>220.11264</v>
      </c>
    </row>
    <row r="78" spans="1:154" ht="15" x14ac:dyDescent="0.2">
      <c r="A78" s="29" t="s">
        <v>841</v>
      </c>
      <c r="B78" s="29">
        <v>242</v>
      </c>
      <c r="C78" s="29" t="s">
        <v>842</v>
      </c>
      <c r="D78" s="33" t="s">
        <v>145</v>
      </c>
      <c r="E78" s="29" t="str">
        <f>VLOOKUP(D78,Harvest_2017_Formulae!$C$2:$D$968,2,FALSE)</f>
        <v>ENDANOGA</v>
      </c>
      <c r="F78" s="29" t="s">
        <v>843</v>
      </c>
      <c r="G78" s="29">
        <v>0</v>
      </c>
      <c r="H78" s="61" t="str">
        <f>IF(G78&lt;0.05,"Homefield",IF(G78&lt;0.5,"Midfield","outfield"))</f>
        <v>Homefield</v>
      </c>
      <c r="I78" s="29" t="s">
        <v>557</v>
      </c>
      <c r="J78" s="61" t="s">
        <v>2233</v>
      </c>
      <c r="K78" s="61" t="s">
        <v>2233</v>
      </c>
      <c r="L78" s="67">
        <v>0</v>
      </c>
      <c r="O78" s="29" t="s">
        <v>547</v>
      </c>
      <c r="Q78" s="67">
        <v>0</v>
      </c>
      <c r="R78" s="29" t="s">
        <v>547</v>
      </c>
      <c r="U78" s="29" t="s">
        <v>547</v>
      </c>
      <c r="W78" s="29" t="s">
        <v>547</v>
      </c>
      <c r="Z78" s="29" t="s">
        <v>547</v>
      </c>
      <c r="AA78" s="61" t="s">
        <v>548</v>
      </c>
      <c r="AB78" s="29" t="s">
        <v>568</v>
      </c>
      <c r="AC78" s="67">
        <v>0</v>
      </c>
      <c r="AD78" s="29" t="s">
        <v>547</v>
      </c>
      <c r="AF78" s="29" t="s">
        <v>547</v>
      </c>
      <c r="AG78" s="29" t="s">
        <v>547</v>
      </c>
      <c r="AH78" s="29" t="s">
        <v>548</v>
      </c>
      <c r="AI78" s="29" t="s">
        <v>546</v>
      </c>
      <c r="AJ78" s="29" t="s">
        <v>547</v>
      </c>
      <c r="AK78" s="67">
        <v>0</v>
      </c>
      <c r="AL78" s="29" t="s">
        <v>547</v>
      </c>
      <c r="AO78" s="29" t="s">
        <v>547</v>
      </c>
      <c r="AP78" s="29" t="s">
        <v>547</v>
      </c>
      <c r="AQ78" s="4">
        <f>Q78+AK78</f>
        <v>0</v>
      </c>
      <c r="AR78" s="4">
        <f>L78+AC78</f>
        <v>0</v>
      </c>
      <c r="AS78" t="str">
        <f>AQ78&amp;AR78</f>
        <v>00</v>
      </c>
      <c r="AT78" s="49">
        <f>AQ78-AR78</f>
        <v>0</v>
      </c>
      <c r="AU78">
        <v>1</v>
      </c>
      <c r="AV78" s="29" t="s">
        <v>548</v>
      </c>
      <c r="AW78" s="29">
        <v>1</v>
      </c>
      <c r="AX78" s="29" t="s">
        <v>548</v>
      </c>
      <c r="AY78" s="29">
        <v>1</v>
      </c>
      <c r="AZ78" s="29">
        <v>1</v>
      </c>
      <c r="BA78" s="29" t="s">
        <v>546</v>
      </c>
      <c r="BB78" s="29" t="s">
        <v>547</v>
      </c>
      <c r="BD78" s="29">
        <f>AW78+AZ78</f>
        <v>2</v>
      </c>
      <c r="BE78" s="29">
        <f>BD78+BC78</f>
        <v>2</v>
      </c>
      <c r="BF78" s="29" t="s">
        <v>548</v>
      </c>
      <c r="BG78" s="29" t="s">
        <v>546</v>
      </c>
      <c r="BH78" s="29" t="s">
        <v>548</v>
      </c>
      <c r="BI78" s="29" t="s">
        <v>548</v>
      </c>
      <c r="BJ78" s="29" t="s">
        <v>546</v>
      </c>
      <c r="BK78" s="29" t="s">
        <v>546</v>
      </c>
      <c r="BL78" s="29">
        <v>2</v>
      </c>
      <c r="BM78" s="29" t="s">
        <v>562</v>
      </c>
      <c r="BO78" s="29" t="s">
        <v>547</v>
      </c>
      <c r="BP78" s="29">
        <v>10</v>
      </c>
      <c r="BQ78" s="29" t="s">
        <v>562</v>
      </c>
      <c r="BR78" s="29">
        <v>1</v>
      </c>
      <c r="BS78" s="29" t="s">
        <v>562</v>
      </c>
      <c r="BU78" s="29" t="s">
        <v>547</v>
      </c>
      <c r="BW78" s="29">
        <f>(BL78*1)+(BN78*0.1)+(BP78*0.01)+(BR78*0.1)+(BT78*0.3)+(BV78*0.4)</f>
        <v>2.2000000000000002</v>
      </c>
      <c r="BX78" s="29" t="s">
        <v>2219</v>
      </c>
      <c r="BY78" s="29">
        <v>1</v>
      </c>
      <c r="BZ78" s="29">
        <v>1</v>
      </c>
      <c r="CA78" s="29">
        <v>2</v>
      </c>
      <c r="CB78" s="29">
        <v>4</v>
      </c>
      <c r="CC78" s="29">
        <v>0</v>
      </c>
      <c r="CD78" s="29">
        <v>0</v>
      </c>
      <c r="CE78" s="29">
        <v>0</v>
      </c>
      <c r="CF78" s="29" t="s">
        <v>547</v>
      </c>
      <c r="CG78" s="29">
        <f>(CC78*15)+(CD78*0.8)+(CE78*0.3)+((AW78+AZ78)*15)</f>
        <v>30</v>
      </c>
      <c r="CH78" s="29" t="s">
        <v>2220</v>
      </c>
      <c r="CI78" s="29">
        <f>(BL78*1)+(BN78*0.1)+(BP78*0.01)+(BR78*0.1)+(BT78*0.3)+(BV78*0.4)+(CC78*15)+(CD78*0.8)+(CE78*0.3)+((AW78+AZ78)*15)</f>
        <v>32.200000000000003</v>
      </c>
      <c r="CJ78" s="29" t="s">
        <v>548</v>
      </c>
      <c r="CK78" s="29" t="s">
        <v>563</v>
      </c>
      <c r="CL78" s="29" t="s">
        <v>548</v>
      </c>
      <c r="CM78" s="29" t="s">
        <v>550</v>
      </c>
      <c r="CN78" s="29">
        <v>0.25</v>
      </c>
      <c r="CO78" s="29">
        <v>0</v>
      </c>
      <c r="CP78" s="29">
        <v>1</v>
      </c>
      <c r="CQ78" s="29" t="s">
        <v>548</v>
      </c>
      <c r="CR78" s="29">
        <v>0.25</v>
      </c>
      <c r="CS78" s="29">
        <v>2</v>
      </c>
      <c r="CT78" s="29" t="s">
        <v>551</v>
      </c>
      <c r="CU78" s="30">
        <v>1.92</v>
      </c>
      <c r="CV78" s="29">
        <v>0.25</v>
      </c>
      <c r="CW78" s="29">
        <v>1</v>
      </c>
      <c r="CX78" s="29" t="s">
        <v>551</v>
      </c>
      <c r="CY78" s="62">
        <v>0.96</v>
      </c>
      <c r="CZ78" s="29">
        <v>0</v>
      </c>
      <c r="DA78" s="29">
        <v>0</v>
      </c>
      <c r="DB78" s="29" t="s">
        <v>551</v>
      </c>
      <c r="DC78" s="62"/>
      <c r="DD78" s="29" t="s">
        <v>548</v>
      </c>
      <c r="DE78" s="29" t="s">
        <v>548</v>
      </c>
      <c r="DF78" s="29" t="s">
        <v>548</v>
      </c>
      <c r="DG78" s="29" t="s">
        <v>548</v>
      </c>
      <c r="DH78" s="29" t="s">
        <v>548</v>
      </c>
      <c r="DI78" s="29">
        <v>5</v>
      </c>
      <c r="DJ78" s="29">
        <v>2</v>
      </c>
      <c r="DK78" s="29" t="s">
        <v>844</v>
      </c>
      <c r="DL78" s="29" t="s">
        <v>845</v>
      </c>
      <c r="DM78" s="29">
        <v>-4.2665257453918457</v>
      </c>
      <c r="DN78" s="29">
        <v>35.845909118652344</v>
      </c>
      <c r="DO78" s="29">
        <v>1390.699951171875</v>
      </c>
      <c r="DP78" s="29">
        <v>5</v>
      </c>
      <c r="DQ78" s="29">
        <v>1706031849</v>
      </c>
      <c r="DR78" s="29" t="s">
        <v>846</v>
      </c>
      <c r="DS78" s="31">
        <v>42978.591249999998</v>
      </c>
      <c r="DT78" s="31">
        <v>42895.451805555553</v>
      </c>
      <c r="DU78" s="31">
        <v>42978.588078703702</v>
      </c>
      <c r="DV78" s="32">
        <v>42780</v>
      </c>
      <c r="DX78" s="44">
        <v>6.9186936936936947</v>
      </c>
      <c r="DY78" s="44">
        <v>5.0152702702702703</v>
      </c>
      <c r="DZ78" s="44">
        <v>4.3767041198501868</v>
      </c>
      <c r="EA78" s="44">
        <v>4.3828339575530588</v>
      </c>
      <c r="EC78" s="29">
        <f>IF(EQ78&lt;EP78,"FALSEE",1)</f>
        <v>1</v>
      </c>
      <c r="EE78" s="29" t="s">
        <v>2171</v>
      </c>
      <c r="EF78" s="29">
        <v>3.4926533699000002</v>
      </c>
      <c r="EG78" s="29" t="str">
        <f>IF(EF78&lt;0.5,"Depression",IF(EF78&lt;2,"Very gentle",IF(EF78&lt;5,"Gentle",IF(EF78&lt;9,"Moderate",IF(EF78&lt;15,"Strong",IF(EF78&lt;30,"Steep",IF(EF78&lt;1,"Very steep")))))))</f>
        <v>Gentle</v>
      </c>
      <c r="EH78" s="29" t="s">
        <v>2173</v>
      </c>
      <c r="EI78" s="29">
        <v>0.27193418145199999</v>
      </c>
      <c r="EJ78" s="43">
        <v>11.186497688299999</v>
      </c>
      <c r="EK78" s="43">
        <f>VLOOKUP(D78,[1]SoilData!$G$15:$K$237,5,FALSE)</f>
        <v>331.21282947155476</v>
      </c>
      <c r="EL78" s="43">
        <f>VLOOKUP(D78,[1]SoilData!$G$245:$K$451,5,FALSE)</f>
        <v>260.103609241181</v>
      </c>
      <c r="EM78" s="43">
        <f>VLOOKUP(D78,[1]SoilData!$G$15:$M$238,7,FALSE)</f>
        <v>1.452</v>
      </c>
      <c r="EN78" s="43">
        <f>VLOOKUP(D78,[1]SoilData!$G$245:$M$454,7,FALSE)</f>
        <v>1.5880000000000001</v>
      </c>
      <c r="EO78" s="60">
        <f>EM78-EN78</f>
        <v>-0.13600000000000012</v>
      </c>
      <c r="EP78" s="44">
        <f>AVERAGE(DZ78:EA78)</f>
        <v>4.3797690387016228</v>
      </c>
      <c r="EQ78" s="44">
        <f>AVERAGE(DX78:DY78)</f>
        <v>5.9669819819819825</v>
      </c>
      <c r="ER78" s="43">
        <f>EQ78-EP78</f>
        <v>1.5872129432803597</v>
      </c>
      <c r="ES78" s="64">
        <f>IF(CU78&gt;0.000001,CU78*352,0)</f>
        <v>675.83999999999992</v>
      </c>
      <c r="ET78" s="64">
        <f>IF(DC78&gt;0.0001,DC78*682,0)</f>
        <v>0</v>
      </c>
      <c r="EU78" s="64">
        <f>CY78*795</f>
        <v>763.19999999999993</v>
      </c>
      <c r="EV78" s="64">
        <f>ES78+ET78+EU78</f>
        <v>1439.04</v>
      </c>
      <c r="EW78" s="64">
        <f>IF(AA78="YES",3.5*18.2,0)</f>
        <v>63.699999999999996</v>
      </c>
      <c r="EX78" s="64">
        <f>EV78-EW78</f>
        <v>1375.34</v>
      </c>
    </row>
    <row r="79" spans="1:154" ht="15" x14ac:dyDescent="0.2">
      <c r="A79" s="29" t="s">
        <v>814</v>
      </c>
      <c r="B79" s="29">
        <v>41</v>
      </c>
      <c r="C79" s="29" t="s">
        <v>389</v>
      </c>
      <c r="D79" s="29" t="s">
        <v>389</v>
      </c>
      <c r="E79" s="29" t="str">
        <f>VLOOKUP(D79,Harvest_2017_Formulae!$C$2:$D$968,2,FALSE)</f>
        <v>Sangara</v>
      </c>
      <c r="F79" s="29" t="s">
        <v>1014</v>
      </c>
      <c r="G79" s="29">
        <v>0</v>
      </c>
      <c r="H79" s="61" t="str">
        <f>IF(G79&lt;0.05,"Homefield",IF(G79&lt;0.5,"Midfield","outfield"))</f>
        <v>Homefield</v>
      </c>
      <c r="I79" s="29" t="s">
        <v>549</v>
      </c>
      <c r="J79" s="61" t="s">
        <v>545</v>
      </c>
      <c r="K79" s="61" t="s">
        <v>2234</v>
      </c>
      <c r="L79" s="67">
        <v>0</v>
      </c>
      <c r="O79" s="29" t="s">
        <v>547</v>
      </c>
      <c r="Q79" s="67">
        <v>0</v>
      </c>
      <c r="R79" s="29" t="s">
        <v>547</v>
      </c>
      <c r="T79" s="29" t="s">
        <v>559</v>
      </c>
      <c r="U79" s="29" t="s">
        <v>560</v>
      </c>
      <c r="W79" s="29" t="s">
        <v>635</v>
      </c>
      <c r="Z79" s="29" t="s">
        <v>547</v>
      </c>
      <c r="AA79" s="61" t="s">
        <v>548</v>
      </c>
      <c r="AB79" s="29" t="s">
        <v>568</v>
      </c>
      <c r="AC79" s="67">
        <v>0</v>
      </c>
      <c r="AD79" s="29" t="s">
        <v>547</v>
      </c>
      <c r="AF79" s="29" t="s">
        <v>547</v>
      </c>
      <c r="AG79" s="29" t="s">
        <v>547</v>
      </c>
      <c r="AH79" s="29" t="s">
        <v>548</v>
      </c>
      <c r="AI79" s="29" t="s">
        <v>546</v>
      </c>
      <c r="AK79" s="67">
        <v>0</v>
      </c>
      <c r="AL79" s="29" t="s">
        <v>547</v>
      </c>
      <c r="AO79" s="29" t="s">
        <v>547</v>
      </c>
      <c r="AP79" s="29" t="s">
        <v>547</v>
      </c>
      <c r="AQ79" s="4">
        <f>Q79+AK79</f>
        <v>0</v>
      </c>
      <c r="AR79" s="4">
        <f>L79+AC79</f>
        <v>0</v>
      </c>
      <c r="AS79" t="str">
        <f>AQ79&amp;AR79</f>
        <v>00</v>
      </c>
      <c r="AT79" s="49">
        <f>AQ79-AR79</f>
        <v>0</v>
      </c>
      <c r="AU79">
        <v>1</v>
      </c>
      <c r="AV79" s="29" t="s">
        <v>548</v>
      </c>
      <c r="AW79" s="29">
        <v>3</v>
      </c>
      <c r="AX79" s="29" t="s">
        <v>546</v>
      </c>
      <c r="BA79" s="29" t="s">
        <v>546</v>
      </c>
      <c r="BB79" s="29" t="s">
        <v>547</v>
      </c>
      <c r="BD79" s="29">
        <f>AW79+AZ79</f>
        <v>3</v>
      </c>
      <c r="BE79" s="29">
        <f>BD79+BC79</f>
        <v>3</v>
      </c>
      <c r="BF79" s="29" t="s">
        <v>548</v>
      </c>
      <c r="BG79" s="29" t="s">
        <v>548</v>
      </c>
      <c r="BH79" s="29" t="s">
        <v>546</v>
      </c>
      <c r="BI79" s="29" t="s">
        <v>546</v>
      </c>
      <c r="BJ79" s="29" t="s">
        <v>546</v>
      </c>
      <c r="BK79" s="29" t="s">
        <v>546</v>
      </c>
      <c r="BL79" s="29">
        <v>2</v>
      </c>
      <c r="BM79" s="29" t="s">
        <v>580</v>
      </c>
      <c r="BN79" s="29">
        <v>2</v>
      </c>
      <c r="BO79" s="29" t="s">
        <v>580</v>
      </c>
      <c r="BQ79" s="29" t="s">
        <v>547</v>
      </c>
      <c r="BS79" s="29" t="s">
        <v>547</v>
      </c>
      <c r="BU79" s="29" t="s">
        <v>547</v>
      </c>
      <c r="BW79" s="29">
        <f>(BL79*1)+(BN79*0.1)+(BP79*0.01)+(BR79*0.1)+(BT79*0.3)+(BV79*0.4)</f>
        <v>2.2000000000000002</v>
      </c>
      <c r="BX79" s="29" t="s">
        <v>2219</v>
      </c>
      <c r="BY79" s="29">
        <v>3</v>
      </c>
      <c r="BZ79" s="29">
        <v>1</v>
      </c>
      <c r="CA79" s="29">
        <v>3</v>
      </c>
      <c r="CB79" s="29">
        <v>7</v>
      </c>
      <c r="CC79" s="29">
        <v>0</v>
      </c>
      <c r="CD79" s="29">
        <v>0</v>
      </c>
      <c r="CE79" s="29">
        <v>0</v>
      </c>
      <c r="CG79" s="29">
        <f>(CC79*15)+(CD79*0.8)+(CE79*0.3)+((AW79+AZ79)*15)</f>
        <v>45</v>
      </c>
      <c r="CH79" s="29" t="s">
        <v>2220</v>
      </c>
      <c r="CI79" s="29">
        <f>(BL79*1)+(BN79*0.1)+(BP79*0.01)+(BR79*0.1)+(BT79*0.3)+(BV79*0.4)+(CC79*15)+(CD79*0.8)+(CE79*0.3)+((AW79+AZ79)*15)</f>
        <v>47.2</v>
      </c>
      <c r="CJ79" s="29" t="s">
        <v>548</v>
      </c>
      <c r="CK79" s="29" t="s">
        <v>797</v>
      </c>
      <c r="CL79" s="29" t="s">
        <v>548</v>
      </c>
      <c r="CM79" s="29" t="s">
        <v>1028</v>
      </c>
      <c r="CN79" s="29">
        <v>0.25</v>
      </c>
      <c r="CO79" s="29">
        <v>0.75</v>
      </c>
      <c r="CP79" s="29">
        <v>0</v>
      </c>
      <c r="CQ79" s="29" t="s">
        <v>548</v>
      </c>
      <c r="CR79" s="29">
        <v>1</v>
      </c>
      <c r="CS79" s="29">
        <v>4</v>
      </c>
      <c r="CT79" s="29" t="s">
        <v>551</v>
      </c>
      <c r="CU79" s="30">
        <v>0.96</v>
      </c>
      <c r="CW79" s="29">
        <v>999</v>
      </c>
      <c r="CX79" s="29" t="s">
        <v>551</v>
      </c>
      <c r="CY79" s="62"/>
      <c r="CZ79" s="29">
        <v>1</v>
      </c>
      <c r="DA79" s="29">
        <v>1.3300000429153442</v>
      </c>
      <c r="DB79" s="29" t="s">
        <v>551</v>
      </c>
      <c r="DC79" s="62">
        <v>0.31920001029968259</v>
      </c>
      <c r="DD79" s="29" t="s">
        <v>548</v>
      </c>
      <c r="DE79" s="29" t="s">
        <v>548</v>
      </c>
      <c r="DF79" s="29" t="s">
        <v>548</v>
      </c>
      <c r="DG79" s="29" t="s">
        <v>548</v>
      </c>
      <c r="DH79" s="29" t="s">
        <v>548</v>
      </c>
      <c r="DI79" s="29">
        <v>5</v>
      </c>
      <c r="DJ79" s="29">
        <v>3</v>
      </c>
      <c r="DK79" s="29" t="s">
        <v>1295</v>
      </c>
      <c r="DL79" s="29" t="s">
        <v>1296</v>
      </c>
      <c r="DM79" s="29">
        <v>-4.2742643356323242</v>
      </c>
      <c r="DN79" s="29">
        <v>35.624156951904297</v>
      </c>
      <c r="DO79" s="29">
        <v>1451.4000244140625</v>
      </c>
      <c r="DP79" s="29">
        <v>10</v>
      </c>
      <c r="DQ79" s="29">
        <v>1705231439</v>
      </c>
      <c r="DR79" s="29" t="s">
        <v>1297</v>
      </c>
      <c r="DS79" s="31">
        <v>42908.292685185181</v>
      </c>
      <c r="DT79" s="31">
        <v>42899.71503472222</v>
      </c>
      <c r="DU79" s="31">
        <v>42908.289988425924</v>
      </c>
      <c r="DV79" s="32">
        <v>42738</v>
      </c>
      <c r="DX79" s="44"/>
      <c r="DY79" s="44"/>
      <c r="DZ79" s="44"/>
      <c r="EA79" s="44"/>
      <c r="EB79" s="34"/>
      <c r="EC79" s="29">
        <f>IF(EQ79&lt;EP79,"FALSEE",1)</f>
        <v>1</v>
      </c>
      <c r="ED79" s="34"/>
      <c r="EE79" s="29" t="s">
        <v>2181</v>
      </c>
      <c r="EF79" s="29">
        <v>17.2106723785</v>
      </c>
      <c r="EG79" s="29" t="str">
        <f>IF(EF79&lt;0.5,"Depression",IF(EF79&lt;2,"Very gentle",IF(EF79&lt;5,"Gentle",IF(EF79&lt;9,"Moderate",IF(EF79&lt;15,"Strong",IF(EF79&lt;30,"Steep",IF(EF79&lt;1,"Very steep")))))))</f>
        <v>Steep</v>
      </c>
      <c r="EH79" s="29" t="s">
        <v>2182</v>
      </c>
      <c r="EI79" s="29">
        <v>1.1783530712100001</v>
      </c>
      <c r="EJ79" s="43">
        <v>6.3579244613599997</v>
      </c>
      <c r="EK79" s="43"/>
      <c r="EL79" s="43"/>
      <c r="EM79" s="43"/>
      <c r="EN79" s="43"/>
      <c r="EO79" s="60"/>
      <c r="EP79" s="44"/>
      <c r="EQ79" s="44"/>
      <c r="ER79" s="43"/>
      <c r="ES79" s="64">
        <f>IF(CU79&gt;0.000001,CU79*352,0)</f>
        <v>337.91999999999996</v>
      </c>
      <c r="ET79" s="64">
        <f>IF(DC79&gt;0.0001,DC79*682,0)</f>
        <v>217.69440702438354</v>
      </c>
      <c r="EU79" s="64">
        <f>CY79*795</f>
        <v>0</v>
      </c>
      <c r="EV79" s="64">
        <f>ES79+ET79+EU79</f>
        <v>555.61440702438347</v>
      </c>
      <c r="EW79" s="64">
        <f>IF(AA79="YES",3.5*18.2,0)</f>
        <v>63.699999999999996</v>
      </c>
      <c r="EX79" s="64">
        <f>EV79-EW79</f>
        <v>491.91440702438348</v>
      </c>
    </row>
    <row r="80" spans="1:154" ht="15" x14ac:dyDescent="0.2">
      <c r="A80" s="29" t="s">
        <v>556</v>
      </c>
      <c r="B80" s="29">
        <v>236</v>
      </c>
      <c r="C80" s="29" t="s">
        <v>785</v>
      </c>
      <c r="D80" s="29" t="s">
        <v>133</v>
      </c>
      <c r="E80" s="29" t="str">
        <f>VLOOKUP(D80,Harvest_2017_Formulae!$C$2:$D$968,2,FALSE)</f>
        <v>ENDAGWE</v>
      </c>
      <c r="F80" s="29" t="s">
        <v>732</v>
      </c>
      <c r="G80" s="29">
        <v>0</v>
      </c>
      <c r="H80" s="61" t="str">
        <f>IF(G80&lt;0.05,"Homefield",IF(G80&lt;0.5,"Midfield","outfield"))</f>
        <v>Homefield</v>
      </c>
      <c r="I80" s="29" t="s">
        <v>557</v>
      </c>
      <c r="J80" s="61" t="s">
        <v>2233</v>
      </c>
      <c r="K80" s="61" t="s">
        <v>2233</v>
      </c>
      <c r="L80" s="67">
        <v>0</v>
      </c>
      <c r="O80" s="29" t="s">
        <v>547</v>
      </c>
      <c r="Q80" s="67">
        <v>0</v>
      </c>
      <c r="R80" s="29" t="s">
        <v>547</v>
      </c>
      <c r="U80" s="29" t="s">
        <v>547</v>
      </c>
      <c r="W80" s="29" t="s">
        <v>547</v>
      </c>
      <c r="Z80" s="29" t="s">
        <v>547</v>
      </c>
      <c r="AA80" s="61" t="s">
        <v>546</v>
      </c>
      <c r="AB80" s="29" t="s">
        <v>547</v>
      </c>
      <c r="AC80" s="67">
        <v>0</v>
      </c>
      <c r="AD80" s="29" t="s">
        <v>547</v>
      </c>
      <c r="AF80" s="29" t="s">
        <v>547</v>
      </c>
      <c r="AG80" s="29" t="s">
        <v>547</v>
      </c>
      <c r="AH80" s="29" t="s">
        <v>546</v>
      </c>
      <c r="AI80" s="29" t="s">
        <v>546</v>
      </c>
      <c r="AJ80" s="29" t="s">
        <v>547</v>
      </c>
      <c r="AK80" s="67">
        <v>0</v>
      </c>
      <c r="AL80" s="29" t="s">
        <v>547</v>
      </c>
      <c r="AO80" s="29" t="s">
        <v>547</v>
      </c>
      <c r="AP80" s="29" t="s">
        <v>547</v>
      </c>
      <c r="AQ80" s="4">
        <f>Q80+AK80</f>
        <v>0</v>
      </c>
      <c r="AR80" s="4">
        <f>L80+AC80</f>
        <v>0</v>
      </c>
      <c r="AS80" t="str">
        <f>AQ80&amp;AR80</f>
        <v>00</v>
      </c>
      <c r="AT80" s="49">
        <f>AQ80-AR80</f>
        <v>0</v>
      </c>
      <c r="AU80">
        <v>1</v>
      </c>
      <c r="AV80" s="29" t="s">
        <v>548</v>
      </c>
      <c r="AW80" s="29">
        <v>0.25</v>
      </c>
      <c r="AX80" s="29" t="s">
        <v>548</v>
      </c>
      <c r="AY80" s="29">
        <v>1</v>
      </c>
      <c r="AZ80" s="29">
        <v>3</v>
      </c>
      <c r="BA80" s="29" t="s">
        <v>546</v>
      </c>
      <c r="BB80" s="29" t="s">
        <v>547</v>
      </c>
      <c r="BD80" s="29">
        <f>AW80+AZ80</f>
        <v>3.25</v>
      </c>
      <c r="BE80" s="29">
        <f>BD80+BC80</f>
        <v>3.25</v>
      </c>
      <c r="BF80" s="29" t="s">
        <v>548</v>
      </c>
      <c r="BG80" s="29" t="s">
        <v>548</v>
      </c>
      <c r="BH80" s="29" t="s">
        <v>546</v>
      </c>
      <c r="BI80" s="29" t="s">
        <v>546</v>
      </c>
      <c r="BJ80" s="29" t="s">
        <v>546</v>
      </c>
      <c r="BK80" s="29" t="s">
        <v>546</v>
      </c>
      <c r="BL80" s="29">
        <v>2</v>
      </c>
      <c r="BM80" s="29" t="s">
        <v>549</v>
      </c>
      <c r="BN80" s="29">
        <v>6</v>
      </c>
      <c r="BO80" s="29" t="s">
        <v>549</v>
      </c>
      <c r="BQ80" s="29" t="s">
        <v>547</v>
      </c>
      <c r="BS80" s="29" t="s">
        <v>547</v>
      </c>
      <c r="BU80" s="29" t="s">
        <v>547</v>
      </c>
      <c r="BW80" s="29">
        <f>(BL80*1)+(BN80*0.1)+(BP80*0.01)+(BR80*0.1)+(BT80*0.3)+(BV80*0.4)</f>
        <v>2.6</v>
      </c>
      <c r="BX80" s="29" t="s">
        <v>2219</v>
      </c>
      <c r="BY80" s="29">
        <v>1</v>
      </c>
      <c r="BZ80" s="29">
        <v>2</v>
      </c>
      <c r="CA80" s="29">
        <v>2</v>
      </c>
      <c r="CB80" s="29">
        <v>5</v>
      </c>
      <c r="CC80" s="29">
        <v>0</v>
      </c>
      <c r="CD80" s="29">
        <v>0</v>
      </c>
      <c r="CE80" s="29">
        <v>0</v>
      </c>
      <c r="CF80" s="29" t="s">
        <v>547</v>
      </c>
      <c r="CG80" s="29">
        <f>(CC80*15)+(CD80*0.8)+(CE80*0.3)+((AW80+AZ80)*15)</f>
        <v>48.75</v>
      </c>
      <c r="CH80" s="29" t="s">
        <v>2220</v>
      </c>
      <c r="CI80" s="29">
        <f>(BL80*1)+(BN80*0.1)+(BP80*0.01)+(BR80*0.1)+(BT80*0.3)+(BV80*0.4)+(CC80*15)+(CD80*0.8)+(CE80*0.3)+((AW80+AZ80)*15)</f>
        <v>51.35</v>
      </c>
      <c r="CJ80" s="29" t="s">
        <v>546</v>
      </c>
      <c r="CK80" s="29" t="s">
        <v>547</v>
      </c>
      <c r="CL80" s="29" t="s">
        <v>546</v>
      </c>
      <c r="CM80" s="29" t="s">
        <v>547</v>
      </c>
      <c r="CN80" s="29">
        <v>0.25</v>
      </c>
      <c r="CQ80" s="29" t="s">
        <v>548</v>
      </c>
      <c r="CR80" s="29">
        <v>0.25</v>
      </c>
      <c r="CS80" s="29">
        <v>2</v>
      </c>
      <c r="CT80" s="29" t="s">
        <v>551</v>
      </c>
      <c r="CU80" s="30">
        <v>1.92</v>
      </c>
      <c r="CW80" s="29">
        <v>999</v>
      </c>
      <c r="CX80" s="29" t="s">
        <v>551</v>
      </c>
      <c r="CY80" s="62"/>
      <c r="CZ80" s="29">
        <v>0.25</v>
      </c>
      <c r="DA80" s="29">
        <v>2</v>
      </c>
      <c r="DB80" s="29" t="s">
        <v>552</v>
      </c>
      <c r="DC80" s="62">
        <v>0.32063999999999998</v>
      </c>
      <c r="DD80" s="29" t="s">
        <v>546</v>
      </c>
      <c r="DE80" s="29" t="s">
        <v>546</v>
      </c>
      <c r="DF80" s="29" t="s">
        <v>546</v>
      </c>
      <c r="DG80" s="29" t="s">
        <v>546</v>
      </c>
      <c r="DH80" s="29" t="s">
        <v>546</v>
      </c>
      <c r="DI80" s="29">
        <v>0</v>
      </c>
      <c r="DJ80" s="29">
        <v>2</v>
      </c>
      <c r="DK80" s="29" t="s">
        <v>786</v>
      </c>
      <c r="DL80" s="29" t="s">
        <v>787</v>
      </c>
      <c r="DM80" s="29">
        <v>-4.37982177734375</v>
      </c>
      <c r="DN80" s="29">
        <v>35.647148132324219</v>
      </c>
      <c r="DO80" s="29">
        <v>1693.699951171875</v>
      </c>
      <c r="DP80" s="29">
        <v>5</v>
      </c>
      <c r="DQ80" s="29">
        <v>1706031849</v>
      </c>
      <c r="DR80" s="29" t="s">
        <v>788</v>
      </c>
      <c r="DS80" s="31">
        <v>42951.125925925924</v>
      </c>
      <c r="DT80" s="31">
        <v>42935.477210648147</v>
      </c>
      <c r="DU80" s="31">
        <v>42951.025972222225</v>
      </c>
      <c r="DV80" s="32">
        <v>42764</v>
      </c>
      <c r="DW80" s="33"/>
      <c r="DX80" s="44">
        <v>1.4205050505050507</v>
      </c>
      <c r="DY80" s="44">
        <v>1.603636363636364</v>
      </c>
      <c r="DZ80" s="44">
        <v>1.825364583333333</v>
      </c>
      <c r="EA80" s="44">
        <v>1.7470486111111108</v>
      </c>
      <c r="EC80" s="29" t="str">
        <f>IF(EQ80&lt;EP80,"FALSEE",1)</f>
        <v>FALSEE</v>
      </c>
      <c r="EE80" s="29" t="s">
        <v>2180</v>
      </c>
      <c r="EF80" s="29">
        <v>7.8896226882900002</v>
      </c>
      <c r="EG80" s="29" t="str">
        <f>IF(EF80&lt;0.5,"Depression",IF(EF80&lt;2,"Very gentle",IF(EF80&lt;5,"Gentle",IF(EF80&lt;9,"Moderate",IF(EF80&lt;15,"Strong",IF(EF80&lt;30,"Steep",IF(EF80&lt;1,"Very steep")))))))</f>
        <v>Moderate</v>
      </c>
      <c r="EH80" s="29" t="s">
        <v>2178</v>
      </c>
      <c r="EI80" s="29">
        <v>0.45321798324599999</v>
      </c>
      <c r="EJ80" s="43">
        <v>6.9400124549899997</v>
      </c>
      <c r="EK80" s="43">
        <f>VLOOKUP(D80,[1]SoilData!$G$15:$K$237,5,FALSE)</f>
        <v>387.76831489195655</v>
      </c>
      <c r="EL80" s="43">
        <f>VLOOKUP(D80,[1]SoilData!$G$245:$K$451,5,FALSE)</f>
        <v>201.27456078648834</v>
      </c>
      <c r="EM80" s="43">
        <f>VLOOKUP(D80,[1]SoilData!$G$15:$M$238,7,FALSE)</f>
        <v>1.1619999999999999</v>
      </c>
      <c r="EN80" s="43">
        <f>VLOOKUP(D80,[1]SoilData!$G$245:$M$454,7,FALSE)</f>
        <v>0.74</v>
      </c>
      <c r="EO80" s="60">
        <f>EM80-EN80</f>
        <v>0.42199999999999993</v>
      </c>
      <c r="EP80" s="44">
        <f>AVERAGE(DZ80:EA80)</f>
        <v>1.7862065972222219</v>
      </c>
      <c r="EQ80" s="44">
        <f>AVERAGE(DX80:DY80)</f>
        <v>1.5120707070707073</v>
      </c>
      <c r="ER80" s="43">
        <f>EQ80-EP80</f>
        <v>-0.27413589015151452</v>
      </c>
      <c r="ES80" s="64">
        <f>IF(CU80&gt;0.000001,CU80*352,0)</f>
        <v>675.83999999999992</v>
      </c>
      <c r="ET80" s="64">
        <f>IF(DC80&gt;0.0001,DC80*682,0)</f>
        <v>218.67648</v>
      </c>
      <c r="EU80" s="64">
        <f>CY80*795</f>
        <v>0</v>
      </c>
      <c r="EV80" s="64">
        <f>ES80+ET80+EU80</f>
        <v>894.51647999999989</v>
      </c>
      <c r="EW80" s="64">
        <f>IF(AA80="YES",3.5*18.2,0)</f>
        <v>0</v>
      </c>
      <c r="EX80" s="64">
        <f>EV80-EW80</f>
        <v>894.51647999999989</v>
      </c>
    </row>
    <row r="81" spans="1:154" ht="15" x14ac:dyDescent="0.2">
      <c r="A81" s="29" t="s">
        <v>556</v>
      </c>
      <c r="B81" s="29">
        <v>202</v>
      </c>
      <c r="C81" s="29" t="s">
        <v>1368</v>
      </c>
      <c r="D81" s="29" t="s">
        <v>405</v>
      </c>
      <c r="E81" s="29" t="str">
        <f>VLOOKUP(D81,Harvest_2017_Formulae!$C$2:$D$968,2,FALSE)</f>
        <v>TSAMASI</v>
      </c>
      <c r="F81" s="29" t="s">
        <v>1014</v>
      </c>
      <c r="G81" s="29">
        <v>0</v>
      </c>
      <c r="H81" s="61" t="str">
        <f>IF(G81&lt;0.05,"Homefield",IF(G81&lt;0.5,"Midfield","outfield"))</f>
        <v>Homefield</v>
      </c>
      <c r="I81" s="29" t="s">
        <v>557</v>
      </c>
      <c r="J81" s="61" t="s">
        <v>2233</v>
      </c>
      <c r="K81" s="61" t="s">
        <v>2233</v>
      </c>
      <c r="L81" s="67">
        <v>0</v>
      </c>
      <c r="O81" s="29" t="s">
        <v>547</v>
      </c>
      <c r="Q81" s="67">
        <v>0</v>
      </c>
      <c r="R81" s="29" t="s">
        <v>547</v>
      </c>
      <c r="U81" s="29" t="s">
        <v>547</v>
      </c>
      <c r="W81" s="29" t="s">
        <v>547</v>
      </c>
      <c r="Z81" s="29" t="s">
        <v>547</v>
      </c>
      <c r="AA81" s="61" t="s">
        <v>548</v>
      </c>
      <c r="AB81" s="29" t="s">
        <v>568</v>
      </c>
      <c r="AC81" s="67">
        <v>0</v>
      </c>
      <c r="AD81" s="29" t="s">
        <v>547</v>
      </c>
      <c r="AF81" s="29" t="s">
        <v>547</v>
      </c>
      <c r="AG81" s="29" t="s">
        <v>547</v>
      </c>
      <c r="AH81" s="29" t="s">
        <v>548</v>
      </c>
      <c r="AI81" s="29" t="s">
        <v>546</v>
      </c>
      <c r="AJ81" s="29" t="s">
        <v>547</v>
      </c>
      <c r="AK81" s="67">
        <v>0</v>
      </c>
      <c r="AL81" s="29" t="s">
        <v>547</v>
      </c>
      <c r="AO81" s="29" t="s">
        <v>547</v>
      </c>
      <c r="AP81" s="29" t="s">
        <v>547</v>
      </c>
      <c r="AQ81" s="4">
        <f>Q81+AK81</f>
        <v>0</v>
      </c>
      <c r="AR81" s="4">
        <f>L81+AC81</f>
        <v>0</v>
      </c>
      <c r="AS81" t="str">
        <f>AQ81&amp;AR81</f>
        <v>00</v>
      </c>
      <c r="AT81" s="49">
        <f>AQ81-AR81</f>
        <v>0</v>
      </c>
      <c r="AU81">
        <v>1</v>
      </c>
      <c r="AV81" s="29" t="s">
        <v>548</v>
      </c>
      <c r="AW81" s="29">
        <v>0.25</v>
      </c>
      <c r="AX81" s="29" t="s">
        <v>548</v>
      </c>
      <c r="AY81" s="29">
        <v>4</v>
      </c>
      <c r="AZ81" s="29">
        <v>6</v>
      </c>
      <c r="BA81" s="29" t="s">
        <v>548</v>
      </c>
      <c r="BB81" s="29" t="s">
        <v>569</v>
      </c>
      <c r="BC81" s="29">
        <v>3</v>
      </c>
      <c r="BD81" s="29">
        <f>AW81+AZ81</f>
        <v>6.25</v>
      </c>
      <c r="BE81" s="29">
        <f>BD81+BC81</f>
        <v>9.25</v>
      </c>
      <c r="BF81" s="29" t="s">
        <v>548</v>
      </c>
      <c r="BG81" s="29" t="s">
        <v>548</v>
      </c>
      <c r="BH81" s="29" t="s">
        <v>548</v>
      </c>
      <c r="BI81" s="29" t="s">
        <v>546</v>
      </c>
      <c r="BJ81" s="29" t="s">
        <v>546</v>
      </c>
      <c r="BK81" s="29" t="s">
        <v>546</v>
      </c>
      <c r="BL81" s="29">
        <v>2</v>
      </c>
      <c r="BM81" s="29" t="s">
        <v>549</v>
      </c>
      <c r="BN81" s="29">
        <v>6</v>
      </c>
      <c r="BO81" s="29" t="s">
        <v>549</v>
      </c>
      <c r="BP81" s="29">
        <v>15</v>
      </c>
      <c r="BQ81" s="29" t="s">
        <v>549</v>
      </c>
      <c r="BS81" s="29" t="s">
        <v>547</v>
      </c>
      <c r="BU81" s="29" t="s">
        <v>547</v>
      </c>
      <c r="BW81" s="29">
        <f>(BL81*1)+(BN81*0.1)+(BP81*0.01)+(BR81*0.1)+(BT81*0.3)+(BV81*0.4)</f>
        <v>2.75</v>
      </c>
      <c r="BX81" s="29" t="s">
        <v>2219</v>
      </c>
      <c r="BY81" s="29">
        <v>1</v>
      </c>
      <c r="BZ81" s="29">
        <v>2</v>
      </c>
      <c r="CA81" s="29">
        <v>6</v>
      </c>
      <c r="CB81" s="29">
        <v>9</v>
      </c>
      <c r="CC81" s="29">
        <v>0</v>
      </c>
      <c r="CD81" s="29">
        <v>0</v>
      </c>
      <c r="CE81" s="29">
        <v>0</v>
      </c>
      <c r="CF81" s="29" t="s">
        <v>547</v>
      </c>
      <c r="CG81" s="29">
        <f>(CC81*15)+(CD81*0.8)+(CE81*0.3)+((AW81+AZ81)*15)</f>
        <v>93.75</v>
      </c>
      <c r="CH81" s="29" t="s">
        <v>2221</v>
      </c>
      <c r="CI81" s="29">
        <f>(BL81*1)+(BN81*0.1)+(BP81*0.01)+(BR81*0.1)+(BT81*0.3)+(BV81*0.4)+(CC81*15)+(CD81*0.8)+(CE81*0.3)+((AW81+AZ81)*15)</f>
        <v>96.5</v>
      </c>
      <c r="CJ81" s="29" t="s">
        <v>546</v>
      </c>
      <c r="CK81" s="29" t="s">
        <v>547</v>
      </c>
      <c r="CL81" s="29" t="s">
        <v>546</v>
      </c>
      <c r="CM81" s="29" t="s">
        <v>547</v>
      </c>
      <c r="CN81" s="29">
        <v>0.25</v>
      </c>
      <c r="CO81" s="29">
        <v>1</v>
      </c>
      <c r="CQ81" s="29" t="s">
        <v>546</v>
      </c>
      <c r="CR81" s="29">
        <v>1.25</v>
      </c>
      <c r="CS81" s="29">
        <v>5</v>
      </c>
      <c r="CT81" s="29" t="s">
        <v>552</v>
      </c>
      <c r="CU81" s="30">
        <v>0.16031999999999999</v>
      </c>
      <c r="CW81" s="29">
        <v>999</v>
      </c>
      <c r="CX81" s="29" t="s">
        <v>552</v>
      </c>
      <c r="CY81" s="62"/>
      <c r="CZ81" s="29">
        <v>1.25</v>
      </c>
      <c r="DA81" s="29">
        <v>1.5</v>
      </c>
      <c r="DB81" s="29" t="s">
        <v>551</v>
      </c>
      <c r="DC81" s="62">
        <v>0.28799999999999998</v>
      </c>
      <c r="DD81" s="29" t="s">
        <v>548</v>
      </c>
      <c r="DE81" s="29" t="s">
        <v>548</v>
      </c>
      <c r="DF81" s="29" t="s">
        <v>548</v>
      </c>
      <c r="DG81" s="29" t="s">
        <v>548</v>
      </c>
      <c r="DH81" s="29" t="s">
        <v>548</v>
      </c>
      <c r="DI81" s="29">
        <v>5</v>
      </c>
      <c r="DJ81" s="29">
        <v>3</v>
      </c>
      <c r="DK81" s="29" t="s">
        <v>1369</v>
      </c>
      <c r="DL81" s="29" t="s">
        <v>1370</v>
      </c>
      <c r="DM81" s="29">
        <v>-4.2946481704711914</v>
      </c>
      <c r="DN81" s="29">
        <v>35.818572998046875</v>
      </c>
      <c r="DO81" s="29">
        <v>1338</v>
      </c>
      <c r="DP81" s="29">
        <v>5</v>
      </c>
      <c r="DQ81" s="29">
        <v>1706031849</v>
      </c>
      <c r="DR81" s="29" t="s">
        <v>1371</v>
      </c>
      <c r="DS81" s="31">
        <v>42948.908506944441</v>
      </c>
      <c r="DT81" s="31">
        <v>42938.517754629633</v>
      </c>
      <c r="DU81" s="31">
        <v>42938.524930555555</v>
      </c>
      <c r="DV81" s="32">
        <v>42800</v>
      </c>
      <c r="DX81" s="44">
        <v>2.5646005509641876</v>
      </c>
      <c r="DY81" s="44">
        <v>3.5864646464646466</v>
      </c>
      <c r="DZ81" s="44">
        <v>3.6490697674418611</v>
      </c>
      <c r="EA81" s="44">
        <v>2.264418604651163</v>
      </c>
      <c r="EC81" s="29">
        <f>IF(EQ81&lt;EP81,"FALSEE",1)</f>
        <v>1</v>
      </c>
      <c r="EE81" s="29" t="s">
        <v>2171</v>
      </c>
      <c r="EF81" s="29">
        <v>3.3978817462899999</v>
      </c>
      <c r="EG81" s="29" t="str">
        <f>IF(EF81&lt;0.5,"Depression",IF(EF81&lt;2,"Very gentle",IF(EF81&lt;5,"Gentle",IF(EF81&lt;9,"Moderate",IF(EF81&lt;15,"Strong",IF(EF81&lt;30,"Steep",IF(EF81&lt;1,"Very steep")))))))</f>
        <v>Gentle</v>
      </c>
      <c r="EH81" s="29" t="s">
        <v>2173</v>
      </c>
      <c r="EI81" s="29">
        <v>0.36257606744799997</v>
      </c>
      <c r="EJ81" s="43">
        <v>8.9012861251800004</v>
      </c>
      <c r="EK81" s="43">
        <f>VLOOKUP(D81,[1]SoilData!$G$15:$K$237,5,FALSE)</f>
        <v>1023.4066217998582</v>
      </c>
      <c r="EL81" s="43">
        <f>VLOOKUP(D81,[1]SoilData!$G$245:$K$451,5,FALSE)</f>
        <v>510.05789830154231</v>
      </c>
      <c r="EM81" s="43">
        <f>VLOOKUP(D81,[1]SoilData!$G$15:$M$238,7,FALSE)</f>
        <v>1.5149999999999999</v>
      </c>
      <c r="EN81" s="43">
        <f>VLOOKUP(D81,[1]SoilData!$G$245:$M$454,7,FALSE)</f>
        <v>1.506</v>
      </c>
      <c r="EO81" s="60">
        <f>EM81-EN81</f>
        <v>8.999999999999897E-3</v>
      </c>
      <c r="EP81" s="44">
        <f>AVERAGE(DZ81:EA81)</f>
        <v>2.956744186046512</v>
      </c>
      <c r="EQ81" s="44">
        <f>AVERAGE(DX81:DY81)</f>
        <v>3.0755325987144171</v>
      </c>
      <c r="ER81" s="43">
        <f>EQ81-EP81</f>
        <v>0.11878841266790507</v>
      </c>
      <c r="ES81" s="64">
        <f>IF(CU81&gt;0.000001,CU81*352,0)</f>
        <v>56.432639999999999</v>
      </c>
      <c r="ET81" s="64">
        <f>IF(DC81&gt;0.0001,DC81*682,0)</f>
        <v>196.416</v>
      </c>
      <c r="EU81" s="64">
        <f>CY81*795</f>
        <v>0</v>
      </c>
      <c r="EV81" s="64">
        <f>ES81+ET81+EU81</f>
        <v>252.84863999999999</v>
      </c>
      <c r="EW81" s="64">
        <f>IF(AA81="YES",3.5*18.2,0)</f>
        <v>63.699999999999996</v>
      </c>
      <c r="EX81" s="64">
        <f>EV81-EW81</f>
        <v>189.14864</v>
      </c>
    </row>
    <row r="82" spans="1:154" ht="15" x14ac:dyDescent="0.2">
      <c r="A82" s="29" t="s">
        <v>556</v>
      </c>
      <c r="B82" s="29">
        <v>191</v>
      </c>
      <c r="C82" s="29" t="s">
        <v>930</v>
      </c>
      <c r="D82" s="29" t="s">
        <v>168</v>
      </c>
      <c r="E82" s="29" t="str">
        <f>VLOOKUP(D82,Harvest_2017_Formulae!$C$2:$D$968,2,FALSE)</f>
        <v>ENDANOGA</v>
      </c>
      <c r="F82" s="29" t="s">
        <v>843</v>
      </c>
      <c r="G82" s="29">
        <v>3</v>
      </c>
      <c r="H82" s="61" t="str">
        <f>IF(G82&lt;0.05,"Homefield",IF(G82&lt;0.5,"Midfield","outfield"))</f>
        <v>outfield</v>
      </c>
      <c r="I82" s="29" t="s">
        <v>557</v>
      </c>
      <c r="J82" s="61" t="s">
        <v>2233</v>
      </c>
      <c r="K82" s="61" t="s">
        <v>2233</v>
      </c>
      <c r="L82" s="67">
        <v>0</v>
      </c>
      <c r="O82" s="29" t="s">
        <v>547</v>
      </c>
      <c r="Q82" s="67">
        <v>0</v>
      </c>
      <c r="R82" s="29" t="s">
        <v>547</v>
      </c>
      <c r="U82" s="29" t="s">
        <v>547</v>
      </c>
      <c r="W82" s="29" t="s">
        <v>547</v>
      </c>
      <c r="Z82" s="29" t="s">
        <v>547</v>
      </c>
      <c r="AA82" s="61" t="s">
        <v>546</v>
      </c>
      <c r="AB82" s="29" t="s">
        <v>547</v>
      </c>
      <c r="AC82" s="67">
        <v>0</v>
      </c>
      <c r="AD82" s="29" t="s">
        <v>547</v>
      </c>
      <c r="AF82" s="29" t="s">
        <v>547</v>
      </c>
      <c r="AG82" s="29" t="s">
        <v>547</v>
      </c>
      <c r="AH82" s="29" t="s">
        <v>546</v>
      </c>
      <c r="AI82" s="29" t="s">
        <v>546</v>
      </c>
      <c r="AJ82" s="29" t="s">
        <v>547</v>
      </c>
      <c r="AK82" s="67">
        <v>0</v>
      </c>
      <c r="AL82" s="29" t="s">
        <v>547</v>
      </c>
      <c r="AO82" s="29" t="s">
        <v>547</v>
      </c>
      <c r="AP82" s="29" t="s">
        <v>547</v>
      </c>
      <c r="AQ82" s="4">
        <f>Q82+AK82</f>
        <v>0</v>
      </c>
      <c r="AR82" s="4">
        <f>L82+AC82</f>
        <v>0</v>
      </c>
      <c r="AS82" t="str">
        <f>AQ82&amp;AR82</f>
        <v>00</v>
      </c>
      <c r="AT82" s="49">
        <f>AQ82-AR82</f>
        <v>0</v>
      </c>
      <c r="AU82">
        <v>1</v>
      </c>
      <c r="AV82" s="29" t="s">
        <v>548</v>
      </c>
      <c r="AW82" s="29">
        <v>0.25</v>
      </c>
      <c r="AX82" s="29" t="s">
        <v>548</v>
      </c>
      <c r="AY82" s="29">
        <v>2</v>
      </c>
      <c r="AZ82" s="29">
        <v>18</v>
      </c>
      <c r="BA82" s="29" t="s">
        <v>548</v>
      </c>
      <c r="BB82" s="29" t="s">
        <v>569</v>
      </c>
      <c r="BC82" s="29">
        <v>8</v>
      </c>
      <c r="BD82" s="29">
        <f>AW82+AZ82</f>
        <v>18.25</v>
      </c>
      <c r="BE82" s="29">
        <f>BD82+BC82</f>
        <v>26.25</v>
      </c>
      <c r="BF82" s="29" t="s">
        <v>548</v>
      </c>
      <c r="BG82" s="29" t="s">
        <v>546</v>
      </c>
      <c r="BH82" s="29" t="s">
        <v>546</v>
      </c>
      <c r="BI82" s="29" t="s">
        <v>546</v>
      </c>
      <c r="BJ82" s="29" t="s">
        <v>546</v>
      </c>
      <c r="BK82" s="29" t="s">
        <v>546</v>
      </c>
      <c r="BL82" s="29">
        <v>3</v>
      </c>
      <c r="BM82" s="29" t="s">
        <v>549</v>
      </c>
      <c r="BO82" s="29" t="s">
        <v>547</v>
      </c>
      <c r="BQ82" s="29" t="s">
        <v>547</v>
      </c>
      <c r="BS82" s="29" t="s">
        <v>547</v>
      </c>
      <c r="BU82" s="29" t="s">
        <v>547</v>
      </c>
      <c r="BW82" s="29">
        <f>(BL82*1)+(BN82*0.1)+(BP82*0.01)+(BR82*0.1)+(BT82*0.3)+(BV82*0.4)</f>
        <v>3</v>
      </c>
      <c r="BX82" s="29" t="s">
        <v>2219</v>
      </c>
      <c r="BY82" s="29">
        <v>1</v>
      </c>
      <c r="BZ82" s="29">
        <v>1</v>
      </c>
      <c r="CA82" s="29">
        <v>1</v>
      </c>
      <c r="CB82" s="29">
        <v>3</v>
      </c>
      <c r="CC82" s="29">
        <v>0</v>
      </c>
      <c r="CD82" s="29">
        <v>0</v>
      </c>
      <c r="CE82" s="29">
        <v>0</v>
      </c>
      <c r="CF82" s="29" t="s">
        <v>547</v>
      </c>
      <c r="CG82" s="29">
        <f>(CC82*15)+(CD82*0.8)+(CE82*0.3)+((AW82+AZ82)*15)</f>
        <v>273.75</v>
      </c>
      <c r="CH82" s="29" t="s">
        <v>2221</v>
      </c>
      <c r="CI82" s="29">
        <f>(BL82*1)+(BN82*0.1)+(BP82*0.01)+(BR82*0.1)+(BT82*0.3)+(BV82*0.4)+(CC82*15)+(CD82*0.8)+(CE82*0.3)+((AW82+AZ82)*15)</f>
        <v>276.75</v>
      </c>
      <c r="CJ82" s="29" t="s">
        <v>546</v>
      </c>
      <c r="CK82" s="29" t="s">
        <v>547</v>
      </c>
      <c r="CL82" s="29" t="s">
        <v>548</v>
      </c>
      <c r="CM82" s="29" t="s">
        <v>550</v>
      </c>
      <c r="CN82" s="29">
        <v>0.25</v>
      </c>
      <c r="CO82" s="29">
        <v>3.75</v>
      </c>
      <c r="CQ82" s="29" t="s">
        <v>548</v>
      </c>
      <c r="CR82" s="29">
        <v>4</v>
      </c>
      <c r="CS82" s="29">
        <v>30</v>
      </c>
      <c r="CT82" s="29" t="s">
        <v>551</v>
      </c>
      <c r="CU82" s="30">
        <v>1.7999999999999998</v>
      </c>
      <c r="CW82" s="29">
        <v>999</v>
      </c>
      <c r="CX82" s="29" t="s">
        <v>551</v>
      </c>
      <c r="CY82" s="62"/>
      <c r="CZ82" s="29">
        <v>4</v>
      </c>
      <c r="DA82" s="29">
        <v>10</v>
      </c>
      <c r="DB82" s="29" t="s">
        <v>551</v>
      </c>
      <c r="DC82" s="62">
        <v>0.6</v>
      </c>
      <c r="DD82" s="29" t="s">
        <v>546</v>
      </c>
      <c r="DE82" s="29" t="s">
        <v>548</v>
      </c>
      <c r="DF82" s="29" t="s">
        <v>546</v>
      </c>
      <c r="DG82" s="29" t="s">
        <v>546</v>
      </c>
      <c r="DH82" s="29" t="s">
        <v>546</v>
      </c>
      <c r="DI82" s="29">
        <v>1</v>
      </c>
      <c r="DJ82" s="29">
        <v>4</v>
      </c>
      <c r="DK82" s="29" t="s">
        <v>931</v>
      </c>
      <c r="DL82" s="29" t="s">
        <v>932</v>
      </c>
      <c r="DM82" s="29">
        <v>-4.2758526802062988</v>
      </c>
      <c r="DN82" s="29">
        <v>35.874324798583984</v>
      </c>
      <c r="DO82" s="29">
        <v>1271.5999755859375</v>
      </c>
      <c r="DP82" s="29">
        <v>5</v>
      </c>
      <c r="DQ82" s="29">
        <v>1706031849</v>
      </c>
      <c r="DR82" s="29" t="s">
        <v>933</v>
      </c>
      <c r="DS82" s="31">
        <v>42940.360081018516</v>
      </c>
      <c r="DT82" s="31">
        <v>42924.565729166672</v>
      </c>
      <c r="DU82" s="31">
        <v>42924.583773148144</v>
      </c>
      <c r="DV82" s="32">
        <v>42789</v>
      </c>
      <c r="DX82" s="44">
        <v>6.1562021857923499</v>
      </c>
      <c r="DY82" s="44">
        <v>5.3928051001821498</v>
      </c>
      <c r="DZ82" s="44">
        <v>4.9897435897435898</v>
      </c>
      <c r="EA82" s="44">
        <v>4.7312820512820508</v>
      </c>
      <c r="EC82" s="29">
        <f>IF(EQ82&lt;EP82,"FALSEE",1)</f>
        <v>1</v>
      </c>
      <c r="EE82" s="29" t="s">
        <v>2171</v>
      </c>
      <c r="EF82" s="29">
        <v>1.27826285362</v>
      </c>
      <c r="EG82" s="29" t="str">
        <f>IF(EF82&lt;0.5,"Depression",IF(EF82&lt;2,"Very gentle",IF(EF82&lt;5,"Gentle",IF(EF82&lt;9,"Moderate",IF(EF82&lt;15,"Strong",IF(EF82&lt;30,"Steep",IF(EF82&lt;1,"Very steep")))))))</f>
        <v>Very gentle</v>
      </c>
      <c r="EH82" s="29" t="s">
        <v>2173</v>
      </c>
      <c r="EI82" s="29">
        <v>-0.18127532303300001</v>
      </c>
      <c r="EJ82" s="43">
        <v>11.157617568999999</v>
      </c>
      <c r="EK82" s="43"/>
      <c r="EL82" s="43">
        <f>VLOOKUP(D82,[1]SoilData!$G$245:$K$451,5,FALSE)</f>
        <v>153.98927254895347</v>
      </c>
      <c r="EM82" s="43"/>
      <c r="EN82" s="43">
        <f>VLOOKUP(D82,[1]SoilData!$G$245:$M$454,7,FALSE)</f>
        <v>1.085</v>
      </c>
      <c r="EO82" s="60"/>
      <c r="EP82" s="44">
        <f>AVERAGE(DZ82:EA82)</f>
        <v>4.8605128205128203</v>
      </c>
      <c r="EQ82" s="44">
        <f>AVERAGE(DX82:DY82)</f>
        <v>5.7745036429872503</v>
      </c>
      <c r="ER82" s="43">
        <f>EQ82-EP82</f>
        <v>0.91399082247442998</v>
      </c>
      <c r="ES82" s="64">
        <f>IF(CU82&gt;0.000001,CU82*352,0)</f>
        <v>633.59999999999991</v>
      </c>
      <c r="ET82" s="64">
        <f>IF(DC82&gt;0.0001,DC82*682,0)</f>
        <v>409.2</v>
      </c>
      <c r="EU82" s="64">
        <f>CY82*795</f>
        <v>0</v>
      </c>
      <c r="EV82" s="64">
        <f>ES82+ET82+EU82</f>
        <v>1042.8</v>
      </c>
      <c r="EW82" s="64">
        <f>IF(AA82="YES",3.5*18.2,0)</f>
        <v>0</v>
      </c>
      <c r="EX82" s="64">
        <f>EV82-EW82</f>
        <v>1042.8</v>
      </c>
    </row>
    <row r="83" spans="1:154" ht="15" x14ac:dyDescent="0.2">
      <c r="A83" s="29" t="s">
        <v>789</v>
      </c>
      <c r="B83" s="29">
        <v>45</v>
      </c>
      <c r="C83" s="29" t="s">
        <v>387</v>
      </c>
      <c r="D83" s="29" t="s">
        <v>387</v>
      </c>
      <c r="E83" s="29" t="str">
        <f>VLOOKUP(D83,Harvest_2017_Formulae!$C$2:$D$968,2,FALSE)</f>
        <v>Sangara</v>
      </c>
      <c r="F83" s="29" t="s">
        <v>1014</v>
      </c>
      <c r="G83" s="29">
        <v>0.5</v>
      </c>
      <c r="H83" s="61" t="str">
        <f>IF(G83&lt;0.05,"Homefield",IF(G83&lt;0.5,"Midfield","outfield"))</f>
        <v>outfield</v>
      </c>
      <c r="I83" s="29" t="s">
        <v>557</v>
      </c>
      <c r="J83" s="61" t="s">
        <v>2233</v>
      </c>
      <c r="K83" s="61" t="s">
        <v>2233</v>
      </c>
      <c r="L83" s="67">
        <v>0</v>
      </c>
      <c r="O83" s="29" t="s">
        <v>547</v>
      </c>
      <c r="Q83" s="67">
        <v>0</v>
      </c>
      <c r="R83" s="29" t="s">
        <v>547</v>
      </c>
      <c r="T83" s="29" t="s">
        <v>559</v>
      </c>
      <c r="U83" s="29" t="s">
        <v>560</v>
      </c>
      <c r="W83" s="41" t="s">
        <v>635</v>
      </c>
      <c r="Z83" s="29" t="s">
        <v>547</v>
      </c>
      <c r="AA83" s="61" t="s">
        <v>546</v>
      </c>
      <c r="AB83" s="29" t="s">
        <v>547</v>
      </c>
      <c r="AC83" s="67">
        <v>0</v>
      </c>
      <c r="AD83" s="29" t="s">
        <v>547</v>
      </c>
      <c r="AF83" s="29" t="s">
        <v>547</v>
      </c>
      <c r="AG83" s="29" t="s">
        <v>547</v>
      </c>
      <c r="AH83" s="29" t="s">
        <v>548</v>
      </c>
      <c r="AI83" s="29" t="s">
        <v>546</v>
      </c>
      <c r="AK83" s="67">
        <v>0</v>
      </c>
      <c r="AL83" s="29" t="s">
        <v>547</v>
      </c>
      <c r="AO83" s="29" t="s">
        <v>547</v>
      </c>
      <c r="AP83" s="29" t="s">
        <v>547</v>
      </c>
      <c r="AQ83" s="4">
        <f>Q83+AK83</f>
        <v>0</v>
      </c>
      <c r="AR83" s="4">
        <f>L83+AC83</f>
        <v>0</v>
      </c>
      <c r="AS83" t="str">
        <f>AQ83&amp;AR83</f>
        <v>00</v>
      </c>
      <c r="AT83" s="49">
        <f>AQ83-AR83</f>
        <v>0</v>
      </c>
      <c r="AU83">
        <v>1</v>
      </c>
      <c r="AV83" s="29" t="s">
        <v>548</v>
      </c>
      <c r="AW83" s="29">
        <v>1</v>
      </c>
      <c r="AX83" s="29" t="s">
        <v>546</v>
      </c>
      <c r="BA83" s="29" t="s">
        <v>548</v>
      </c>
      <c r="BB83" s="29" t="s">
        <v>569</v>
      </c>
      <c r="BC83" s="29">
        <v>2.5</v>
      </c>
      <c r="BD83" s="29">
        <f>AW83+AZ83</f>
        <v>1</v>
      </c>
      <c r="BE83" s="29">
        <f>BD83+BC83</f>
        <v>3.5</v>
      </c>
      <c r="BF83" s="29" t="s">
        <v>548</v>
      </c>
      <c r="BG83" s="29" t="s">
        <v>548</v>
      </c>
      <c r="BH83" s="29" t="s">
        <v>548</v>
      </c>
      <c r="BI83" s="29" t="s">
        <v>548</v>
      </c>
      <c r="BJ83" s="29" t="s">
        <v>548</v>
      </c>
      <c r="BK83" s="29" t="s">
        <v>546</v>
      </c>
      <c r="BL83" s="29">
        <v>2</v>
      </c>
      <c r="BM83" s="29" t="s">
        <v>580</v>
      </c>
      <c r="BN83" s="29">
        <v>5</v>
      </c>
      <c r="BO83" s="29" t="s">
        <v>580</v>
      </c>
      <c r="BP83" s="29">
        <v>6</v>
      </c>
      <c r="BQ83" s="29" t="s">
        <v>580</v>
      </c>
      <c r="BR83" s="29">
        <v>2</v>
      </c>
      <c r="BS83" s="29" t="s">
        <v>580</v>
      </c>
      <c r="BT83" s="29">
        <v>1</v>
      </c>
      <c r="BU83" s="29" t="s">
        <v>562</v>
      </c>
      <c r="BW83" s="29">
        <f>(BL83*1)+(BN83*0.1)+(BP83*0.01)+(BR83*0.1)+(BT83*0.3)+(BV83*0.4)</f>
        <v>3.06</v>
      </c>
      <c r="BX83" s="29" t="s">
        <v>2219</v>
      </c>
      <c r="BY83" s="29">
        <v>1</v>
      </c>
      <c r="BZ83" s="29">
        <v>1</v>
      </c>
      <c r="CA83" s="29">
        <v>7</v>
      </c>
      <c r="CB83" s="29">
        <v>9</v>
      </c>
      <c r="CC83" s="29">
        <v>0</v>
      </c>
      <c r="CD83" s="29">
        <v>0</v>
      </c>
      <c r="CE83" s="29">
        <v>0</v>
      </c>
      <c r="CG83" s="29">
        <f>(CC83*15)+(CD83*0.8)+(CE83*0.3)+((AW83+AZ83)*15)</f>
        <v>15</v>
      </c>
      <c r="CH83" s="29" t="s">
        <v>2219</v>
      </c>
      <c r="CI83" s="29">
        <f>(BL83*1)+(BN83*0.1)+(BP83*0.01)+(BR83*0.1)+(BT83*0.3)+(BV83*0.4)+(CC83*15)+(CD83*0.8)+(CE83*0.3)+((AW83+AZ83)*15)</f>
        <v>18.059999999999999</v>
      </c>
      <c r="CJ83" s="29" t="s">
        <v>548</v>
      </c>
      <c r="CK83" s="29" t="s">
        <v>797</v>
      </c>
      <c r="CL83" s="29" t="s">
        <v>546</v>
      </c>
      <c r="CM83" s="29" t="s">
        <v>547</v>
      </c>
      <c r="CN83" s="29">
        <v>0.5</v>
      </c>
      <c r="CO83" s="29">
        <v>0.75</v>
      </c>
      <c r="CP83" s="29">
        <v>0</v>
      </c>
      <c r="CQ83" s="29" t="s">
        <v>548</v>
      </c>
      <c r="CR83" s="29">
        <v>1</v>
      </c>
      <c r="CS83" s="29">
        <v>10</v>
      </c>
      <c r="CT83" s="29" t="s">
        <v>551</v>
      </c>
      <c r="CU83" s="30">
        <v>2.4</v>
      </c>
      <c r="CW83" s="29">
        <v>999</v>
      </c>
      <c r="CX83" s="29" t="s">
        <v>551</v>
      </c>
      <c r="CY83" s="62"/>
      <c r="CZ83" s="29">
        <v>1</v>
      </c>
      <c r="DA83" s="29">
        <v>2</v>
      </c>
      <c r="DB83" s="29" t="s">
        <v>551</v>
      </c>
      <c r="DC83" s="62">
        <v>0.48</v>
      </c>
      <c r="DD83" s="29" t="s">
        <v>546</v>
      </c>
      <c r="DE83" s="29" t="s">
        <v>546</v>
      </c>
      <c r="DF83" s="29" t="s">
        <v>546</v>
      </c>
      <c r="DG83" s="29" t="s">
        <v>546</v>
      </c>
      <c r="DH83" s="29" t="s">
        <v>546</v>
      </c>
      <c r="DI83" s="29">
        <v>0</v>
      </c>
      <c r="DJ83" s="29">
        <v>3</v>
      </c>
      <c r="DK83" s="29" t="s">
        <v>1281</v>
      </c>
      <c r="DL83" s="29" t="s">
        <v>1282</v>
      </c>
      <c r="DM83" s="29">
        <v>-4.2798576354980469</v>
      </c>
      <c r="DN83" s="29">
        <v>35.628681182861328</v>
      </c>
      <c r="DO83" s="29">
        <v>1415.699951171875</v>
      </c>
      <c r="DP83" s="29">
        <v>15</v>
      </c>
      <c r="DQ83" s="29">
        <v>1705231439</v>
      </c>
      <c r="DR83" s="29" t="s">
        <v>1283</v>
      </c>
      <c r="DS83" s="31">
        <v>42908.292696759258</v>
      </c>
      <c r="DT83" s="31">
        <v>42900.5309837963</v>
      </c>
      <c r="DU83" s="31">
        <v>42908.291331018518</v>
      </c>
      <c r="DV83" s="32">
        <v>42742</v>
      </c>
      <c r="DX83" s="44">
        <v>2.5235465768799101</v>
      </c>
      <c r="DY83" s="44">
        <v>3.4363187429854096</v>
      </c>
      <c r="DZ83" s="44">
        <v>4.6935185185185189</v>
      </c>
      <c r="EA83" s="44">
        <v>4.5582098765432102</v>
      </c>
      <c r="EC83" s="29" t="str">
        <f>IF(EQ83&lt;EP83,"FALSEE",1)</f>
        <v>FALSEE</v>
      </c>
      <c r="ED83" s="29" t="s">
        <v>1548</v>
      </c>
      <c r="EE83" s="29" t="s">
        <v>2179</v>
      </c>
      <c r="EF83" s="29">
        <v>3.5732898712200001</v>
      </c>
      <c r="EG83" s="29" t="str">
        <f>IF(EF83&lt;0.5,"Depression",IF(EF83&lt;2,"Very gentle",IF(EF83&lt;5,"Gentle",IF(EF83&lt;9,"Moderate",IF(EF83&lt;15,"Strong",IF(EF83&lt;30,"Steep",IF(EF83&lt;1,"Very steep")))))))</f>
        <v>Gentle</v>
      </c>
      <c r="EH83" s="29" t="s">
        <v>2172</v>
      </c>
      <c r="EI83" s="29">
        <v>-0.54384291171999999</v>
      </c>
      <c r="EJ83" s="43">
        <v>11.057280540500001</v>
      </c>
      <c r="EK83" s="43">
        <f>VLOOKUP(D83,[1]SoilData!$G$15:$K$237,5,FALSE)</f>
        <v>84.77312419920338</v>
      </c>
      <c r="EL83" s="43">
        <f>VLOOKUP(D83,[1]SoilData!$G$245:$K$451,5,FALSE)</f>
        <v>23.072875139936137</v>
      </c>
      <c r="EM83" s="43">
        <f>VLOOKUP(D83,[1]SoilData!$G$15:$M$238,7,FALSE)</f>
        <v>0.61</v>
      </c>
      <c r="EN83" s="43">
        <f>VLOOKUP(D83,[1]SoilData!$G$245:$M$454,7,FALSE)</f>
        <v>0.58699999999999997</v>
      </c>
      <c r="EO83" s="60">
        <f>EM83-EN83</f>
        <v>2.300000000000002E-2</v>
      </c>
      <c r="EP83" s="44">
        <f>AVERAGE(DZ83:EA83)</f>
        <v>4.6258641975308645</v>
      </c>
      <c r="EQ83" s="44">
        <f>AVERAGE(DX83:DY83)</f>
        <v>2.9799326599326599</v>
      </c>
      <c r="ER83" s="43">
        <f>EQ83-EP83</f>
        <v>-1.6459315375982047</v>
      </c>
      <c r="ES83" s="64">
        <f>IF(CU83&gt;0.000001,CU83*352,0)</f>
        <v>844.8</v>
      </c>
      <c r="ET83" s="64">
        <f>IF(DC83&gt;0.0001,DC83*682,0)</f>
        <v>327.36</v>
      </c>
      <c r="EU83" s="64">
        <f>CY83*795</f>
        <v>0</v>
      </c>
      <c r="EV83" s="64">
        <f>ES83+ET83+EU83</f>
        <v>1172.1599999999999</v>
      </c>
      <c r="EW83" s="64">
        <f>IF(AA83="YES",3.5*18.2,0)</f>
        <v>0</v>
      </c>
      <c r="EX83" s="64">
        <f>EV83-EW83</f>
        <v>1172.1599999999999</v>
      </c>
    </row>
    <row r="84" spans="1:154" ht="15" x14ac:dyDescent="0.2">
      <c r="A84" s="34" t="s">
        <v>1182</v>
      </c>
      <c r="B84" s="34">
        <v>90</v>
      </c>
      <c r="C84" s="34" t="s">
        <v>250</v>
      </c>
      <c r="D84" s="34" t="s">
        <v>250</v>
      </c>
      <c r="E84" s="29" t="e">
        <f>VLOOKUP(D84,Harvest_2017_Formulae!$C$2:$D$968,2,FALSE)</f>
        <v>#N/A</v>
      </c>
      <c r="F84" s="34" t="s">
        <v>1175</v>
      </c>
      <c r="G84" s="34">
        <v>0</v>
      </c>
      <c r="H84" s="61" t="str">
        <f>IF(G84&lt;0.05,"Homefield",IF(G84&lt;0.5,"Midfield","outfield"))</f>
        <v>Homefield</v>
      </c>
      <c r="I84" s="34" t="s">
        <v>557</v>
      </c>
      <c r="J84" s="61" t="s">
        <v>2233</v>
      </c>
      <c r="K84" s="61" t="s">
        <v>2233</v>
      </c>
      <c r="L84" s="67">
        <v>0</v>
      </c>
      <c r="M84" s="34"/>
      <c r="N84" s="34"/>
      <c r="O84" s="34" t="s">
        <v>547</v>
      </c>
      <c r="P84" s="34"/>
      <c r="Q84" s="67">
        <v>0</v>
      </c>
      <c r="R84" s="34" t="s">
        <v>547</v>
      </c>
      <c r="S84" s="34"/>
      <c r="T84" s="34">
        <v>1</v>
      </c>
      <c r="U84" s="34" t="s">
        <v>560</v>
      </c>
      <c r="V84" s="34"/>
      <c r="W84" s="34" t="s">
        <v>819</v>
      </c>
      <c r="X84" s="34">
        <v>1</v>
      </c>
      <c r="Y84" s="34"/>
      <c r="Z84" s="34" t="s">
        <v>547</v>
      </c>
      <c r="AA84" s="61" t="s">
        <v>548</v>
      </c>
      <c r="AB84" s="34" t="s">
        <v>568</v>
      </c>
      <c r="AC84" s="67">
        <v>0</v>
      </c>
      <c r="AD84" s="34" t="s">
        <v>547</v>
      </c>
      <c r="AE84" s="34"/>
      <c r="AF84" s="34" t="s">
        <v>547</v>
      </c>
      <c r="AG84" s="34" t="s">
        <v>547</v>
      </c>
      <c r="AH84" s="34" t="s">
        <v>548</v>
      </c>
      <c r="AI84" s="34" t="s">
        <v>546</v>
      </c>
      <c r="AJ84" s="34"/>
      <c r="AK84" s="67">
        <v>0</v>
      </c>
      <c r="AL84" s="34" t="s">
        <v>547</v>
      </c>
      <c r="AM84" s="34"/>
      <c r="AN84" s="34"/>
      <c r="AO84" s="34" t="s">
        <v>547</v>
      </c>
      <c r="AP84" s="34" t="s">
        <v>547</v>
      </c>
      <c r="AQ84" s="4">
        <f>Q84+AK84</f>
        <v>0</v>
      </c>
      <c r="AR84" s="4">
        <f>L84+AC84</f>
        <v>0</v>
      </c>
      <c r="AS84" t="str">
        <f>AQ84&amp;AR84</f>
        <v>00</v>
      </c>
      <c r="AT84" s="49">
        <f>AQ84-AR84</f>
        <v>0</v>
      </c>
      <c r="AU84">
        <v>1</v>
      </c>
      <c r="AV84" s="34" t="s">
        <v>548</v>
      </c>
      <c r="AW84" s="34">
        <v>7</v>
      </c>
      <c r="AX84" s="34" t="s">
        <v>548</v>
      </c>
      <c r="AY84" s="34">
        <v>1</v>
      </c>
      <c r="AZ84" s="34">
        <v>1</v>
      </c>
      <c r="BA84" s="34" t="s">
        <v>546</v>
      </c>
      <c r="BB84" s="34" t="s">
        <v>547</v>
      </c>
      <c r="BC84" s="34"/>
      <c r="BD84" s="29">
        <f>AW84+AZ84</f>
        <v>8</v>
      </c>
      <c r="BE84" s="29">
        <f>BD84+BC84</f>
        <v>8</v>
      </c>
      <c r="BF84" s="34" t="s">
        <v>548</v>
      </c>
      <c r="BG84" s="34" t="s">
        <v>546</v>
      </c>
      <c r="BH84" s="34" t="s">
        <v>548</v>
      </c>
      <c r="BI84" s="34" t="s">
        <v>546</v>
      </c>
      <c r="BJ84" s="34" t="s">
        <v>546</v>
      </c>
      <c r="BK84" s="34" t="s">
        <v>546</v>
      </c>
      <c r="BL84" s="34">
        <v>3</v>
      </c>
      <c r="BM84" s="34" t="s">
        <v>580</v>
      </c>
      <c r="BN84" s="34"/>
      <c r="BO84" s="34" t="s">
        <v>547</v>
      </c>
      <c r="BP84" s="34">
        <v>6</v>
      </c>
      <c r="BQ84" s="34" t="s">
        <v>580</v>
      </c>
      <c r="BR84" s="34"/>
      <c r="BS84" s="34" t="s">
        <v>547</v>
      </c>
      <c r="BT84" s="34"/>
      <c r="BU84" s="34" t="s">
        <v>547</v>
      </c>
      <c r="BV84" s="34"/>
      <c r="BW84" s="29">
        <f>(BL84*1)+(BN84*0.1)+(BP84*0.01)+(BR84*0.1)+(BT84*0.3)+(BV84*0.4)</f>
        <v>3.06</v>
      </c>
      <c r="BX84" s="29" t="s">
        <v>2219</v>
      </c>
      <c r="BY84" s="34">
        <v>4</v>
      </c>
      <c r="BZ84" s="34">
        <v>2</v>
      </c>
      <c r="CA84" s="34">
        <v>2</v>
      </c>
      <c r="CB84" s="34">
        <v>8</v>
      </c>
      <c r="CC84" s="34">
        <v>0</v>
      </c>
      <c r="CD84" s="34">
        <v>0</v>
      </c>
      <c r="CE84" s="34">
        <v>1</v>
      </c>
      <c r="CF84" s="34"/>
      <c r="CG84" s="29">
        <f>(CC84*15)+(CD84*0.8)+(CE84*0.3)+((AW84+AZ84)*15)</f>
        <v>120.3</v>
      </c>
      <c r="CH84" s="29" t="s">
        <v>2221</v>
      </c>
      <c r="CI84" s="29">
        <f>(BL84*1)+(BN84*0.1)+(BP84*0.01)+(BR84*0.1)+(BT84*0.3)+(BV84*0.4)+(CC84*15)+(CD84*0.8)+(CE84*0.3)+((AW84+AZ84)*15)</f>
        <v>123.36</v>
      </c>
      <c r="CJ84" s="34" t="s">
        <v>548</v>
      </c>
      <c r="CK84" s="34" t="s">
        <v>1492</v>
      </c>
      <c r="CL84" s="34" t="s">
        <v>548</v>
      </c>
      <c r="CM84" s="34" t="s">
        <v>550</v>
      </c>
      <c r="CN84" s="34">
        <v>1.25</v>
      </c>
      <c r="CO84" s="34">
        <v>3.75</v>
      </c>
      <c r="CP84" s="34">
        <v>0</v>
      </c>
      <c r="CQ84" s="34" t="s">
        <v>548</v>
      </c>
      <c r="CR84" s="34">
        <v>1</v>
      </c>
      <c r="CS84" s="34">
        <v>8</v>
      </c>
      <c r="CT84" s="34" t="s">
        <v>551</v>
      </c>
      <c r="CU84" s="34">
        <v>1.92</v>
      </c>
      <c r="CV84" s="34">
        <v>1</v>
      </c>
      <c r="CW84" s="34">
        <v>1</v>
      </c>
      <c r="CX84" s="34" t="s">
        <v>551</v>
      </c>
      <c r="CY84" s="56">
        <v>0.24</v>
      </c>
      <c r="CZ84" s="34">
        <v>1</v>
      </c>
      <c r="DA84" s="34">
        <v>1</v>
      </c>
      <c r="DB84" s="34" t="s">
        <v>551</v>
      </c>
      <c r="DC84" s="56">
        <v>0.24</v>
      </c>
      <c r="DD84" s="34" t="s">
        <v>546</v>
      </c>
      <c r="DE84" s="34" t="s">
        <v>548</v>
      </c>
      <c r="DF84" s="34" t="s">
        <v>546</v>
      </c>
      <c r="DG84" s="34" t="s">
        <v>546</v>
      </c>
      <c r="DH84" s="34" t="s">
        <v>548</v>
      </c>
      <c r="DI84" s="34">
        <v>2</v>
      </c>
      <c r="DJ84" s="34">
        <v>3</v>
      </c>
      <c r="DK84" s="34" t="s">
        <v>1493</v>
      </c>
      <c r="DL84" s="34" t="s">
        <v>1494</v>
      </c>
      <c r="DM84" s="34">
        <v>-4.3439469337463379</v>
      </c>
      <c r="DN84" s="34">
        <v>35.477890014648438</v>
      </c>
      <c r="DO84" s="34">
        <v>1630</v>
      </c>
      <c r="DP84" s="34">
        <v>10</v>
      </c>
      <c r="DQ84" s="34">
        <v>1705231439</v>
      </c>
      <c r="DR84" s="34" t="s">
        <v>1495</v>
      </c>
      <c r="DS84" s="35">
        <v>42927.345289351855</v>
      </c>
      <c r="DT84" s="35">
        <v>42895.46266203704</v>
      </c>
      <c r="DU84" s="35">
        <v>42923.466238425928</v>
      </c>
      <c r="DV84" s="36">
        <v>42770</v>
      </c>
      <c r="DW84" s="29" t="s">
        <v>1496</v>
      </c>
      <c r="EC84" s="29">
        <f>IF(EQ84&lt;EP84,"FALSEE",1)</f>
        <v>1</v>
      </c>
      <c r="EE84" s="29" t="s">
        <v>2183</v>
      </c>
      <c r="EF84" s="29">
        <v>4.3128838539099998</v>
      </c>
      <c r="EG84" s="29" t="str">
        <f>IF(EF84&lt;0.5,"Depression",IF(EF84&lt;2,"Very gentle",IF(EF84&lt;5,"Gentle",IF(EF84&lt;9,"Moderate",IF(EF84&lt;15,"Strong",IF(EF84&lt;30,"Steep",IF(EF84&lt;1,"Very steep")))))))</f>
        <v>Gentle</v>
      </c>
      <c r="EH84" s="29" t="s">
        <v>2182</v>
      </c>
      <c r="EI84" s="29">
        <v>1.26899504662</v>
      </c>
      <c r="EJ84" s="43">
        <v>7.5570774078399996</v>
      </c>
      <c r="EK84" s="43"/>
      <c r="EL84" s="43"/>
      <c r="EM84" s="43"/>
      <c r="EN84" s="43"/>
      <c r="EO84" s="60"/>
      <c r="EP84" s="43"/>
      <c r="EQ84" s="43"/>
      <c r="ER84" s="43"/>
      <c r="ES84" s="64">
        <f>IF(CU84&gt;0.000001,CU84*352,0)</f>
        <v>675.83999999999992</v>
      </c>
      <c r="ET84" s="64">
        <f>IF(DC84&gt;0.0001,DC84*682,0)</f>
        <v>163.68</v>
      </c>
      <c r="EU84" s="64">
        <f>CY84*795</f>
        <v>190.79999999999998</v>
      </c>
      <c r="EV84" s="64">
        <f>ES84+ET84+EU84</f>
        <v>1030.32</v>
      </c>
      <c r="EW84" s="64">
        <f>IF(AA84="YES",3.5*18.2,0)</f>
        <v>63.699999999999996</v>
      </c>
      <c r="EX84" s="64">
        <f>EV84-EW84</f>
        <v>966.61999999999989</v>
      </c>
    </row>
    <row r="85" spans="1:154" ht="15" x14ac:dyDescent="0.2">
      <c r="A85" s="29" t="s">
        <v>556</v>
      </c>
      <c r="B85" s="29">
        <v>127</v>
      </c>
      <c r="C85" s="29" t="s">
        <v>1333</v>
      </c>
      <c r="D85" s="33" t="s">
        <v>282</v>
      </c>
      <c r="E85" s="29" t="str">
        <f>VLOOKUP(D85,Harvest_2017_Formulae!$C$2:$D$968,2,FALSE)</f>
        <v>SOLETO</v>
      </c>
      <c r="F85" s="29" t="s">
        <v>1310</v>
      </c>
      <c r="G85" s="29">
        <v>0</v>
      </c>
      <c r="H85" s="61" t="str">
        <f>IF(G85&lt;0.05,"Homefield",IF(G85&lt;0.5,"Midfield","outfield"))</f>
        <v>Homefield</v>
      </c>
      <c r="I85" s="29" t="s">
        <v>557</v>
      </c>
      <c r="J85" s="61" t="s">
        <v>2233</v>
      </c>
      <c r="K85" s="61" t="s">
        <v>2233</v>
      </c>
      <c r="L85" s="67">
        <v>0</v>
      </c>
      <c r="O85" s="29" t="s">
        <v>547</v>
      </c>
      <c r="Q85" s="67">
        <v>0</v>
      </c>
      <c r="R85" s="29" t="s">
        <v>547</v>
      </c>
      <c r="U85" s="29" t="s">
        <v>547</v>
      </c>
      <c r="W85" s="29" t="s">
        <v>547</v>
      </c>
      <c r="Z85" s="29" t="s">
        <v>547</v>
      </c>
      <c r="AA85" s="61" t="s">
        <v>548</v>
      </c>
      <c r="AB85" s="29" t="s">
        <v>568</v>
      </c>
      <c r="AC85" s="67">
        <v>0</v>
      </c>
      <c r="AD85" s="29" t="s">
        <v>547</v>
      </c>
      <c r="AF85" s="29" t="s">
        <v>547</v>
      </c>
      <c r="AG85" s="29" t="s">
        <v>547</v>
      </c>
      <c r="AH85" s="29" t="s">
        <v>548</v>
      </c>
      <c r="AI85" s="29" t="s">
        <v>546</v>
      </c>
      <c r="AJ85" s="29" t="s">
        <v>547</v>
      </c>
      <c r="AK85" s="67">
        <v>0</v>
      </c>
      <c r="AL85" s="29" t="s">
        <v>547</v>
      </c>
      <c r="AO85" s="29" t="s">
        <v>547</v>
      </c>
      <c r="AP85" s="29" t="s">
        <v>547</v>
      </c>
      <c r="AQ85" s="4">
        <f>Q85+AK85</f>
        <v>0</v>
      </c>
      <c r="AR85" s="4">
        <f>L85+AC85</f>
        <v>0</v>
      </c>
      <c r="AS85" t="str">
        <f>AQ85&amp;AR85</f>
        <v>00</v>
      </c>
      <c r="AT85" s="49">
        <f>AQ85-AR85</f>
        <v>0</v>
      </c>
      <c r="AU85">
        <v>1</v>
      </c>
      <c r="AV85" s="29" t="s">
        <v>548</v>
      </c>
      <c r="AW85" s="29">
        <v>0.25</v>
      </c>
      <c r="AX85" s="29" t="s">
        <v>548</v>
      </c>
      <c r="AY85" s="29">
        <v>3</v>
      </c>
      <c r="AZ85" s="29">
        <v>3</v>
      </c>
      <c r="BA85" s="29" t="s">
        <v>546</v>
      </c>
      <c r="BB85" s="29" t="s">
        <v>547</v>
      </c>
      <c r="BD85" s="29">
        <f>AW85+AZ85</f>
        <v>3.25</v>
      </c>
      <c r="BE85" s="29">
        <f>BD85+BC85</f>
        <v>3.25</v>
      </c>
      <c r="BF85" s="29" t="s">
        <v>548</v>
      </c>
      <c r="BG85" s="29" t="s">
        <v>548</v>
      </c>
      <c r="BH85" s="29" t="s">
        <v>548</v>
      </c>
      <c r="BI85" s="29" t="s">
        <v>548</v>
      </c>
      <c r="BJ85" s="29" t="s">
        <v>546</v>
      </c>
      <c r="BK85" s="29" t="s">
        <v>546</v>
      </c>
      <c r="BL85" s="29">
        <v>2</v>
      </c>
      <c r="BM85" s="29" t="s">
        <v>562</v>
      </c>
      <c r="BN85" s="29">
        <v>2</v>
      </c>
      <c r="BO85" s="29" t="s">
        <v>562</v>
      </c>
      <c r="BP85" s="29">
        <v>4</v>
      </c>
      <c r="BQ85" s="29" t="s">
        <v>580</v>
      </c>
      <c r="BR85" s="29">
        <v>9</v>
      </c>
      <c r="BS85" s="29" t="s">
        <v>549</v>
      </c>
      <c r="BU85" s="29" t="s">
        <v>547</v>
      </c>
      <c r="BW85" s="29">
        <f>(BL85*1)+(BN85*0.1)+(BP85*0.01)+(BR85*0.1)+(BT85*0.3)+(BV85*0.4)</f>
        <v>3.14</v>
      </c>
      <c r="BX85" s="29" t="s">
        <v>2219</v>
      </c>
      <c r="BY85" s="29">
        <v>4</v>
      </c>
      <c r="BZ85" s="29">
        <v>2</v>
      </c>
      <c r="CA85" s="29">
        <v>1</v>
      </c>
      <c r="CB85" s="29">
        <v>7</v>
      </c>
      <c r="CC85" s="29">
        <v>0</v>
      </c>
      <c r="CD85" s="29">
        <v>0</v>
      </c>
      <c r="CE85" s="29">
        <v>0</v>
      </c>
      <c r="CF85" s="29" t="s">
        <v>547</v>
      </c>
      <c r="CG85" s="29">
        <f>(CC85*15)+(CD85*0.8)+(CE85*0.3)+((AW85+AZ85)*15)</f>
        <v>48.75</v>
      </c>
      <c r="CH85" s="29" t="s">
        <v>2220</v>
      </c>
      <c r="CI85" s="29">
        <f>(BL85*1)+(BN85*0.1)+(BP85*0.01)+(BR85*0.1)+(BT85*0.3)+(BV85*0.4)+(CC85*15)+(CD85*0.8)+(CE85*0.3)+((AW85+AZ85)*15)</f>
        <v>51.89</v>
      </c>
      <c r="CJ85" s="29" t="s">
        <v>546</v>
      </c>
      <c r="CK85" s="29" t="s">
        <v>547</v>
      </c>
      <c r="CL85" s="29" t="s">
        <v>546</v>
      </c>
      <c r="CM85" s="29" t="s">
        <v>547</v>
      </c>
      <c r="CN85" s="29">
        <v>0.25</v>
      </c>
      <c r="CO85" s="29">
        <v>2.75</v>
      </c>
      <c r="CP85" s="29">
        <v>0</v>
      </c>
      <c r="CQ85" s="29" t="s">
        <v>546</v>
      </c>
      <c r="CR85" s="29">
        <v>1.5</v>
      </c>
      <c r="CS85" s="29">
        <v>18</v>
      </c>
      <c r="CT85" s="29" t="s">
        <v>551</v>
      </c>
      <c r="CU85" s="30">
        <v>2.88</v>
      </c>
      <c r="CW85" s="29">
        <v>999</v>
      </c>
      <c r="CX85" s="29" t="s">
        <v>551</v>
      </c>
      <c r="CY85" s="62"/>
      <c r="CZ85" s="29">
        <v>1.5</v>
      </c>
      <c r="DA85" s="29">
        <v>1</v>
      </c>
      <c r="DB85" s="29" t="s">
        <v>551</v>
      </c>
      <c r="DC85" s="62">
        <v>0.16</v>
      </c>
      <c r="DD85" s="29" t="s">
        <v>546</v>
      </c>
      <c r="DE85" s="29" t="s">
        <v>546</v>
      </c>
      <c r="DF85" s="29" t="s">
        <v>548</v>
      </c>
      <c r="DG85" s="29" t="s">
        <v>548</v>
      </c>
      <c r="DH85" s="29" t="s">
        <v>548</v>
      </c>
      <c r="DI85" s="29">
        <v>3</v>
      </c>
      <c r="DJ85" s="29">
        <v>2</v>
      </c>
      <c r="DK85" s="29" t="s">
        <v>1334</v>
      </c>
      <c r="DL85" s="29" t="s">
        <v>1335</v>
      </c>
      <c r="DM85" s="29">
        <v>-4.2573566436767578</v>
      </c>
      <c r="DN85" s="29">
        <v>35.511543273925781</v>
      </c>
      <c r="DO85" s="29">
        <v>1638.300048828125</v>
      </c>
      <c r="DP85" s="29">
        <v>5</v>
      </c>
      <c r="DQ85" s="29">
        <v>1706031849</v>
      </c>
      <c r="DR85" s="29" t="s">
        <v>1336</v>
      </c>
      <c r="DS85" s="31">
        <v>42907.592962962968</v>
      </c>
      <c r="DT85" s="31">
        <v>42903.63217592593</v>
      </c>
      <c r="DU85" s="31">
        <v>42906.626770833333</v>
      </c>
      <c r="DV85" s="32">
        <v>42753</v>
      </c>
      <c r="DX85" s="44">
        <v>3.5448275862068965</v>
      </c>
      <c r="DY85" s="44">
        <v>2.5241379310344829</v>
      </c>
      <c r="DZ85" s="44">
        <v>1.6928339575530587</v>
      </c>
      <c r="EA85" s="44">
        <v>1.7635955056179777</v>
      </c>
      <c r="EC85" s="29">
        <f>IF(EQ85&lt;EP85,"FALSEE",1)</f>
        <v>1</v>
      </c>
      <c r="EE85" s="29" t="s">
        <v>2180</v>
      </c>
      <c r="EF85" s="29">
        <v>1.39851653576</v>
      </c>
      <c r="EG85" s="29" t="str">
        <f>IF(EF85&lt;0.5,"Depression",IF(EF85&lt;2,"Very gentle",IF(EF85&lt;5,"Gentle",IF(EF85&lt;9,"Moderate",IF(EF85&lt;15,"Strong",IF(EF85&lt;30,"Steep",IF(EF85&lt;1,"Very steep")))))))</f>
        <v>Very gentle</v>
      </c>
      <c r="EH85" s="29" t="s">
        <v>2173</v>
      </c>
      <c r="EI85" s="29">
        <v>0.36257606744799997</v>
      </c>
      <c r="EJ85" s="43">
        <v>8.5521802902200008</v>
      </c>
      <c r="EK85" s="43">
        <f>VLOOKUP(D85,[1]SoilData!$G$15:$K$237,5,FALSE)</f>
        <v>409.38566737821543</v>
      </c>
      <c r="EL85" s="43">
        <f>VLOOKUP(D85,[1]SoilData!$G$245:$K$451,5,FALSE)</f>
        <v>396.62953470395104</v>
      </c>
      <c r="EM85" s="43">
        <f>VLOOKUP(D85,[1]SoilData!$G$15:$M$238,7,FALSE)</f>
        <v>1.7490000000000001</v>
      </c>
      <c r="EN85" s="43">
        <f>VLOOKUP(D85,[1]SoilData!$G$245:$M$454,7,FALSE)</f>
        <v>1.802</v>
      </c>
      <c r="EO85" s="60">
        <f>EM85-EN85</f>
        <v>-5.2999999999999936E-2</v>
      </c>
      <c r="EP85" s="44">
        <f>AVERAGE(DZ85:EA85)</f>
        <v>1.7282147315855183</v>
      </c>
      <c r="EQ85" s="44">
        <f>AVERAGE(DX85:DY85)</f>
        <v>3.0344827586206895</v>
      </c>
      <c r="ER85" s="43">
        <f>EQ85-EP85</f>
        <v>1.3062680270351712</v>
      </c>
      <c r="ES85" s="64">
        <f>IF(CU85&gt;0.000001,CU85*352,0)</f>
        <v>1013.76</v>
      </c>
      <c r="ET85" s="64">
        <f>IF(DC85&gt;0.0001,DC85*682,0)</f>
        <v>109.12</v>
      </c>
      <c r="EU85" s="64">
        <f>CY85*795</f>
        <v>0</v>
      </c>
      <c r="EV85" s="64">
        <f>ES85+ET85+EU85</f>
        <v>1122.8800000000001</v>
      </c>
      <c r="EW85" s="64">
        <f>IF(AA85="YES",3.5*18.2,0)</f>
        <v>63.699999999999996</v>
      </c>
      <c r="EX85" s="64">
        <f>EV85-EW85</f>
        <v>1059.18</v>
      </c>
    </row>
    <row r="86" spans="1:154" ht="15" x14ac:dyDescent="0.2">
      <c r="A86" s="29" t="s">
        <v>556</v>
      </c>
      <c r="B86" s="29">
        <v>217</v>
      </c>
      <c r="C86" s="29" t="s">
        <v>404</v>
      </c>
      <c r="D86" s="29" t="s">
        <v>404</v>
      </c>
      <c r="E86" s="29" t="str">
        <f>VLOOKUP(D86,Harvest_2017_Formulae!$C$2:$D$968,2,FALSE)</f>
        <v>TSAMASI</v>
      </c>
      <c r="F86" s="29" t="s">
        <v>1014</v>
      </c>
      <c r="G86" s="29">
        <v>1</v>
      </c>
      <c r="H86" s="61" t="str">
        <f>IF(G86&lt;0.05,"Homefield",IF(G86&lt;0.5,"Midfield","outfield"))</f>
        <v>outfield</v>
      </c>
      <c r="I86" s="29" t="s">
        <v>557</v>
      </c>
      <c r="J86" s="61" t="s">
        <v>2233</v>
      </c>
      <c r="K86" s="61" t="s">
        <v>2233</v>
      </c>
      <c r="L86" s="67">
        <v>0</v>
      </c>
      <c r="O86" s="29" t="s">
        <v>547</v>
      </c>
      <c r="Q86" s="67">
        <v>0</v>
      </c>
      <c r="R86" s="29" t="s">
        <v>547</v>
      </c>
      <c r="U86" s="29" t="s">
        <v>547</v>
      </c>
      <c r="W86" s="29" t="s">
        <v>547</v>
      </c>
      <c r="Z86" s="29" t="s">
        <v>547</v>
      </c>
      <c r="AA86" s="61" t="s">
        <v>546</v>
      </c>
      <c r="AB86" s="29" t="s">
        <v>547</v>
      </c>
      <c r="AC86" s="67">
        <v>0</v>
      </c>
      <c r="AD86" s="29" t="s">
        <v>547</v>
      </c>
      <c r="AF86" s="29" t="s">
        <v>547</v>
      </c>
      <c r="AG86" s="29" t="s">
        <v>547</v>
      </c>
      <c r="AH86" s="29" t="s">
        <v>546</v>
      </c>
      <c r="AI86" s="29" t="s">
        <v>546</v>
      </c>
      <c r="AJ86" s="29" t="s">
        <v>547</v>
      </c>
      <c r="AK86" s="67">
        <v>0</v>
      </c>
      <c r="AL86" s="29" t="s">
        <v>547</v>
      </c>
      <c r="AO86" s="29" t="s">
        <v>547</v>
      </c>
      <c r="AP86" s="29" t="s">
        <v>547</v>
      </c>
      <c r="AQ86" s="4">
        <f>Q86+AK86</f>
        <v>0</v>
      </c>
      <c r="AR86" s="4">
        <f>L86+AC86</f>
        <v>0</v>
      </c>
      <c r="AS86" t="str">
        <f>AQ86&amp;AR86</f>
        <v>00</v>
      </c>
      <c r="AT86" s="49">
        <f>AQ86-AR86</f>
        <v>0</v>
      </c>
      <c r="AU86">
        <v>1</v>
      </c>
      <c r="AV86" s="29" t="s">
        <v>548</v>
      </c>
      <c r="AW86" s="29">
        <v>1</v>
      </c>
      <c r="AX86" s="29" t="s">
        <v>548</v>
      </c>
      <c r="AY86" s="29">
        <v>1</v>
      </c>
      <c r="AZ86" s="29">
        <v>1</v>
      </c>
      <c r="BA86" s="29" t="s">
        <v>546</v>
      </c>
      <c r="BB86" s="29" t="s">
        <v>547</v>
      </c>
      <c r="BD86" s="29">
        <f>AW86+AZ86</f>
        <v>2</v>
      </c>
      <c r="BE86" s="29">
        <f>BD86+BC86</f>
        <v>2</v>
      </c>
      <c r="BF86" s="29" t="s">
        <v>548</v>
      </c>
      <c r="BG86" s="29" t="s">
        <v>548</v>
      </c>
      <c r="BH86" s="29" t="s">
        <v>546</v>
      </c>
      <c r="BI86" s="29" t="s">
        <v>546</v>
      </c>
      <c r="BJ86" s="29" t="s">
        <v>546</v>
      </c>
      <c r="BK86" s="29" t="s">
        <v>546</v>
      </c>
      <c r="BL86" s="29">
        <v>3</v>
      </c>
      <c r="BM86" s="29" t="s">
        <v>549</v>
      </c>
      <c r="BN86" s="29">
        <v>2</v>
      </c>
      <c r="BO86" s="29" t="s">
        <v>549</v>
      </c>
      <c r="BQ86" s="29" t="s">
        <v>547</v>
      </c>
      <c r="BS86" s="29" t="s">
        <v>547</v>
      </c>
      <c r="BU86" s="29" t="s">
        <v>547</v>
      </c>
      <c r="BW86" s="29">
        <f>(BL86*1)+(BN86*0.1)+(BP86*0.01)+(BR86*0.1)+(BT86*0.3)+(BV86*0.4)</f>
        <v>3.2</v>
      </c>
      <c r="BX86" s="29" t="s">
        <v>2219</v>
      </c>
      <c r="BY86" s="29">
        <v>2</v>
      </c>
      <c r="BZ86" s="29">
        <v>1</v>
      </c>
      <c r="CA86" s="29">
        <v>2</v>
      </c>
      <c r="CB86" s="29">
        <v>5</v>
      </c>
      <c r="CC86" s="29">
        <v>0</v>
      </c>
      <c r="CD86" s="29">
        <v>0</v>
      </c>
      <c r="CE86" s="29">
        <v>0</v>
      </c>
      <c r="CF86" s="29" t="s">
        <v>547</v>
      </c>
      <c r="CG86" s="29">
        <f>(CC86*15)+(CD86*0.8)+(CE86*0.3)+((AW86+AZ86)*15)</f>
        <v>30</v>
      </c>
      <c r="CH86" s="29" t="s">
        <v>2220</v>
      </c>
      <c r="CI86" s="29">
        <f>(BL86*1)+(BN86*0.1)+(BP86*0.01)+(BR86*0.1)+(BT86*0.3)+(BV86*0.4)+(CC86*15)+(CD86*0.8)+(CE86*0.3)+((AW86+AZ86)*15)</f>
        <v>33.200000000000003</v>
      </c>
      <c r="CJ86" s="29" t="s">
        <v>546</v>
      </c>
      <c r="CK86" s="29" t="s">
        <v>547</v>
      </c>
      <c r="CL86" s="29" t="s">
        <v>546</v>
      </c>
      <c r="CM86" s="29" t="s">
        <v>547</v>
      </c>
      <c r="CN86" s="29">
        <v>0.25</v>
      </c>
      <c r="CO86" s="29">
        <v>0.75</v>
      </c>
      <c r="CQ86" s="29" t="s">
        <v>548</v>
      </c>
      <c r="CR86" s="29">
        <v>1</v>
      </c>
      <c r="CS86" s="29">
        <v>4</v>
      </c>
      <c r="CT86" s="29" t="s">
        <v>551</v>
      </c>
      <c r="CU86" s="30">
        <v>0.96</v>
      </c>
      <c r="CW86" s="29">
        <v>999</v>
      </c>
      <c r="CX86" s="29" t="s">
        <v>551</v>
      </c>
      <c r="CY86" s="62"/>
      <c r="CZ86" s="29">
        <v>1</v>
      </c>
      <c r="DA86" s="29">
        <v>1</v>
      </c>
      <c r="DB86" s="29" t="s">
        <v>551</v>
      </c>
      <c r="DC86" s="62">
        <v>0.24</v>
      </c>
      <c r="DD86" s="29" t="s">
        <v>546</v>
      </c>
      <c r="DE86" s="29" t="s">
        <v>546</v>
      </c>
      <c r="DF86" s="29" t="s">
        <v>546</v>
      </c>
      <c r="DG86" s="29" t="s">
        <v>546</v>
      </c>
      <c r="DH86" s="29" t="s">
        <v>546</v>
      </c>
      <c r="DI86" s="29">
        <v>0</v>
      </c>
      <c r="DJ86" s="29">
        <v>3</v>
      </c>
      <c r="DK86" s="29" t="s">
        <v>1372</v>
      </c>
      <c r="DL86" s="29" t="s">
        <v>1373</v>
      </c>
      <c r="DM86" s="29">
        <v>-4.2899141311645508</v>
      </c>
      <c r="DN86" s="29">
        <v>35.828792572021484</v>
      </c>
      <c r="DO86" s="29">
        <v>1307.5999755859375</v>
      </c>
      <c r="DP86" s="29">
        <v>5</v>
      </c>
      <c r="DQ86" s="29">
        <v>1706031849</v>
      </c>
      <c r="DR86" s="29" t="s">
        <v>1374</v>
      </c>
      <c r="DS86" s="31">
        <v>42950.967465277776</v>
      </c>
      <c r="DT86" s="31">
        <v>42938.449479166666</v>
      </c>
      <c r="DU86" s="31">
        <v>42950.900057870371</v>
      </c>
      <c r="DV86" s="32">
        <v>42830</v>
      </c>
      <c r="DX86" s="44">
        <v>3.7211848778238825</v>
      </c>
      <c r="DY86" s="44">
        <v>3.3027893038266489</v>
      </c>
      <c r="DZ86" s="44">
        <v>3.6958275703088987</v>
      </c>
      <c r="EA86" s="44">
        <v>4.7354771784232375</v>
      </c>
      <c r="EC86" s="29" t="str">
        <f>IF(EQ86&lt;EP86,"FALSEE",1)</f>
        <v>FALSEE</v>
      </c>
      <c r="EE86" s="29" t="s">
        <v>2179</v>
      </c>
      <c r="EF86" s="29">
        <v>0.63687402010000005</v>
      </c>
      <c r="EG86" s="29" t="str">
        <f>IF(EF86&lt;0.5,"Depression",IF(EF86&lt;2,"Very gentle",IF(EF86&lt;5,"Gentle",IF(EF86&lt;9,"Moderate",IF(EF86&lt;15,"Strong",IF(EF86&lt;30,"Steep",IF(EF86&lt;1,"Very steep")))))))</f>
        <v>Very gentle</v>
      </c>
      <c r="EH86" s="29" t="s">
        <v>2173</v>
      </c>
      <c r="EI86" s="29">
        <v>-0.45320102572400001</v>
      </c>
      <c r="EJ86" s="43">
        <v>14.599243164100001</v>
      </c>
      <c r="EK86" s="43">
        <f>VLOOKUP(D86,[1]SoilData!$G$15:$K$237,5,FALSE)</f>
        <v>207.05817873887941</v>
      </c>
      <c r="EL86" s="43">
        <f>VLOOKUP(D86,[1]SoilData!$G$245:$K$451,5,FALSE)</f>
        <v>243.74369510078216</v>
      </c>
      <c r="EM86" s="43">
        <f>VLOOKUP(D86,[1]SoilData!$G$15:$M$238,7,FALSE)</f>
        <v>1.3420000000000001</v>
      </c>
      <c r="EN86" s="43">
        <f>VLOOKUP(D86,[1]SoilData!$G$245:$M$454,7,FALSE)</f>
        <v>1.53</v>
      </c>
      <c r="EO86" s="60">
        <f>EM86-EN86</f>
        <v>-0.18799999999999994</v>
      </c>
      <c r="EP86" s="44">
        <f>AVERAGE(DZ86:EA86)</f>
        <v>4.2156523743660683</v>
      </c>
      <c r="EQ86" s="44">
        <f>AVERAGE(DX86:DY86)</f>
        <v>3.5119870908252659</v>
      </c>
      <c r="ER86" s="43">
        <f>EQ86-EP86</f>
        <v>-0.70366528354080238</v>
      </c>
      <c r="ES86" s="64">
        <f>IF(CU86&gt;0.000001,CU86*352,0)</f>
        <v>337.91999999999996</v>
      </c>
      <c r="ET86" s="64">
        <f>IF(DC86&gt;0.0001,DC86*682,0)</f>
        <v>163.68</v>
      </c>
      <c r="EU86" s="64">
        <f>CY86*795</f>
        <v>0</v>
      </c>
      <c r="EV86" s="64">
        <f>ES86+ET86+EU86</f>
        <v>501.59999999999997</v>
      </c>
      <c r="EW86" s="64">
        <f>IF(AA86="YES",3.5*18.2,0)</f>
        <v>0</v>
      </c>
      <c r="EX86" s="64">
        <f>EV86-EW86</f>
        <v>501.59999999999997</v>
      </c>
    </row>
    <row r="87" spans="1:154" ht="15" x14ac:dyDescent="0.2">
      <c r="A87" s="29" t="s">
        <v>556</v>
      </c>
      <c r="B87" s="29">
        <v>237</v>
      </c>
      <c r="C87" s="29" t="s">
        <v>573</v>
      </c>
      <c r="D87" s="29" t="s">
        <v>422</v>
      </c>
      <c r="E87" s="29" t="str">
        <f>VLOOKUP(D87,Harvest_2017_Formulae!$C$2:$D$968,2,FALSE)</f>
        <v>ENDAGWE</v>
      </c>
      <c r="F87" s="29" t="s">
        <v>732</v>
      </c>
      <c r="G87" s="29">
        <v>0</v>
      </c>
      <c r="H87" s="61" t="str">
        <f>IF(G87&lt;0.05,"Homefield",IF(G87&lt;0.5,"Midfield","outfield"))</f>
        <v>Homefield</v>
      </c>
      <c r="I87" s="29" t="s">
        <v>557</v>
      </c>
      <c r="J87" s="61" t="s">
        <v>2233</v>
      </c>
      <c r="K87" s="61" t="s">
        <v>2233</v>
      </c>
      <c r="L87" s="67">
        <v>0</v>
      </c>
      <c r="O87" s="29" t="s">
        <v>547</v>
      </c>
      <c r="Q87" s="67">
        <v>0</v>
      </c>
      <c r="R87" s="29" t="s">
        <v>547</v>
      </c>
      <c r="U87" s="29" t="s">
        <v>547</v>
      </c>
      <c r="W87" s="29" t="s">
        <v>547</v>
      </c>
      <c r="Z87" s="29" t="s">
        <v>547</v>
      </c>
      <c r="AA87" s="61" t="s">
        <v>546</v>
      </c>
      <c r="AB87" s="29" t="s">
        <v>547</v>
      </c>
      <c r="AC87" s="67">
        <v>0</v>
      </c>
      <c r="AD87" s="29" t="s">
        <v>547</v>
      </c>
      <c r="AF87" s="29" t="s">
        <v>547</v>
      </c>
      <c r="AG87" s="29" t="s">
        <v>547</v>
      </c>
      <c r="AH87" s="29" t="s">
        <v>546</v>
      </c>
      <c r="AI87" s="29" t="s">
        <v>546</v>
      </c>
      <c r="AJ87" s="29" t="s">
        <v>547</v>
      </c>
      <c r="AK87" s="67">
        <v>0</v>
      </c>
      <c r="AL87" s="29" t="s">
        <v>547</v>
      </c>
      <c r="AO87" s="29" t="s">
        <v>547</v>
      </c>
      <c r="AP87" s="29" t="s">
        <v>547</v>
      </c>
      <c r="AQ87" s="4">
        <f>Q87+AK87</f>
        <v>0</v>
      </c>
      <c r="AR87" s="4">
        <f>L87+AC87</f>
        <v>0</v>
      </c>
      <c r="AS87" t="str">
        <f>AQ87&amp;AR87</f>
        <v>00</v>
      </c>
      <c r="AT87" s="49">
        <f>AQ87-AR87</f>
        <v>0</v>
      </c>
      <c r="AU87">
        <v>1</v>
      </c>
      <c r="AV87" s="29" t="s">
        <v>548</v>
      </c>
      <c r="AW87" s="29">
        <v>0.125</v>
      </c>
      <c r="AX87" s="29" t="s">
        <v>548</v>
      </c>
      <c r="AY87" s="29">
        <v>1</v>
      </c>
      <c r="AZ87" s="29">
        <v>2.75</v>
      </c>
      <c r="BA87" s="29" t="s">
        <v>546</v>
      </c>
      <c r="BB87" s="29" t="s">
        <v>547</v>
      </c>
      <c r="BD87" s="29">
        <f>AW87+AZ87</f>
        <v>2.875</v>
      </c>
      <c r="BE87" s="29">
        <f>BD87+BC87</f>
        <v>2.875</v>
      </c>
      <c r="BF87" s="29" t="s">
        <v>548</v>
      </c>
      <c r="BG87" s="29" t="s">
        <v>548</v>
      </c>
      <c r="BH87" s="29" t="s">
        <v>546</v>
      </c>
      <c r="BI87" s="29" t="s">
        <v>546</v>
      </c>
      <c r="BJ87" s="29" t="s">
        <v>546</v>
      </c>
      <c r="BK87" s="29" t="s">
        <v>546</v>
      </c>
      <c r="BL87" s="29">
        <v>3</v>
      </c>
      <c r="BM87" s="29" t="s">
        <v>549</v>
      </c>
      <c r="BN87" s="29">
        <v>2</v>
      </c>
      <c r="BO87" s="29" t="s">
        <v>549</v>
      </c>
      <c r="BQ87" s="29" t="s">
        <v>547</v>
      </c>
      <c r="BS87" s="29" t="s">
        <v>547</v>
      </c>
      <c r="BU87" s="29" t="s">
        <v>547</v>
      </c>
      <c r="BW87" s="29">
        <f>(BL87*1)+(BN87*0.1)+(BP87*0.01)+(BR87*0.1)+(BT87*0.3)+(BV87*0.4)</f>
        <v>3.2</v>
      </c>
      <c r="BX87" s="29" t="s">
        <v>2219</v>
      </c>
      <c r="BY87" s="29">
        <v>1</v>
      </c>
      <c r="BZ87" s="29">
        <v>1</v>
      </c>
      <c r="CA87" s="29">
        <v>1</v>
      </c>
      <c r="CB87" s="29">
        <v>3</v>
      </c>
      <c r="CC87" s="29">
        <v>0</v>
      </c>
      <c r="CD87" s="29">
        <v>0</v>
      </c>
      <c r="CE87" s="29">
        <v>0</v>
      </c>
      <c r="CF87" s="29" t="s">
        <v>547</v>
      </c>
      <c r="CG87" s="29">
        <f>(CC87*15)+(CD87*0.8)+(CE87*0.3)+((AW87+AZ87)*15)</f>
        <v>43.125</v>
      </c>
      <c r="CH87" s="29" t="s">
        <v>2220</v>
      </c>
      <c r="CI87" s="29">
        <f>(BL87*1)+(BN87*0.1)+(BP87*0.01)+(BR87*0.1)+(BT87*0.3)+(BV87*0.4)+(CC87*15)+(CD87*0.8)+(CE87*0.3)+((AW87+AZ87)*15)</f>
        <v>46.325000000000003</v>
      </c>
      <c r="CJ87" s="29" t="s">
        <v>546</v>
      </c>
      <c r="CK87" s="29" t="s">
        <v>547</v>
      </c>
      <c r="CL87" s="29" t="s">
        <v>548</v>
      </c>
      <c r="CM87" s="29" t="s">
        <v>550</v>
      </c>
      <c r="CN87" s="29">
        <v>0.25</v>
      </c>
      <c r="CQ87" s="29" t="s">
        <v>548</v>
      </c>
      <c r="CR87" s="29">
        <v>0.125</v>
      </c>
      <c r="CS87" s="29">
        <v>1.5</v>
      </c>
      <c r="CT87" s="29" t="s">
        <v>551</v>
      </c>
      <c r="CU87" s="30">
        <v>2.8800000000000003</v>
      </c>
      <c r="CW87" s="29">
        <v>999</v>
      </c>
      <c r="CX87" s="29" t="s">
        <v>551</v>
      </c>
      <c r="CY87" s="62"/>
      <c r="CZ87" s="29">
        <v>0.125</v>
      </c>
      <c r="DA87" s="29">
        <v>1</v>
      </c>
      <c r="DB87" s="29" t="s">
        <v>552</v>
      </c>
      <c r="DC87" s="62">
        <v>0.32063999999999998</v>
      </c>
      <c r="DD87" s="29" t="s">
        <v>546</v>
      </c>
      <c r="DE87" s="29" t="s">
        <v>546</v>
      </c>
      <c r="DF87" s="29" t="s">
        <v>546</v>
      </c>
      <c r="DG87" s="29" t="s">
        <v>546</v>
      </c>
      <c r="DH87" s="29" t="s">
        <v>546</v>
      </c>
      <c r="DI87" s="29">
        <v>0</v>
      </c>
      <c r="DJ87" s="29">
        <v>2</v>
      </c>
      <c r="DK87" s="29" t="s">
        <v>767</v>
      </c>
      <c r="DL87" s="29" t="s">
        <v>768</v>
      </c>
      <c r="DM87" s="29">
        <v>-4.3494272232055664</v>
      </c>
      <c r="DN87" s="29">
        <v>35.646892547607422</v>
      </c>
      <c r="DO87" s="29">
        <v>1614.4000244140625</v>
      </c>
      <c r="DP87" s="29">
        <v>5</v>
      </c>
      <c r="DQ87" s="29">
        <v>1706031849</v>
      </c>
      <c r="DR87" s="29" t="s">
        <v>769</v>
      </c>
      <c r="DS87" s="31">
        <v>42951.125914351855</v>
      </c>
      <c r="DT87" s="31">
        <v>42934.47655092593</v>
      </c>
      <c r="DU87" s="31">
        <v>42951.037025462967</v>
      </c>
      <c r="DV87" s="32">
        <v>42771</v>
      </c>
      <c r="DX87" s="44">
        <v>5.297419354838711</v>
      </c>
      <c r="DY87" s="44">
        <v>6.7606451612903244</v>
      </c>
      <c r="DZ87" s="44">
        <v>2.4669163545568038</v>
      </c>
      <c r="EA87" s="44">
        <v>2.8174781523096133</v>
      </c>
      <c r="EC87" s="29">
        <f>IF(EQ87&lt;EP87,"FALSEE",1)</f>
        <v>1</v>
      </c>
      <c r="EE87" s="29" t="s">
        <v>2171</v>
      </c>
      <c r="EF87" s="29">
        <v>0.900638759136</v>
      </c>
      <c r="EG87" s="29" t="str">
        <f>IF(EF87&lt;0.5,"Depression",IF(EF87&lt;2,"Very gentle",IF(EF87&lt;5,"Gentle",IF(EF87&lt;9,"Moderate",IF(EF87&lt;15,"Strong",IF(EF87&lt;30,"Steep",IF(EF87&lt;1,"Very steep")))))))</f>
        <v>Very gentle</v>
      </c>
      <c r="EH87" s="29" t="s">
        <v>2173</v>
      </c>
      <c r="EI87" s="29">
        <v>0.18129228055499999</v>
      </c>
      <c r="EJ87" s="43">
        <v>8.7377004623399994</v>
      </c>
      <c r="EK87" s="43">
        <f>VLOOKUP(D87,[1]SoilData!$G$15:$K$237,5,FALSE)</f>
        <v>230.03665430731459</v>
      </c>
      <c r="EL87" s="43">
        <f>VLOOKUP(D87,[1]SoilData!$G$245:$K$451,5,FALSE)</f>
        <v>279.83165599268091</v>
      </c>
      <c r="EM87" s="43">
        <f>VLOOKUP(D87,[1]SoilData!$G$15:$M$238,7,FALSE)</f>
        <v>1.1399999999999999</v>
      </c>
      <c r="EN87" s="43">
        <f>VLOOKUP(D87,[1]SoilData!$G$245:$M$454,7,FALSE)</f>
        <v>0.97799999999999998</v>
      </c>
      <c r="EO87" s="60">
        <f>EM87-EN87</f>
        <v>0.16199999999999992</v>
      </c>
      <c r="EP87" s="44">
        <f>AVERAGE(DZ87:EA87)</f>
        <v>2.6421972534332085</v>
      </c>
      <c r="EQ87" s="44">
        <f>AVERAGE(DX87:DY87)</f>
        <v>6.0290322580645181</v>
      </c>
      <c r="ER87" s="43">
        <f>EQ87-EP87</f>
        <v>3.3868350046313096</v>
      </c>
      <c r="ES87" s="64">
        <f>IF(CU87&gt;0.000001,CU87*352,0)</f>
        <v>1013.7600000000001</v>
      </c>
      <c r="ET87" s="64">
        <f>IF(DC87&gt;0.0001,DC87*682,0)</f>
        <v>218.67648</v>
      </c>
      <c r="EU87" s="64">
        <f>CY87*795</f>
        <v>0</v>
      </c>
      <c r="EV87" s="64">
        <f>ES87+ET87+EU87</f>
        <v>1232.4364800000001</v>
      </c>
      <c r="EW87" s="64">
        <f>IF(AA87="YES",3.5*18.2,0)</f>
        <v>0</v>
      </c>
      <c r="EX87" s="64">
        <f>EV87-EW87</f>
        <v>1232.4364800000001</v>
      </c>
    </row>
    <row r="88" spans="1:154" ht="15" x14ac:dyDescent="0.2">
      <c r="A88" s="29" t="s">
        <v>1182</v>
      </c>
      <c r="B88" s="29">
        <v>89</v>
      </c>
      <c r="C88" s="29" t="s">
        <v>242</v>
      </c>
      <c r="D88" s="29" t="s">
        <v>242</v>
      </c>
      <c r="E88" s="29" t="str">
        <f>VLOOKUP(D88,Harvest_2017_Formulae!$C$2:$D$968,2,FALSE)</f>
        <v>SABILO</v>
      </c>
      <c r="F88" s="29" t="s">
        <v>1175</v>
      </c>
      <c r="G88" s="29">
        <v>0</v>
      </c>
      <c r="H88" s="61" t="str">
        <f>IF(G88&lt;0.05,"Homefield",IF(G88&lt;0.5,"Midfield","outfield"))</f>
        <v>Homefield</v>
      </c>
      <c r="I88" s="29" t="s">
        <v>557</v>
      </c>
      <c r="J88" s="61" t="s">
        <v>2233</v>
      </c>
      <c r="K88" s="61" t="s">
        <v>2233</v>
      </c>
      <c r="L88" s="67">
        <v>0</v>
      </c>
      <c r="O88" s="29" t="s">
        <v>547</v>
      </c>
      <c r="Q88" s="67">
        <v>0</v>
      </c>
      <c r="R88" s="29" t="s">
        <v>547</v>
      </c>
      <c r="T88" s="29">
        <v>1.5</v>
      </c>
      <c r="U88" s="29" t="s">
        <v>560</v>
      </c>
      <c r="W88" s="29" t="s">
        <v>635</v>
      </c>
      <c r="Z88" s="29" t="s">
        <v>547</v>
      </c>
      <c r="AA88" s="61" t="s">
        <v>548</v>
      </c>
      <c r="AB88" s="29" t="s">
        <v>568</v>
      </c>
      <c r="AC88" s="67">
        <v>0</v>
      </c>
      <c r="AD88" s="29" t="s">
        <v>547</v>
      </c>
      <c r="AF88" s="29" t="s">
        <v>547</v>
      </c>
      <c r="AG88" s="29" t="s">
        <v>547</v>
      </c>
      <c r="AH88" s="29" t="s">
        <v>546</v>
      </c>
      <c r="AI88" s="29" t="s">
        <v>546</v>
      </c>
      <c r="AK88" s="67">
        <v>0</v>
      </c>
      <c r="AL88" s="29" t="s">
        <v>547</v>
      </c>
      <c r="AO88" s="29" t="s">
        <v>547</v>
      </c>
      <c r="AP88" s="29" t="s">
        <v>547</v>
      </c>
      <c r="AQ88" s="4">
        <f>Q88+AK88</f>
        <v>0</v>
      </c>
      <c r="AR88" s="4">
        <f>L88+AC88</f>
        <v>0</v>
      </c>
      <c r="AS88" t="str">
        <f>AQ88&amp;AR88</f>
        <v>00</v>
      </c>
      <c r="AT88" s="49">
        <f>AQ88-AR88</f>
        <v>0</v>
      </c>
      <c r="AU88">
        <v>1</v>
      </c>
      <c r="AV88" s="29" t="s">
        <v>548</v>
      </c>
      <c r="AW88" s="29">
        <v>1</v>
      </c>
      <c r="AX88" s="29" t="s">
        <v>548</v>
      </c>
      <c r="AY88" s="29">
        <v>1</v>
      </c>
      <c r="AZ88" s="29">
        <v>1.75</v>
      </c>
      <c r="BA88" s="29" t="s">
        <v>546</v>
      </c>
      <c r="BB88" s="29" t="s">
        <v>547</v>
      </c>
      <c r="BD88" s="29">
        <f>AW88+AZ88</f>
        <v>2.75</v>
      </c>
      <c r="BE88" s="29">
        <f>BD88+BC88</f>
        <v>2.75</v>
      </c>
      <c r="BF88" s="29" t="s">
        <v>548</v>
      </c>
      <c r="BG88" s="29" t="s">
        <v>548</v>
      </c>
      <c r="BH88" s="29" t="s">
        <v>548</v>
      </c>
      <c r="BI88" s="29" t="s">
        <v>546</v>
      </c>
      <c r="BJ88" s="29" t="s">
        <v>546</v>
      </c>
      <c r="BK88" s="29" t="s">
        <v>546</v>
      </c>
      <c r="BL88" s="29">
        <v>3</v>
      </c>
      <c r="BM88" s="29" t="s">
        <v>580</v>
      </c>
      <c r="BN88" s="29">
        <v>2</v>
      </c>
      <c r="BO88" s="29" t="s">
        <v>580</v>
      </c>
      <c r="BP88" s="29">
        <v>2</v>
      </c>
      <c r="BQ88" s="29" t="s">
        <v>580</v>
      </c>
      <c r="BS88" s="29" t="s">
        <v>547</v>
      </c>
      <c r="BU88" s="29" t="s">
        <v>547</v>
      </c>
      <c r="BW88" s="29">
        <f>(BL88*1)+(BN88*0.1)+(BP88*0.01)+(BR88*0.1)+(BT88*0.3)+(BV88*0.4)</f>
        <v>3.22</v>
      </c>
      <c r="BX88" s="29" t="s">
        <v>2219</v>
      </c>
      <c r="BY88" s="29">
        <v>1</v>
      </c>
      <c r="BZ88" s="29">
        <v>1</v>
      </c>
      <c r="CA88" s="29">
        <v>4</v>
      </c>
      <c r="CB88" s="29">
        <v>6</v>
      </c>
      <c r="CC88" s="29">
        <v>0</v>
      </c>
      <c r="CD88" s="29">
        <v>0</v>
      </c>
      <c r="CE88" s="29">
        <v>0</v>
      </c>
      <c r="CG88" s="29">
        <f>(CC88*15)+(CD88*0.8)+(CE88*0.3)+((AW88+AZ88)*15)</f>
        <v>41.25</v>
      </c>
      <c r="CH88" s="29" t="s">
        <v>2220</v>
      </c>
      <c r="CI88" s="29">
        <f>(BL88*1)+(BN88*0.1)+(BP88*0.01)+(BR88*0.1)+(BT88*0.3)+(BV88*0.4)+(CC88*15)+(CD88*0.8)+(CE88*0.3)+((AW88+AZ88)*15)</f>
        <v>44.47</v>
      </c>
      <c r="CJ88" s="29" t="s">
        <v>548</v>
      </c>
      <c r="CK88" s="29" t="s">
        <v>1183</v>
      </c>
      <c r="CL88" s="29" t="s">
        <v>548</v>
      </c>
      <c r="CM88" s="29" t="s">
        <v>550</v>
      </c>
      <c r="CN88" s="29">
        <v>0.5</v>
      </c>
      <c r="CO88" s="29">
        <v>1.75</v>
      </c>
      <c r="CP88" s="29">
        <v>15</v>
      </c>
      <c r="CQ88" s="29" t="s">
        <v>546</v>
      </c>
      <c r="CR88" s="29">
        <v>1</v>
      </c>
      <c r="CS88" s="29">
        <v>10</v>
      </c>
      <c r="CT88" s="29" t="s">
        <v>551</v>
      </c>
      <c r="CU88" s="30">
        <v>2.4</v>
      </c>
      <c r="CV88" s="29">
        <v>1</v>
      </c>
      <c r="CW88" s="29">
        <v>2</v>
      </c>
      <c r="CX88" s="29" t="s">
        <v>551</v>
      </c>
      <c r="CY88" s="62">
        <v>0.48</v>
      </c>
      <c r="CZ88" s="29">
        <v>1</v>
      </c>
      <c r="DA88" s="29">
        <v>1</v>
      </c>
      <c r="DB88" s="29" t="s">
        <v>551</v>
      </c>
      <c r="DC88" s="62">
        <v>0.24</v>
      </c>
      <c r="DD88" s="29" t="s">
        <v>548</v>
      </c>
      <c r="DE88" s="29" t="s">
        <v>548</v>
      </c>
      <c r="DF88" s="29" t="s">
        <v>546</v>
      </c>
      <c r="DG88" s="29" t="s">
        <v>548</v>
      </c>
      <c r="DH88" s="29" t="s">
        <v>548</v>
      </c>
      <c r="DI88" s="29">
        <v>4</v>
      </c>
      <c r="DJ88" s="29">
        <v>5</v>
      </c>
      <c r="DK88" s="29" t="s">
        <v>1184</v>
      </c>
      <c r="DL88" s="29" t="s">
        <v>1185</v>
      </c>
      <c r="DM88" s="29">
        <v>-4.3539328575134277</v>
      </c>
      <c r="DN88" s="29">
        <v>35.488338470458984</v>
      </c>
      <c r="DO88" s="29">
        <v>1676.0999755859375</v>
      </c>
      <c r="DP88" s="29">
        <v>15</v>
      </c>
      <c r="DQ88" s="29">
        <v>1705231439</v>
      </c>
      <c r="DR88" s="29" t="s">
        <v>1186</v>
      </c>
      <c r="DS88" s="31">
        <v>42927.345277777778</v>
      </c>
      <c r="DT88" s="31">
        <v>42895.406365740739</v>
      </c>
      <c r="DU88" s="31">
        <v>42923.466446759259</v>
      </c>
      <c r="DV88" s="32">
        <v>42750</v>
      </c>
      <c r="DX88" s="44">
        <v>3.9814492753623187</v>
      </c>
      <c r="DY88" s="44">
        <v>4.4791304347826086</v>
      </c>
      <c r="DZ88" s="44">
        <v>2.427777777777778</v>
      </c>
      <c r="EA88" s="44">
        <v>2.3420915032679739</v>
      </c>
      <c r="EC88" s="29">
        <f>IF(EQ88&lt;EP88,"FALSEE",1)</f>
        <v>1</v>
      </c>
      <c r="EE88" s="29" t="s">
        <v>2171</v>
      </c>
      <c r="EF88" s="29">
        <v>3.3021626472499999</v>
      </c>
      <c r="EG88" s="29" t="str">
        <f>IF(EF88&lt;0.5,"Depression",IF(EF88&lt;2,"Very gentle",IF(EF88&lt;5,"Gentle",IF(EF88&lt;9,"Moderate",IF(EF88&lt;15,"Strong",IF(EF88&lt;30,"Steep",IF(EF88&lt;1,"Very steep")))))))</f>
        <v>Gentle</v>
      </c>
      <c r="EH88" s="29" t="s">
        <v>2173</v>
      </c>
      <c r="EI88" s="29">
        <v>9.0650379657699995E-2</v>
      </c>
      <c r="EJ88" s="43">
        <v>7.8596940040599996</v>
      </c>
      <c r="EK88" s="43">
        <f>VLOOKUP(D88,[1]SoilData!$G$15:$K$237,5,FALSE)</f>
        <v>162.36652381181702</v>
      </c>
      <c r="EL88" s="43">
        <f>VLOOKUP(D88,[1]SoilData!$G$245:$K$451,5,FALSE)</f>
        <v>251.20962221733689</v>
      </c>
      <c r="EM88" s="43">
        <f>VLOOKUP(D88,[1]SoilData!$G$15:$M$238,7,FALSE)</f>
        <v>1.976</v>
      </c>
      <c r="EN88" s="43">
        <f>VLOOKUP(D88,[1]SoilData!$G$245:$M$454,7,FALSE)</f>
        <v>1.97</v>
      </c>
      <c r="EO88" s="60">
        <f>EM88-EN88</f>
        <v>6.0000000000000053E-3</v>
      </c>
      <c r="EP88" s="44">
        <f>AVERAGE(DZ88:EA88)</f>
        <v>2.384934640522876</v>
      </c>
      <c r="EQ88" s="44">
        <f>AVERAGE(DX88:DY88)</f>
        <v>4.2302898550724635</v>
      </c>
      <c r="ER88" s="43">
        <f>EQ88-EP88</f>
        <v>1.8453552145495875</v>
      </c>
      <c r="ES88" s="64">
        <f>IF(CU88&gt;0.000001,CU88*352,0)</f>
        <v>844.8</v>
      </c>
      <c r="ET88" s="64">
        <f>IF(DC88&gt;0.0001,DC88*682,0)</f>
        <v>163.68</v>
      </c>
      <c r="EU88" s="64">
        <f>CY88*795</f>
        <v>381.59999999999997</v>
      </c>
      <c r="EV88" s="64">
        <f>ES88+ET88+EU88</f>
        <v>1390.08</v>
      </c>
      <c r="EW88" s="64">
        <f>IF(AA88="YES",3.5*18.2,0)</f>
        <v>63.699999999999996</v>
      </c>
      <c r="EX88" s="64">
        <f>EV88-EW88</f>
        <v>1326.3799999999999</v>
      </c>
    </row>
    <row r="89" spans="1:154" ht="15" x14ac:dyDescent="0.2">
      <c r="A89" s="34" t="s">
        <v>556</v>
      </c>
      <c r="B89" s="34">
        <v>187</v>
      </c>
      <c r="C89" s="34" t="s">
        <v>433</v>
      </c>
      <c r="D89" s="34" t="s">
        <v>433</v>
      </c>
      <c r="E89" s="29" t="str">
        <f>VLOOKUP(D89,Harvest_2017_Formulae!$C$2:$D$968,2,FALSE)</f>
        <v>SABILO</v>
      </c>
      <c r="F89" s="34" t="s">
        <v>1175</v>
      </c>
      <c r="G89" s="34">
        <v>0</v>
      </c>
      <c r="H89" s="61" t="str">
        <f>IF(G89&lt;0.05,"Homefield",IF(G89&lt;0.5,"Midfield","outfield"))</f>
        <v>Homefield</v>
      </c>
      <c r="I89" s="34" t="s">
        <v>557</v>
      </c>
      <c r="J89" s="61" t="s">
        <v>2234</v>
      </c>
      <c r="K89" s="61" t="s">
        <v>2234</v>
      </c>
      <c r="L89" s="67">
        <v>0</v>
      </c>
      <c r="M89" s="34"/>
      <c r="N89" s="34"/>
      <c r="O89" s="34" t="s">
        <v>547</v>
      </c>
      <c r="P89" s="34"/>
      <c r="Q89" s="67">
        <v>0</v>
      </c>
      <c r="R89" s="34" t="s">
        <v>547</v>
      </c>
      <c r="S89" s="34"/>
      <c r="T89" s="34"/>
      <c r="U89" s="34" t="s">
        <v>547</v>
      </c>
      <c r="V89" s="34"/>
      <c r="W89" s="34" t="s">
        <v>547</v>
      </c>
      <c r="X89" s="34"/>
      <c r="Y89" s="34"/>
      <c r="Z89" s="34" t="s">
        <v>547</v>
      </c>
      <c r="AA89" s="61" t="s">
        <v>546</v>
      </c>
      <c r="AB89" s="34" t="s">
        <v>547</v>
      </c>
      <c r="AC89" s="67">
        <v>0</v>
      </c>
      <c r="AD89" s="34" t="s">
        <v>547</v>
      </c>
      <c r="AE89" s="34"/>
      <c r="AF89" s="34" t="s">
        <v>547</v>
      </c>
      <c r="AG89" s="34" t="s">
        <v>547</v>
      </c>
      <c r="AH89" s="34" t="s">
        <v>546</v>
      </c>
      <c r="AI89" s="34" t="s">
        <v>546</v>
      </c>
      <c r="AJ89" s="34" t="s">
        <v>547</v>
      </c>
      <c r="AK89" s="67">
        <v>0</v>
      </c>
      <c r="AL89" s="34" t="s">
        <v>547</v>
      </c>
      <c r="AM89" s="34"/>
      <c r="AN89" s="34"/>
      <c r="AO89" s="34" t="s">
        <v>547</v>
      </c>
      <c r="AP89" s="34" t="s">
        <v>547</v>
      </c>
      <c r="AQ89" s="4">
        <f>Q89+AK89</f>
        <v>0</v>
      </c>
      <c r="AR89" s="4">
        <f>L89+AC89</f>
        <v>0</v>
      </c>
      <c r="AS89" t="str">
        <f>AQ89&amp;AR89</f>
        <v>00</v>
      </c>
      <c r="AT89" s="49">
        <f>AQ89-AR89</f>
        <v>0</v>
      </c>
      <c r="AU89">
        <v>1</v>
      </c>
      <c r="AV89" s="34" t="s">
        <v>548</v>
      </c>
      <c r="AW89" s="34">
        <v>9</v>
      </c>
      <c r="AX89" s="34" t="s">
        <v>548</v>
      </c>
      <c r="AY89" s="34">
        <v>1</v>
      </c>
      <c r="AZ89" s="34">
        <v>1</v>
      </c>
      <c r="BA89" s="34" t="s">
        <v>546</v>
      </c>
      <c r="BB89" s="34" t="s">
        <v>547</v>
      </c>
      <c r="BC89" s="34"/>
      <c r="BD89" s="29">
        <f>AW89+AZ89</f>
        <v>10</v>
      </c>
      <c r="BE89" s="29">
        <f>BD89+BC89</f>
        <v>10</v>
      </c>
      <c r="BF89" s="34" t="s">
        <v>548</v>
      </c>
      <c r="BG89" s="34" t="s">
        <v>546</v>
      </c>
      <c r="BH89" s="34" t="s">
        <v>548</v>
      </c>
      <c r="BI89" s="34" t="s">
        <v>548</v>
      </c>
      <c r="BJ89" s="34" t="s">
        <v>546</v>
      </c>
      <c r="BK89" s="34" t="s">
        <v>546</v>
      </c>
      <c r="BL89" s="34">
        <v>3</v>
      </c>
      <c r="BM89" s="34" t="s">
        <v>549</v>
      </c>
      <c r="BN89" s="34"/>
      <c r="BO89" s="34" t="s">
        <v>547</v>
      </c>
      <c r="BP89" s="34">
        <v>10</v>
      </c>
      <c r="BQ89" s="34" t="s">
        <v>549</v>
      </c>
      <c r="BR89" s="34">
        <v>2</v>
      </c>
      <c r="BS89" s="34" t="s">
        <v>549</v>
      </c>
      <c r="BT89" s="34"/>
      <c r="BU89" s="34" t="s">
        <v>547</v>
      </c>
      <c r="BV89" s="34"/>
      <c r="BW89" s="29">
        <f>(BL89*1)+(BN89*0.1)+(BP89*0.01)+(BR89*0.1)+(BT89*0.3)+(BV89*0.4)</f>
        <v>3.3000000000000003</v>
      </c>
      <c r="BX89" s="29" t="s">
        <v>2219</v>
      </c>
      <c r="BY89" s="34">
        <v>4</v>
      </c>
      <c r="BZ89" s="34">
        <v>2</v>
      </c>
      <c r="CA89" s="34">
        <v>2</v>
      </c>
      <c r="CB89" s="34">
        <v>8</v>
      </c>
      <c r="CC89" s="34">
        <v>0</v>
      </c>
      <c r="CD89" s="34">
        <v>0</v>
      </c>
      <c r="CE89" s="34">
        <v>1</v>
      </c>
      <c r="CF89" s="34" t="s">
        <v>547</v>
      </c>
      <c r="CG89" s="29">
        <f>(CC89*15)+(CD89*0.8)+(CE89*0.3)+((AW89+AZ89)*15)</f>
        <v>150.30000000000001</v>
      </c>
      <c r="CH89" s="29" t="s">
        <v>2221</v>
      </c>
      <c r="CI89" s="29">
        <f>(BL89*1)+(BN89*0.1)+(BP89*0.01)+(BR89*0.1)+(BT89*0.3)+(BV89*0.4)+(CC89*15)+(CD89*0.8)+(CE89*0.3)+((AW89+AZ89)*15)</f>
        <v>153.6</v>
      </c>
      <c r="CJ89" s="34" t="s">
        <v>546</v>
      </c>
      <c r="CK89" s="34" t="s">
        <v>547</v>
      </c>
      <c r="CL89" s="34" t="s">
        <v>548</v>
      </c>
      <c r="CM89" s="34" t="s">
        <v>550</v>
      </c>
      <c r="CN89" s="34">
        <v>1.5</v>
      </c>
      <c r="CO89" s="34">
        <v>6</v>
      </c>
      <c r="CP89" s="34"/>
      <c r="CQ89" s="34" t="s">
        <v>548</v>
      </c>
      <c r="CR89" s="34">
        <v>0.25</v>
      </c>
      <c r="CS89" s="34">
        <v>9</v>
      </c>
      <c r="CT89" s="34" t="s">
        <v>551</v>
      </c>
      <c r="CU89" s="34">
        <v>8.64</v>
      </c>
      <c r="CV89" s="34">
        <v>0.125</v>
      </c>
      <c r="CW89" s="34">
        <v>1</v>
      </c>
      <c r="CX89" s="34" t="s">
        <v>551</v>
      </c>
      <c r="CY89" s="56">
        <v>1.92</v>
      </c>
      <c r="CZ89" s="34">
        <v>0.5</v>
      </c>
      <c r="DA89" s="34">
        <v>2</v>
      </c>
      <c r="DB89" s="34" t="s">
        <v>551</v>
      </c>
      <c r="DC89" s="56">
        <v>0.96</v>
      </c>
      <c r="DD89" s="34" t="s">
        <v>546</v>
      </c>
      <c r="DE89" s="34" t="s">
        <v>546</v>
      </c>
      <c r="DF89" s="34" t="s">
        <v>546</v>
      </c>
      <c r="DG89" s="34" t="s">
        <v>546</v>
      </c>
      <c r="DH89" s="34" t="s">
        <v>546</v>
      </c>
      <c r="DI89" s="34">
        <v>0</v>
      </c>
      <c r="DJ89" s="34">
        <v>4</v>
      </c>
      <c r="DK89" s="34" t="s">
        <v>1221</v>
      </c>
      <c r="DL89" s="34" t="s">
        <v>1222</v>
      </c>
      <c r="DM89" s="34">
        <v>-4.3435859680175781</v>
      </c>
      <c r="DN89" s="34">
        <v>35.478065490722656</v>
      </c>
      <c r="DO89" s="34">
        <v>1623.300048828125</v>
      </c>
      <c r="DP89" s="34">
        <v>5</v>
      </c>
      <c r="DQ89" s="34">
        <v>1706031849</v>
      </c>
      <c r="DR89" s="34" t="s">
        <v>1223</v>
      </c>
      <c r="DS89" s="35">
        <v>42930.383969907409</v>
      </c>
      <c r="DT89" s="35">
        <v>42929.591111111113</v>
      </c>
      <c r="DU89" s="35">
        <v>42929.61037037037</v>
      </c>
      <c r="DV89" s="36">
        <v>42770</v>
      </c>
      <c r="DW89" s="34"/>
      <c r="DX89" s="44">
        <v>3.8352927616413104</v>
      </c>
      <c r="DY89" s="44">
        <v>4.1205624711848783</v>
      </c>
      <c r="DZ89" s="44">
        <v>4.35511756569848</v>
      </c>
      <c r="EA89" s="44">
        <v>5.8955739972337504</v>
      </c>
      <c r="EC89" s="29" t="str">
        <f>IF(EQ89&lt;EP89,"FALSEE",1)</f>
        <v>FALSEE</v>
      </c>
      <c r="EE89" s="29" t="s">
        <v>2174</v>
      </c>
      <c r="EF89" s="29">
        <v>4.8365068435699996</v>
      </c>
      <c r="EG89" s="29" t="str">
        <f>IF(EF89&lt;0.5,"Depression",IF(EF89&lt;2,"Very gentle",IF(EF89&lt;5,"Gentle",IF(EF89&lt;9,"Moderate",IF(EF89&lt;15,"Strong",IF(EF89&lt;30,"Steep",IF(EF89&lt;1,"Very steep")))))))</f>
        <v>Gentle</v>
      </c>
      <c r="EH89" s="29" t="s">
        <v>2173</v>
      </c>
      <c r="EI89" s="29">
        <v>0.18129228055499999</v>
      </c>
      <c r="EJ89" s="43">
        <v>8.2040119171099999</v>
      </c>
      <c r="EK89" s="43">
        <f>VLOOKUP(D89,[1]SoilData!$G$15:$K$237,5,FALSE)</f>
        <v>339.84101699812226</v>
      </c>
      <c r="EL89" s="43">
        <f>VLOOKUP(D89,[1]SoilData!$G$245:$K$451,5,FALSE)</f>
        <v>371.7608898733568</v>
      </c>
      <c r="EM89" s="43">
        <f>VLOOKUP(D89,[1]SoilData!$G$15:$M$238,7,FALSE)</f>
        <v>1.4239999999999999</v>
      </c>
      <c r="EN89" s="43">
        <f>VLOOKUP(D89,[1]SoilData!$G$245:$M$454,7,FALSE)</f>
        <v>1.8540000000000001</v>
      </c>
      <c r="EO89" s="60">
        <f>EM89-EN89</f>
        <v>-0.43000000000000016</v>
      </c>
      <c r="EP89" s="44">
        <f>AVERAGE(DZ89:EA89)</f>
        <v>5.1253457814661152</v>
      </c>
      <c r="EQ89" s="44">
        <f>AVERAGE(DX89:DY89)</f>
        <v>3.9779276164130941</v>
      </c>
      <c r="ER89" s="43">
        <f>EQ89-EP89</f>
        <v>-1.1474181650530211</v>
      </c>
      <c r="ES89" s="64">
        <f>IF(CU89&gt;0.000001,CU89*352,0)</f>
        <v>3041.28</v>
      </c>
      <c r="ET89" s="64">
        <f>IF(DC89&gt;0.0001,DC89*682,0)</f>
        <v>654.72</v>
      </c>
      <c r="EU89" s="64">
        <f>CY89*795</f>
        <v>1526.3999999999999</v>
      </c>
      <c r="EV89" s="64">
        <f>ES89+ET89+EU89</f>
        <v>5222.3999999999996</v>
      </c>
      <c r="EW89" s="64">
        <f>IF(AA89="YES",3.5*18.2,0)</f>
        <v>0</v>
      </c>
      <c r="EX89" s="64">
        <f>EV89-EW89</f>
        <v>5222.3999999999996</v>
      </c>
    </row>
    <row r="90" spans="1:154" ht="15" x14ac:dyDescent="0.2">
      <c r="A90" s="34" t="s">
        <v>544</v>
      </c>
      <c r="B90" s="34">
        <v>103</v>
      </c>
      <c r="C90" s="34" t="s">
        <v>1147</v>
      </c>
      <c r="D90" s="34" t="s">
        <v>375</v>
      </c>
      <c r="E90" s="29" t="str">
        <f>VLOOKUP(D90,Harvest_2017_Formulae!$C$2:$D$968,2,FALSE)</f>
        <v>ORNGADIDA</v>
      </c>
      <c r="F90" s="34" t="s">
        <v>777</v>
      </c>
      <c r="G90" s="34">
        <v>0</v>
      </c>
      <c r="H90" s="61" t="str">
        <f>IF(G90&lt;0.05,"Homefield",IF(G90&lt;0.5,"Midfield","outfield"))</f>
        <v>Homefield</v>
      </c>
      <c r="I90" s="34" t="s">
        <v>557</v>
      </c>
      <c r="J90" s="61" t="s">
        <v>2233</v>
      </c>
      <c r="K90" s="61" t="s">
        <v>2233</v>
      </c>
      <c r="L90" s="67">
        <v>0</v>
      </c>
      <c r="M90" s="34"/>
      <c r="N90" s="34"/>
      <c r="O90" s="34" t="s">
        <v>547</v>
      </c>
      <c r="P90" s="34"/>
      <c r="Q90" s="67">
        <v>0</v>
      </c>
      <c r="R90" s="34" t="s">
        <v>547</v>
      </c>
      <c r="S90" s="34"/>
      <c r="T90" s="34" t="s">
        <v>559</v>
      </c>
      <c r="U90" s="34" t="s">
        <v>560</v>
      </c>
      <c r="V90" s="34"/>
      <c r="W90" s="34" t="s">
        <v>635</v>
      </c>
      <c r="X90" s="34"/>
      <c r="Y90" s="34"/>
      <c r="Z90" s="34" t="s">
        <v>547</v>
      </c>
      <c r="AA90" s="61" t="s">
        <v>546</v>
      </c>
      <c r="AB90" s="34" t="s">
        <v>547</v>
      </c>
      <c r="AC90" s="67">
        <v>0</v>
      </c>
      <c r="AD90" s="34" t="s">
        <v>547</v>
      </c>
      <c r="AE90" s="34"/>
      <c r="AF90" s="34" t="s">
        <v>547</v>
      </c>
      <c r="AG90" s="34" t="s">
        <v>547</v>
      </c>
      <c r="AH90" s="34" t="s">
        <v>546</v>
      </c>
      <c r="AI90" s="34" t="s">
        <v>546</v>
      </c>
      <c r="AJ90" s="34" t="s">
        <v>547</v>
      </c>
      <c r="AK90" s="67">
        <v>0</v>
      </c>
      <c r="AL90" s="34" t="s">
        <v>547</v>
      </c>
      <c r="AM90" s="34"/>
      <c r="AN90" s="34"/>
      <c r="AO90" s="34" t="s">
        <v>547</v>
      </c>
      <c r="AP90" s="34" t="s">
        <v>547</v>
      </c>
      <c r="AQ90" s="4">
        <f>Q90+AK90</f>
        <v>0</v>
      </c>
      <c r="AR90" s="4">
        <f>L90+AC90</f>
        <v>0</v>
      </c>
      <c r="AS90" t="str">
        <f>AQ90&amp;AR90</f>
        <v>00</v>
      </c>
      <c r="AT90" s="49">
        <f>AQ90-AR90</f>
        <v>0</v>
      </c>
      <c r="AU90">
        <v>1</v>
      </c>
      <c r="AV90" s="34" t="s">
        <v>548</v>
      </c>
      <c r="AW90" s="34">
        <v>0.25</v>
      </c>
      <c r="AX90" s="34" t="s">
        <v>548</v>
      </c>
      <c r="AY90" s="34">
        <v>2</v>
      </c>
      <c r="AZ90" s="34">
        <v>4.75</v>
      </c>
      <c r="BA90" s="34" t="s">
        <v>546</v>
      </c>
      <c r="BB90" s="34" t="s">
        <v>547</v>
      </c>
      <c r="BC90" s="34"/>
      <c r="BD90" s="29">
        <f>AW90+AZ90</f>
        <v>5</v>
      </c>
      <c r="BE90" s="29">
        <f>BD90+BC90</f>
        <v>5</v>
      </c>
      <c r="BF90" s="34" t="s">
        <v>548</v>
      </c>
      <c r="BG90" s="34" t="s">
        <v>548</v>
      </c>
      <c r="BH90" s="34" t="s">
        <v>548</v>
      </c>
      <c r="BI90" s="34" t="s">
        <v>546</v>
      </c>
      <c r="BJ90" s="34" t="s">
        <v>546</v>
      </c>
      <c r="BK90" s="34" t="s">
        <v>546</v>
      </c>
      <c r="BL90" s="34">
        <v>3</v>
      </c>
      <c r="BM90" s="34" t="s">
        <v>549</v>
      </c>
      <c r="BN90" s="34">
        <v>2</v>
      </c>
      <c r="BO90" s="34" t="s">
        <v>549</v>
      </c>
      <c r="BP90" s="34">
        <v>14</v>
      </c>
      <c r="BQ90" s="34" t="s">
        <v>549</v>
      </c>
      <c r="BR90" s="34"/>
      <c r="BS90" s="34" t="s">
        <v>547</v>
      </c>
      <c r="BT90" s="34"/>
      <c r="BU90" s="34" t="s">
        <v>547</v>
      </c>
      <c r="BV90" s="34"/>
      <c r="BW90" s="29">
        <f>(BL90*1)+(BN90*0.1)+(BP90*0.01)+(BR90*0.1)+(BT90*0.3)+(BV90*0.4)</f>
        <v>3.3400000000000003</v>
      </c>
      <c r="BX90" s="29" t="s">
        <v>2219</v>
      </c>
      <c r="BY90" s="34">
        <v>1</v>
      </c>
      <c r="BZ90" s="34">
        <v>2</v>
      </c>
      <c r="CA90" s="34">
        <v>1</v>
      </c>
      <c r="CB90" s="34">
        <v>4</v>
      </c>
      <c r="CC90" s="34">
        <v>0</v>
      </c>
      <c r="CD90" s="34">
        <v>0</v>
      </c>
      <c r="CE90" s="34">
        <v>0</v>
      </c>
      <c r="CF90" s="34"/>
      <c r="CG90" s="29">
        <f>(CC90*15)+(CD90*0.8)+(CE90*0.3)+((AW90+AZ90)*15)</f>
        <v>75</v>
      </c>
      <c r="CH90" s="29" t="s">
        <v>2221</v>
      </c>
      <c r="CI90" s="29">
        <f>(BL90*1)+(BN90*0.1)+(BP90*0.01)+(BR90*0.1)+(BT90*0.3)+(BV90*0.4)+(CC90*15)+(CD90*0.8)+(CE90*0.3)+((AW90+AZ90)*15)</f>
        <v>78.34</v>
      </c>
      <c r="CJ90" s="34" t="s">
        <v>546</v>
      </c>
      <c r="CK90" s="34" t="s">
        <v>547</v>
      </c>
      <c r="CL90" s="34" t="s">
        <v>548</v>
      </c>
      <c r="CM90" s="34" t="s">
        <v>550</v>
      </c>
      <c r="CN90" s="34">
        <v>1.25</v>
      </c>
      <c r="CO90" s="34">
        <v>3.5</v>
      </c>
      <c r="CP90" s="34">
        <v>0</v>
      </c>
      <c r="CQ90" s="34" t="s">
        <v>548</v>
      </c>
      <c r="CR90" s="34">
        <v>1</v>
      </c>
      <c r="CS90" s="34">
        <v>10</v>
      </c>
      <c r="CT90" s="34" t="s">
        <v>551</v>
      </c>
      <c r="CU90" s="34">
        <v>2.4</v>
      </c>
      <c r="CV90" s="34"/>
      <c r="CW90" s="34">
        <v>999</v>
      </c>
      <c r="CX90" s="34" t="s">
        <v>551</v>
      </c>
      <c r="CY90" s="56"/>
      <c r="CZ90" s="34">
        <v>1</v>
      </c>
      <c r="DA90" s="34">
        <v>7.3000001907348633</v>
      </c>
      <c r="DB90" s="34" t="s">
        <v>551</v>
      </c>
      <c r="DC90" s="56">
        <v>1.7520000457763671</v>
      </c>
      <c r="DD90" s="34" t="s">
        <v>546</v>
      </c>
      <c r="DE90" s="34" t="s">
        <v>546</v>
      </c>
      <c r="DF90" s="34" t="s">
        <v>546</v>
      </c>
      <c r="DG90" s="34" t="s">
        <v>546</v>
      </c>
      <c r="DH90" s="34" t="s">
        <v>546</v>
      </c>
      <c r="DI90" s="34">
        <v>0</v>
      </c>
      <c r="DJ90" s="34">
        <v>3</v>
      </c>
      <c r="DK90" s="34" t="s">
        <v>1148</v>
      </c>
      <c r="DL90" s="34" t="s">
        <v>1149</v>
      </c>
      <c r="DM90" s="34">
        <v>-4.2892546653747559</v>
      </c>
      <c r="DN90" s="34">
        <v>35.852764129638672</v>
      </c>
      <c r="DO90" s="34">
        <v>1271.9000244140625</v>
      </c>
      <c r="DP90" s="34">
        <v>5</v>
      </c>
      <c r="DQ90" s="34">
        <v>1705231439</v>
      </c>
      <c r="DR90" s="34" t="s">
        <v>1150</v>
      </c>
      <c r="DS90" s="35">
        <v>42950.965949074074</v>
      </c>
      <c r="DT90" s="35">
        <v>42892.700497685189</v>
      </c>
      <c r="DU90" s="35">
        <v>42950.911817129629</v>
      </c>
      <c r="DV90" s="36">
        <v>42798</v>
      </c>
      <c r="DX90" s="44">
        <v>3.4020091324200918</v>
      </c>
      <c r="DY90" s="44">
        <v>3.4509589041095894</v>
      </c>
      <c r="DZ90" s="44">
        <v>2.8733604336043364</v>
      </c>
      <c r="EA90" s="44">
        <v>1.4178590785907859</v>
      </c>
      <c r="EC90" s="29">
        <f>IF(EQ90&lt;EP90,"FALSEE",1)</f>
        <v>1</v>
      </c>
      <c r="EE90" s="29" t="s">
        <v>2171</v>
      </c>
      <c r="EF90" s="29">
        <v>1.22101557255</v>
      </c>
      <c r="EG90" s="29" t="str">
        <f>IF(EF90&lt;0.5,"Depression",IF(EF90&lt;2,"Very gentle",IF(EF90&lt;5,"Gentle",IF(EF90&lt;9,"Moderate",IF(EF90&lt;15,"Strong",IF(EF90&lt;30,"Steep",IF(EF90&lt;1,"Very steep")))))))</f>
        <v>Very gentle</v>
      </c>
      <c r="EH90" s="29" t="s">
        <v>2173</v>
      </c>
      <c r="EI90" s="29">
        <v>8.4776775111099995E-6</v>
      </c>
      <c r="EJ90" s="43">
        <v>10.5152492523</v>
      </c>
      <c r="EK90" s="43"/>
      <c r="EL90" s="43"/>
      <c r="EM90" s="43"/>
      <c r="EN90" s="43"/>
      <c r="EO90" s="60"/>
      <c r="EP90" s="44">
        <f>AVERAGE(DZ90:EA90)</f>
        <v>2.1456097560975609</v>
      </c>
      <c r="EQ90" s="44">
        <f>AVERAGE(DX90:DY90)</f>
        <v>3.4264840182648406</v>
      </c>
      <c r="ER90" s="43">
        <f>EQ90-EP90</f>
        <v>1.2808742621672797</v>
      </c>
      <c r="ES90" s="64">
        <f>IF(CU90&gt;0.000001,CU90*352,0)</f>
        <v>844.8</v>
      </c>
      <c r="ET90" s="64">
        <f>IF(DC90&gt;0.0001,DC90*682,0)</f>
        <v>1194.8640312194823</v>
      </c>
      <c r="EU90" s="64">
        <f>CY90*795</f>
        <v>0</v>
      </c>
      <c r="EV90" s="64">
        <f>ES90+ET90+EU90</f>
        <v>2039.6640312194822</v>
      </c>
      <c r="EW90" s="64">
        <f>IF(AA90="YES",3.5*18.2,0)</f>
        <v>0</v>
      </c>
      <c r="EX90" s="64">
        <f>EV90-EW90</f>
        <v>2039.6640312194822</v>
      </c>
    </row>
    <row r="91" spans="1:154" ht="15" x14ac:dyDescent="0.2">
      <c r="A91" s="29" t="s">
        <v>556</v>
      </c>
      <c r="B91" s="29">
        <v>98</v>
      </c>
      <c r="C91" s="29" t="s">
        <v>376</v>
      </c>
      <c r="D91" s="29" t="s">
        <v>376</v>
      </c>
      <c r="E91" s="29" t="str">
        <f>VLOOKUP(D91,Harvest_2017_Formulae!$C$2:$D$968,2,FALSE)</f>
        <v>ORNGADIDA</v>
      </c>
      <c r="F91" s="29" t="s">
        <v>777</v>
      </c>
      <c r="G91" s="29">
        <v>3</v>
      </c>
      <c r="H91" s="61" t="str">
        <f>IF(G91&lt;0.05,"Homefield",IF(G91&lt;0.5,"Midfield","outfield"))</f>
        <v>outfield</v>
      </c>
      <c r="I91" s="29" t="s">
        <v>545</v>
      </c>
      <c r="J91" s="61" t="s">
        <v>545</v>
      </c>
      <c r="K91" s="61" t="s">
        <v>2234</v>
      </c>
      <c r="L91" s="67">
        <v>0</v>
      </c>
      <c r="O91" s="29" t="s">
        <v>547</v>
      </c>
      <c r="Q91" s="67">
        <v>0</v>
      </c>
      <c r="R91" s="29" t="s">
        <v>547</v>
      </c>
      <c r="T91" s="29" t="s">
        <v>559</v>
      </c>
      <c r="U91" s="29" t="s">
        <v>560</v>
      </c>
      <c r="W91" s="29" t="s">
        <v>561</v>
      </c>
      <c r="Z91" s="29" t="s">
        <v>547</v>
      </c>
      <c r="AA91" s="61" t="s">
        <v>546</v>
      </c>
      <c r="AB91" s="29" t="s">
        <v>547</v>
      </c>
      <c r="AC91" s="67">
        <v>0</v>
      </c>
      <c r="AD91" s="29" t="s">
        <v>547</v>
      </c>
      <c r="AF91" s="29" t="s">
        <v>547</v>
      </c>
      <c r="AG91" s="29" t="s">
        <v>547</v>
      </c>
      <c r="AH91" s="29" t="s">
        <v>548</v>
      </c>
      <c r="AI91" s="29" t="s">
        <v>546</v>
      </c>
      <c r="AJ91" s="29" t="s">
        <v>547</v>
      </c>
      <c r="AK91" s="67">
        <v>0</v>
      </c>
      <c r="AL91" s="29" t="s">
        <v>547</v>
      </c>
      <c r="AO91" s="29" t="s">
        <v>547</v>
      </c>
      <c r="AP91" s="29" t="s">
        <v>547</v>
      </c>
      <c r="AQ91" s="4">
        <f>Q91+AK91</f>
        <v>0</v>
      </c>
      <c r="AR91" s="4">
        <f>L91+AC91</f>
        <v>0</v>
      </c>
      <c r="AS91" t="str">
        <f>AQ91&amp;AR91</f>
        <v>00</v>
      </c>
      <c r="AT91" s="49">
        <f>AQ91-AR91</f>
        <v>0</v>
      </c>
      <c r="AU91">
        <v>1</v>
      </c>
      <c r="AV91" s="29" t="s">
        <v>548</v>
      </c>
      <c r="AW91" s="29">
        <v>0.25</v>
      </c>
      <c r="AX91" s="29" t="s">
        <v>548</v>
      </c>
      <c r="AY91" s="29">
        <v>2</v>
      </c>
      <c r="AZ91" s="29">
        <v>4.75</v>
      </c>
      <c r="BA91" s="29" t="s">
        <v>546</v>
      </c>
      <c r="BB91" s="29" t="s">
        <v>547</v>
      </c>
      <c r="BD91" s="29">
        <f>AW91+AZ91</f>
        <v>5</v>
      </c>
      <c r="BE91" s="29">
        <f>BD91+BC91</f>
        <v>5</v>
      </c>
      <c r="BF91" s="29" t="s">
        <v>548</v>
      </c>
      <c r="BG91" s="29" t="s">
        <v>548</v>
      </c>
      <c r="BH91" s="29" t="s">
        <v>548</v>
      </c>
      <c r="BI91" s="29" t="s">
        <v>546</v>
      </c>
      <c r="BJ91" s="29" t="s">
        <v>546</v>
      </c>
      <c r="BK91" s="29" t="s">
        <v>546</v>
      </c>
      <c r="BL91" s="29">
        <v>3</v>
      </c>
      <c r="BM91" s="29" t="s">
        <v>549</v>
      </c>
      <c r="BN91" s="29">
        <v>2</v>
      </c>
      <c r="BO91" s="29" t="s">
        <v>549</v>
      </c>
      <c r="BP91" s="29">
        <v>14</v>
      </c>
      <c r="BQ91" s="29" t="s">
        <v>549</v>
      </c>
      <c r="BS91" s="29" t="s">
        <v>547</v>
      </c>
      <c r="BU91" s="29" t="s">
        <v>547</v>
      </c>
      <c r="BW91" s="29">
        <f>(BL91*1)+(BN91*0.1)+(BP91*0.01)+(BR91*0.1)+(BT91*0.3)+(BV91*0.4)</f>
        <v>3.3400000000000003</v>
      </c>
      <c r="BX91" s="29" t="s">
        <v>2219</v>
      </c>
      <c r="BY91" s="29">
        <v>1</v>
      </c>
      <c r="BZ91" s="29">
        <v>2</v>
      </c>
      <c r="CA91" s="29">
        <v>1</v>
      </c>
      <c r="CB91" s="29">
        <v>4</v>
      </c>
      <c r="CC91" s="29">
        <v>0</v>
      </c>
      <c r="CD91" s="29">
        <v>0</v>
      </c>
      <c r="CE91" s="29">
        <v>0</v>
      </c>
      <c r="CG91" s="29">
        <f>(CC91*15)+(CD91*0.8)+(CE91*0.3)+((AW91+AZ91)*15)</f>
        <v>75</v>
      </c>
      <c r="CH91" s="29" t="s">
        <v>2221</v>
      </c>
      <c r="CI91" s="29">
        <f>(BL91*1)+(BN91*0.1)+(BP91*0.01)+(BR91*0.1)+(BT91*0.3)+(BV91*0.4)+(CC91*15)+(CD91*0.8)+(CE91*0.3)+((AW91+AZ91)*15)</f>
        <v>78.34</v>
      </c>
      <c r="CJ91" s="29" t="s">
        <v>548</v>
      </c>
      <c r="CK91" s="29" t="s">
        <v>1163</v>
      </c>
      <c r="CL91" s="29" t="s">
        <v>548</v>
      </c>
      <c r="CM91" s="29" t="s">
        <v>550</v>
      </c>
      <c r="CN91" s="29">
        <v>1.25</v>
      </c>
      <c r="CO91" s="29">
        <v>3.5004632500000001</v>
      </c>
      <c r="CQ91" s="29" t="s">
        <v>548</v>
      </c>
      <c r="CR91" s="29">
        <v>1</v>
      </c>
      <c r="CS91" s="29">
        <v>10</v>
      </c>
      <c r="CT91" s="29" t="s">
        <v>551</v>
      </c>
      <c r="CU91" s="30">
        <v>2.4</v>
      </c>
      <c r="CW91" s="29">
        <v>999</v>
      </c>
      <c r="CX91" s="29" t="s">
        <v>551</v>
      </c>
      <c r="CY91" s="62"/>
      <c r="CZ91" s="29">
        <v>1</v>
      </c>
      <c r="DA91" s="29">
        <v>7.3000001907348633</v>
      </c>
      <c r="DB91" s="29" t="s">
        <v>551</v>
      </c>
      <c r="DC91" s="62">
        <v>1.7520000457763671</v>
      </c>
      <c r="DD91" s="29" t="s">
        <v>546</v>
      </c>
      <c r="DE91" s="29" t="s">
        <v>546</v>
      </c>
      <c r="DF91" s="29" t="s">
        <v>546</v>
      </c>
      <c r="DG91" s="29" t="s">
        <v>546</v>
      </c>
      <c r="DH91" s="29" t="s">
        <v>546</v>
      </c>
      <c r="DI91" s="29">
        <v>0</v>
      </c>
      <c r="DJ91" s="29">
        <v>3</v>
      </c>
      <c r="DK91" s="29" t="s">
        <v>1164</v>
      </c>
      <c r="DL91" s="29" t="s">
        <v>1165</v>
      </c>
      <c r="DM91" s="29">
        <v>-4.3180837631225586</v>
      </c>
      <c r="DN91" s="29">
        <v>35.872280120849609</v>
      </c>
      <c r="DO91" s="29">
        <v>1213.5</v>
      </c>
      <c r="DP91" s="29">
        <v>5</v>
      </c>
      <c r="DQ91" s="29">
        <v>1705231439</v>
      </c>
      <c r="DR91" s="29" t="s">
        <v>1166</v>
      </c>
      <c r="DS91" s="31">
        <v>42950.965011574073</v>
      </c>
      <c r="DT91" s="31">
        <v>42892.586388888885</v>
      </c>
      <c r="DU91" s="31">
        <v>42950.912222222221</v>
      </c>
      <c r="DV91" s="32">
        <v>42789</v>
      </c>
      <c r="DX91" s="44"/>
      <c r="DY91" s="44"/>
      <c r="DZ91" s="44"/>
      <c r="EA91" s="44"/>
      <c r="EC91" s="29">
        <f>IF(EQ91&lt;EP91,"FALSEE",1)</f>
        <v>1</v>
      </c>
      <c r="EE91" s="29" t="s">
        <v>2171</v>
      </c>
      <c r="EF91" s="29">
        <v>0.66437512636200002</v>
      </c>
      <c r="EG91" s="29" t="str">
        <f>IF(EF91&lt;0.5,"Depression",IF(EF91&lt;2,"Very gentle",IF(EF91&lt;5,"Gentle",IF(EF91&lt;9,"Moderate",IF(EF91&lt;15,"Strong",IF(EF91&lt;30,"Steep",IF(EF91&lt;1,"Very steep")))))))</f>
        <v>Very gentle</v>
      </c>
      <c r="EH91" s="29" t="s">
        <v>2173</v>
      </c>
      <c r="EI91" s="29">
        <v>-0.27191722393000001</v>
      </c>
      <c r="EJ91" s="43">
        <v>10.6292409897</v>
      </c>
      <c r="EK91" s="43">
        <f>VLOOKUP(D91,[1]SoilData!$G$15:$K$237,5,FALSE)</f>
        <v>237.79483426694605</v>
      </c>
      <c r="EL91" s="43">
        <f>VLOOKUP(D91,[1]SoilData!$G$245:$K$451,5,FALSE)</f>
        <v>307.5097560614301</v>
      </c>
      <c r="EM91" s="43">
        <f>VLOOKUP(D91,[1]SoilData!$G$15:$M$238,7,FALSE)</f>
        <v>1.359</v>
      </c>
      <c r="EN91" s="43">
        <f>VLOOKUP(D91,[1]SoilData!$G$245:$M$454,7,FALSE)</f>
        <v>1.3480000000000001</v>
      </c>
      <c r="EO91" s="60">
        <f>EM91-EN91</f>
        <v>1.0999999999999899E-2</v>
      </c>
      <c r="EP91" s="44"/>
      <c r="EQ91" s="44"/>
      <c r="ER91" s="43"/>
      <c r="ES91" s="64">
        <f>IF(CU91&gt;0.000001,CU91*352,0)</f>
        <v>844.8</v>
      </c>
      <c r="ET91" s="64">
        <f>IF(DC91&gt;0.0001,DC91*682,0)</f>
        <v>1194.8640312194823</v>
      </c>
      <c r="EU91" s="64">
        <f>CY91*795</f>
        <v>0</v>
      </c>
      <c r="EV91" s="64">
        <f>ES91+ET91+EU91</f>
        <v>2039.6640312194822</v>
      </c>
      <c r="EW91" s="64">
        <f>IF(AA91="YES",3.5*18.2,0)</f>
        <v>0</v>
      </c>
      <c r="EX91" s="64">
        <f>EV91-EW91</f>
        <v>2039.6640312194822</v>
      </c>
    </row>
    <row r="92" spans="1:154" ht="15" x14ac:dyDescent="0.2">
      <c r="A92" s="29" t="s">
        <v>556</v>
      </c>
      <c r="B92" s="29">
        <v>189</v>
      </c>
      <c r="C92" s="29" t="s">
        <v>165</v>
      </c>
      <c r="D92" s="29" t="s">
        <v>165</v>
      </c>
      <c r="E92" s="29" t="str">
        <f>VLOOKUP(D92,Harvest_2017_Formulae!$C$2:$D$968,2,FALSE)</f>
        <v>ENDANOGA</v>
      </c>
      <c r="F92" s="29" t="s">
        <v>843</v>
      </c>
      <c r="G92" s="29">
        <v>0</v>
      </c>
      <c r="H92" s="61" t="str">
        <f>IF(G92&lt;0.05,"Homefield",IF(G92&lt;0.5,"Midfield","outfield"))</f>
        <v>Homefield</v>
      </c>
      <c r="I92" s="29" t="s">
        <v>557</v>
      </c>
      <c r="J92" s="61" t="s">
        <v>2233</v>
      </c>
      <c r="K92" s="61" t="s">
        <v>2233</v>
      </c>
      <c r="L92" s="67">
        <v>0</v>
      </c>
      <c r="O92" s="29" t="s">
        <v>547</v>
      </c>
      <c r="Q92" s="67">
        <v>0</v>
      </c>
      <c r="R92" s="29" t="s">
        <v>547</v>
      </c>
      <c r="U92" s="29" t="s">
        <v>547</v>
      </c>
      <c r="W92" s="29" t="s">
        <v>547</v>
      </c>
      <c r="Z92" s="29" t="s">
        <v>547</v>
      </c>
      <c r="AA92" s="61" t="s">
        <v>548</v>
      </c>
      <c r="AB92" s="29" t="s">
        <v>568</v>
      </c>
      <c r="AC92" s="67">
        <v>0</v>
      </c>
      <c r="AD92" s="29" t="s">
        <v>547</v>
      </c>
      <c r="AF92" s="29" t="s">
        <v>547</v>
      </c>
      <c r="AG92" s="29" t="s">
        <v>547</v>
      </c>
      <c r="AH92" s="29" t="s">
        <v>548</v>
      </c>
      <c r="AI92" s="29" t="s">
        <v>546</v>
      </c>
      <c r="AJ92" s="29" t="s">
        <v>547</v>
      </c>
      <c r="AK92" s="67">
        <v>0</v>
      </c>
      <c r="AL92" s="29" t="s">
        <v>547</v>
      </c>
      <c r="AO92" s="29" t="s">
        <v>547</v>
      </c>
      <c r="AP92" s="29" t="s">
        <v>547</v>
      </c>
      <c r="AQ92" s="4">
        <f>Q92+AK92</f>
        <v>0</v>
      </c>
      <c r="AR92" s="4">
        <f>L92+AC92</f>
        <v>0</v>
      </c>
      <c r="AS92" t="str">
        <f>AQ92&amp;AR92</f>
        <v>00</v>
      </c>
      <c r="AT92" s="49">
        <f>AQ92-AR92</f>
        <v>0</v>
      </c>
      <c r="AU92">
        <v>1</v>
      </c>
      <c r="AV92" s="29" t="s">
        <v>548</v>
      </c>
      <c r="AW92" s="29">
        <v>1</v>
      </c>
      <c r="AX92" s="29" t="s">
        <v>548</v>
      </c>
      <c r="AY92" s="29">
        <v>2</v>
      </c>
      <c r="AZ92" s="29">
        <v>1</v>
      </c>
      <c r="BA92" s="29" t="s">
        <v>546</v>
      </c>
      <c r="BB92" s="29" t="s">
        <v>547</v>
      </c>
      <c r="BD92" s="29">
        <f>AW92+AZ92</f>
        <v>2</v>
      </c>
      <c r="BE92" s="29">
        <f>BD92+BC92</f>
        <v>2</v>
      </c>
      <c r="BF92" s="29" t="s">
        <v>548</v>
      </c>
      <c r="BG92" s="29" t="s">
        <v>548</v>
      </c>
      <c r="BH92" s="29" t="s">
        <v>548</v>
      </c>
      <c r="BI92" s="29" t="s">
        <v>548</v>
      </c>
      <c r="BJ92" s="29" t="s">
        <v>546</v>
      </c>
      <c r="BK92" s="29" t="s">
        <v>546</v>
      </c>
      <c r="BL92" s="29">
        <v>3</v>
      </c>
      <c r="BM92" s="29" t="s">
        <v>549</v>
      </c>
      <c r="BN92" s="29">
        <v>3</v>
      </c>
      <c r="BO92" s="29" t="s">
        <v>549</v>
      </c>
      <c r="BP92" s="29">
        <v>1</v>
      </c>
      <c r="BQ92" s="29" t="s">
        <v>549</v>
      </c>
      <c r="BR92" s="29">
        <v>3</v>
      </c>
      <c r="BS92" s="29" t="s">
        <v>549</v>
      </c>
      <c r="BU92" s="29" t="s">
        <v>547</v>
      </c>
      <c r="BW92" s="29">
        <f>(BL92*1)+(BN92*0.1)+(BP92*0.01)+(BR92*0.1)+(BT92*0.3)+(BV92*0.4)</f>
        <v>3.6099999999999994</v>
      </c>
      <c r="BX92" s="29" t="s">
        <v>2219</v>
      </c>
      <c r="BY92" s="29">
        <v>1</v>
      </c>
      <c r="BZ92" s="29">
        <v>1</v>
      </c>
      <c r="CA92" s="29">
        <v>2</v>
      </c>
      <c r="CB92" s="29">
        <v>4</v>
      </c>
      <c r="CC92" s="29">
        <v>0</v>
      </c>
      <c r="CD92" s="29">
        <v>0</v>
      </c>
      <c r="CE92" s="29">
        <v>0</v>
      </c>
      <c r="CF92" s="29" t="s">
        <v>547</v>
      </c>
      <c r="CG92" s="29">
        <f>(CC92*15)+(CD92*0.8)+(CE92*0.3)+((AW92+AZ92)*15)</f>
        <v>30</v>
      </c>
      <c r="CH92" s="29" t="s">
        <v>2220</v>
      </c>
      <c r="CI92" s="29">
        <f>(BL92*1)+(BN92*0.1)+(BP92*0.01)+(BR92*0.1)+(BT92*0.3)+(BV92*0.4)+(CC92*15)+(CD92*0.8)+(CE92*0.3)+((AW92+AZ92)*15)</f>
        <v>33.61</v>
      </c>
      <c r="CJ92" s="29" t="s">
        <v>546</v>
      </c>
      <c r="CK92" s="29" t="s">
        <v>547</v>
      </c>
      <c r="CL92" s="29" t="s">
        <v>546</v>
      </c>
      <c r="CM92" s="29" t="s">
        <v>547</v>
      </c>
      <c r="CN92" s="29">
        <v>0.25</v>
      </c>
      <c r="CO92" s="29">
        <v>0.5</v>
      </c>
      <c r="CQ92" s="29" t="s">
        <v>546</v>
      </c>
      <c r="CR92" s="29">
        <v>0.75</v>
      </c>
      <c r="CS92" s="29">
        <v>5</v>
      </c>
      <c r="CT92" s="29" t="s">
        <v>551</v>
      </c>
      <c r="CU92" s="30">
        <v>1.5999999999999999</v>
      </c>
      <c r="CW92" s="29">
        <v>999</v>
      </c>
      <c r="CX92" s="29" t="s">
        <v>551</v>
      </c>
      <c r="CY92" s="62"/>
      <c r="CZ92" s="29">
        <v>0.75</v>
      </c>
      <c r="DA92" s="29">
        <v>3</v>
      </c>
      <c r="DB92" s="29" t="s">
        <v>551</v>
      </c>
      <c r="DC92" s="62">
        <v>0.96</v>
      </c>
      <c r="DD92" s="29" t="s">
        <v>548</v>
      </c>
      <c r="DE92" s="29" t="s">
        <v>548</v>
      </c>
      <c r="DF92" s="29" t="s">
        <v>548</v>
      </c>
      <c r="DG92" s="29" t="s">
        <v>548</v>
      </c>
      <c r="DH92" s="29" t="s">
        <v>548</v>
      </c>
      <c r="DI92" s="29">
        <v>5</v>
      </c>
      <c r="DJ92" s="29">
        <v>3</v>
      </c>
      <c r="DK92" s="29" t="s">
        <v>920</v>
      </c>
      <c r="DL92" s="29" t="s">
        <v>921</v>
      </c>
      <c r="DM92" s="29">
        <v>-4.2676372528076172</v>
      </c>
      <c r="DN92" s="29">
        <v>35.848148345947266</v>
      </c>
      <c r="DO92" s="29">
        <v>1371.199951171875</v>
      </c>
      <c r="DP92" s="29">
        <v>5</v>
      </c>
      <c r="DQ92" s="29">
        <v>1706031849</v>
      </c>
      <c r="DR92" s="29" t="s">
        <v>922</v>
      </c>
      <c r="DS92" s="31">
        <v>42940.360046296293</v>
      </c>
      <c r="DT92" s="31">
        <v>42924.486192129625</v>
      </c>
      <c r="DU92" s="31">
        <v>42924.504351851851</v>
      </c>
      <c r="DV92" s="32">
        <v>42794</v>
      </c>
      <c r="DX92" s="44">
        <v>5.5064243943191311</v>
      </c>
      <c r="DY92" s="44">
        <v>7.2612949039264825</v>
      </c>
      <c r="DZ92" s="44">
        <v>3.8811111111111112</v>
      </c>
      <c r="EA92" s="44">
        <v>6.8755555555555556</v>
      </c>
      <c r="EC92" s="29">
        <f>IF(EQ92&lt;EP92,"FALSEE",1)</f>
        <v>1</v>
      </c>
      <c r="EE92" s="29" t="s">
        <v>2171</v>
      </c>
      <c r="EF92" s="29">
        <v>2.8312993049599999</v>
      </c>
      <c r="EG92" s="29" t="str">
        <f>IF(EF92&lt;0.5,"Depression",IF(EF92&lt;2,"Very gentle",IF(EF92&lt;5,"Gentle",IF(EF92&lt;9,"Moderate",IF(EF92&lt;15,"Strong",IF(EF92&lt;30,"Steep",IF(EF92&lt;1,"Very steep")))))))</f>
        <v>Gentle</v>
      </c>
      <c r="EH92" s="29" t="s">
        <v>2173</v>
      </c>
      <c r="EI92" s="29">
        <v>0.36257606744799997</v>
      </c>
      <c r="EJ92" s="43">
        <v>10.637519836399999</v>
      </c>
      <c r="EK92" s="43">
        <f>VLOOKUP(D92,[1]SoilData!$G$15:$K$237,5,FALSE)</f>
        <v>250.34352018995361</v>
      </c>
      <c r="EL92" s="43">
        <f>VLOOKUP(D92,[1]SoilData!$G$245:$K$451,5,FALSE)</f>
        <v>119.27946721632362</v>
      </c>
      <c r="EM92" s="43">
        <f>VLOOKUP(D92,[1]SoilData!$G$15:$M$238,7,FALSE)</f>
        <v>1.4810000000000001</v>
      </c>
      <c r="EN92" s="43">
        <f>VLOOKUP(D92,[1]SoilData!$G$245:$M$454,7,FALSE)</f>
        <v>1.456</v>
      </c>
      <c r="EO92" s="60">
        <f>EM92-EN92</f>
        <v>2.5000000000000133E-2</v>
      </c>
      <c r="EP92" s="44">
        <f>AVERAGE(DZ92:EA92)</f>
        <v>5.3783333333333339</v>
      </c>
      <c r="EQ92" s="44">
        <f>AVERAGE(DX92:DY92)</f>
        <v>6.3838596491228063</v>
      </c>
      <c r="ER92" s="43">
        <f>EQ92-EP92</f>
        <v>1.0055263157894725</v>
      </c>
      <c r="ES92" s="64">
        <f>IF(CU92&gt;0.000001,CU92*352,0)</f>
        <v>563.19999999999993</v>
      </c>
      <c r="ET92" s="64">
        <f>IF(DC92&gt;0.0001,DC92*682,0)</f>
        <v>654.72</v>
      </c>
      <c r="EU92" s="64">
        <f>CY92*795</f>
        <v>0</v>
      </c>
      <c r="EV92" s="64">
        <f>ES92+ET92+EU92</f>
        <v>1217.92</v>
      </c>
      <c r="EW92" s="64">
        <f>IF(AA92="YES",3.5*18.2,0)</f>
        <v>63.699999999999996</v>
      </c>
      <c r="EX92" s="64">
        <f>EV92-EW92</f>
        <v>1154.22</v>
      </c>
    </row>
    <row r="93" spans="1:154" ht="15" x14ac:dyDescent="0.2">
      <c r="A93" s="29" t="s">
        <v>1403</v>
      </c>
      <c r="B93" s="29">
        <v>10</v>
      </c>
      <c r="C93" s="29" t="s">
        <v>1473</v>
      </c>
      <c r="D93" s="29" t="s">
        <v>547</v>
      </c>
      <c r="E93" s="29" t="e">
        <f>VLOOKUP(D93,Harvest_2017_Formulae!$C$2:$D$968,2,FALSE)</f>
        <v>#N/A</v>
      </c>
      <c r="F93" s="29" t="s">
        <v>777</v>
      </c>
      <c r="G93" s="29">
        <v>2</v>
      </c>
      <c r="H93" s="61" t="str">
        <f>IF(G93&lt;0.05,"Homefield",IF(G93&lt;0.5,"Midfield","outfield"))</f>
        <v>outfield</v>
      </c>
      <c r="I93" s="29" t="s">
        <v>557</v>
      </c>
      <c r="J93" s="61" t="s">
        <v>2234</v>
      </c>
      <c r="K93" s="61" t="s">
        <v>2234</v>
      </c>
      <c r="L93" s="67">
        <v>0</v>
      </c>
      <c r="O93" s="29" t="s">
        <v>547</v>
      </c>
      <c r="Q93" s="67">
        <v>0</v>
      </c>
      <c r="R93" s="29" t="s">
        <v>547</v>
      </c>
      <c r="T93" s="29" t="s">
        <v>559</v>
      </c>
      <c r="U93" s="29" t="s">
        <v>560</v>
      </c>
      <c r="W93" s="29" t="s">
        <v>819</v>
      </c>
      <c r="X93" s="29">
        <v>999</v>
      </c>
      <c r="Z93" s="29" t="s">
        <v>547</v>
      </c>
      <c r="AA93" s="61" t="s">
        <v>548</v>
      </c>
      <c r="AB93" s="29" t="s">
        <v>568</v>
      </c>
      <c r="AC93" s="67">
        <v>0</v>
      </c>
      <c r="AD93" s="29" t="s">
        <v>547</v>
      </c>
      <c r="AF93" s="29" t="s">
        <v>547</v>
      </c>
      <c r="AG93" s="29" t="s">
        <v>547</v>
      </c>
      <c r="AH93" s="29" t="s">
        <v>548</v>
      </c>
      <c r="AI93" s="29" t="s">
        <v>546</v>
      </c>
      <c r="AJ93" s="29" t="s">
        <v>547</v>
      </c>
      <c r="AK93" s="67">
        <v>0</v>
      </c>
      <c r="AL93" s="29" t="s">
        <v>547</v>
      </c>
      <c r="AO93" s="29" t="s">
        <v>547</v>
      </c>
      <c r="AP93" s="29" t="s">
        <v>547</v>
      </c>
      <c r="AQ93" s="4">
        <f>Q93+AK93</f>
        <v>0</v>
      </c>
      <c r="AR93" s="4">
        <f>L93+AC93</f>
        <v>0</v>
      </c>
      <c r="AS93" t="str">
        <f>AQ93&amp;AR93</f>
        <v>00</v>
      </c>
      <c r="AT93" s="49">
        <f>AQ93-AR93</f>
        <v>0</v>
      </c>
      <c r="AU93">
        <v>1</v>
      </c>
      <c r="AV93" s="29" t="s">
        <v>548</v>
      </c>
      <c r="AW93" s="29">
        <v>0.25</v>
      </c>
      <c r="AX93" s="29" t="s">
        <v>548</v>
      </c>
      <c r="AY93" s="29">
        <v>1</v>
      </c>
      <c r="AZ93" s="29">
        <v>9</v>
      </c>
      <c r="BA93" s="29" t="s">
        <v>548</v>
      </c>
      <c r="BB93" s="29" t="s">
        <v>569</v>
      </c>
      <c r="BC93" s="29">
        <v>60</v>
      </c>
      <c r="BD93" s="29">
        <f>AW93+AZ93</f>
        <v>9.25</v>
      </c>
      <c r="BE93" s="29">
        <f>BD93+BC93</f>
        <v>69.25</v>
      </c>
      <c r="BF93" s="29" t="s">
        <v>548</v>
      </c>
      <c r="BG93" s="29" t="s">
        <v>548</v>
      </c>
      <c r="BH93" s="29" t="s">
        <v>548</v>
      </c>
      <c r="BI93" s="29" t="s">
        <v>546</v>
      </c>
      <c r="BJ93" s="29" t="s">
        <v>546</v>
      </c>
      <c r="BK93" s="29" t="s">
        <v>546</v>
      </c>
      <c r="BL93" s="29">
        <v>3</v>
      </c>
      <c r="BM93" s="29" t="s">
        <v>562</v>
      </c>
      <c r="BN93" s="29">
        <v>6</v>
      </c>
      <c r="BO93" s="29" t="s">
        <v>562</v>
      </c>
      <c r="BP93" s="29">
        <v>30</v>
      </c>
      <c r="BQ93" s="29" t="s">
        <v>562</v>
      </c>
      <c r="BS93" s="29" t="s">
        <v>547</v>
      </c>
      <c r="BU93" s="29" t="s">
        <v>547</v>
      </c>
      <c r="BW93" s="29">
        <f>(BL93*1)+(BN93*0.1)+(BP93*0.01)+(BR93*0.1)+(BT93*0.3)+(BV93*0.4)</f>
        <v>3.9</v>
      </c>
      <c r="BX93" s="29" t="s">
        <v>2219</v>
      </c>
      <c r="BY93" s="29">
        <v>6</v>
      </c>
      <c r="BZ93" s="29">
        <v>3</v>
      </c>
      <c r="CA93" s="29">
        <v>4</v>
      </c>
      <c r="CB93" s="29">
        <v>13</v>
      </c>
      <c r="CC93" s="29">
        <v>1</v>
      </c>
      <c r="CD93" s="29">
        <v>0</v>
      </c>
      <c r="CE93" s="29">
        <v>0</v>
      </c>
      <c r="CF93" s="29" t="s">
        <v>547</v>
      </c>
      <c r="CG93" s="29">
        <f>(CC93*15)+(CD93*0.8)+(CE93*0.3)+((AW93+AZ93)*15)</f>
        <v>153.75</v>
      </c>
      <c r="CH93" s="29" t="s">
        <v>2221</v>
      </c>
      <c r="CI93" s="29">
        <f>(BL93*1)+(BN93*0.1)+(BP93*0.01)+(BR93*0.1)+(BT93*0.3)+(BV93*0.4)+(CC93*15)+(CD93*0.8)+(CE93*0.3)+((AW93+AZ93)*15)</f>
        <v>157.65</v>
      </c>
      <c r="CJ93" s="29" t="s">
        <v>548</v>
      </c>
      <c r="CK93" s="29" t="s">
        <v>1159</v>
      </c>
      <c r="CL93" s="29" t="s">
        <v>548</v>
      </c>
      <c r="CM93" s="29" t="s">
        <v>550</v>
      </c>
      <c r="CN93" s="29">
        <v>0.75</v>
      </c>
      <c r="CO93" s="29">
        <v>2.25</v>
      </c>
      <c r="CP93" s="29">
        <v>6</v>
      </c>
      <c r="CQ93" s="29" t="s">
        <v>548</v>
      </c>
      <c r="CR93" s="29">
        <v>1</v>
      </c>
      <c r="CS93" s="29">
        <v>7</v>
      </c>
      <c r="CT93" s="29" t="s">
        <v>551</v>
      </c>
      <c r="CU93" s="30">
        <v>1.6800000000000002</v>
      </c>
      <c r="CW93" s="29">
        <v>999</v>
      </c>
      <c r="CX93" s="29" t="s">
        <v>551</v>
      </c>
      <c r="CY93" s="62"/>
      <c r="CZ93" s="29">
        <v>1</v>
      </c>
      <c r="DA93" s="29">
        <v>2</v>
      </c>
      <c r="DB93" s="29" t="s">
        <v>551</v>
      </c>
      <c r="DC93" s="62">
        <v>0.48</v>
      </c>
      <c r="DD93" s="29" t="s">
        <v>548</v>
      </c>
      <c r="DE93" s="29" t="s">
        <v>548</v>
      </c>
      <c r="DF93" s="29" t="s">
        <v>548</v>
      </c>
      <c r="DG93" s="29" t="s">
        <v>548</v>
      </c>
      <c r="DH93" s="29" t="s">
        <v>548</v>
      </c>
      <c r="DI93" s="29">
        <v>5</v>
      </c>
      <c r="DJ93" s="29">
        <v>6</v>
      </c>
      <c r="DK93" s="29" t="s">
        <v>1474</v>
      </c>
      <c r="DL93" s="29" t="s">
        <v>1475</v>
      </c>
      <c r="DM93" s="29">
        <v>-4.287409782409668</v>
      </c>
      <c r="DN93" s="29">
        <v>35.866935729980469</v>
      </c>
      <c r="DO93" s="29">
        <v>1271.699951171875</v>
      </c>
      <c r="DP93" s="29">
        <v>5</v>
      </c>
      <c r="DQ93" s="29">
        <v>1705231439</v>
      </c>
      <c r="DR93" s="29" t="s">
        <v>1476</v>
      </c>
      <c r="DS93" s="31">
        <v>42893.596550925926</v>
      </c>
      <c r="DT93" s="31">
        <v>42893.521886574075</v>
      </c>
      <c r="DU93" s="31">
        <v>42893.544004629628</v>
      </c>
      <c r="DV93" s="32">
        <v>42737</v>
      </c>
      <c r="EC93" s="29">
        <f>IF(EQ93&lt;EP93,"FALSEE",1)</f>
        <v>1</v>
      </c>
      <c r="EE93" s="29" t="s">
        <v>2171</v>
      </c>
      <c r="EF93" s="29">
        <v>1.7505050897600001</v>
      </c>
      <c r="EG93" s="29" t="str">
        <f>IF(EF93&lt;0.5,"Depression",IF(EF93&lt;2,"Very gentle",IF(EF93&lt;5,"Gentle",IF(EF93&lt;9,"Moderate",IF(EF93&lt;15,"Strong",IF(EF93&lt;30,"Steep",IF(EF93&lt;1,"Very steep")))))))</f>
        <v>Very gentle</v>
      </c>
      <c r="EH93" s="29" t="s">
        <v>2173</v>
      </c>
      <c r="EI93" s="29">
        <v>0.18129228055499999</v>
      </c>
      <c r="EJ93" s="43">
        <v>11.0446929932</v>
      </c>
      <c r="EK93" s="43"/>
      <c r="EL93" s="43"/>
      <c r="EM93" s="43"/>
      <c r="EN93" s="43"/>
      <c r="EO93" s="60"/>
      <c r="EP93" s="43"/>
      <c r="EQ93" s="43"/>
      <c r="ER93" s="43"/>
      <c r="ES93" s="64">
        <f>IF(CU93&gt;0.000001,CU93*352,0)</f>
        <v>591.36</v>
      </c>
      <c r="ET93" s="64">
        <f>IF(DC93&gt;0.0001,DC93*682,0)</f>
        <v>327.36</v>
      </c>
      <c r="EU93" s="64">
        <f>CY93*795</f>
        <v>0</v>
      </c>
      <c r="EV93" s="64">
        <f>ES93+ET93+EU93</f>
        <v>918.72</v>
      </c>
      <c r="EW93" s="64">
        <f>IF(AA93="YES",3.5*18.2,0)</f>
        <v>63.699999999999996</v>
      </c>
      <c r="EX93" s="64">
        <f>EV93-EW93</f>
        <v>855.02</v>
      </c>
    </row>
    <row r="94" spans="1:154" ht="15" x14ac:dyDescent="0.2">
      <c r="A94" s="29" t="s">
        <v>556</v>
      </c>
      <c r="B94" s="29">
        <v>182</v>
      </c>
      <c r="C94" s="29" t="s">
        <v>94</v>
      </c>
      <c r="D94" s="29" t="s">
        <v>94</v>
      </c>
      <c r="E94" s="29" t="str">
        <f>VLOOKUP(D94,Harvest_2017_Formulae!$C$2:$D$968,2,FALSE)</f>
        <v>DURU</v>
      </c>
      <c r="F94" s="29" t="s">
        <v>645</v>
      </c>
      <c r="G94" s="29">
        <v>0</v>
      </c>
      <c r="H94" s="61" t="str">
        <f>IF(G94&lt;0.05,"Homefield",IF(G94&lt;0.5,"Midfield","outfield"))</f>
        <v>Homefield</v>
      </c>
      <c r="I94" s="29" t="s">
        <v>557</v>
      </c>
      <c r="J94" s="61" t="s">
        <v>2233</v>
      </c>
      <c r="K94" s="61" t="s">
        <v>2233</v>
      </c>
      <c r="L94" s="67">
        <v>0</v>
      </c>
      <c r="O94" s="29" t="s">
        <v>547</v>
      </c>
      <c r="Q94" s="67">
        <v>0</v>
      </c>
      <c r="R94" s="29" t="s">
        <v>547</v>
      </c>
      <c r="U94" s="29" t="s">
        <v>547</v>
      </c>
      <c r="W94" s="29" t="s">
        <v>547</v>
      </c>
      <c r="Z94" s="29" t="s">
        <v>547</v>
      </c>
      <c r="AA94" s="61" t="s">
        <v>548</v>
      </c>
      <c r="AB94" s="29" t="s">
        <v>568</v>
      </c>
      <c r="AC94" s="67">
        <v>0</v>
      </c>
      <c r="AD94" s="29" t="s">
        <v>547</v>
      </c>
      <c r="AF94" s="29" t="s">
        <v>547</v>
      </c>
      <c r="AG94" s="29" t="s">
        <v>547</v>
      </c>
      <c r="AH94" s="29" t="s">
        <v>546</v>
      </c>
      <c r="AI94" s="29" t="s">
        <v>546</v>
      </c>
      <c r="AJ94" s="29" t="s">
        <v>547</v>
      </c>
      <c r="AK94" s="67">
        <v>0</v>
      </c>
      <c r="AL94" s="29" t="s">
        <v>547</v>
      </c>
      <c r="AO94" s="29" t="s">
        <v>547</v>
      </c>
      <c r="AP94" s="29" t="s">
        <v>547</v>
      </c>
      <c r="AQ94" s="4">
        <f>Q94+AK94</f>
        <v>0</v>
      </c>
      <c r="AR94" s="4">
        <f>L94+AC94</f>
        <v>0</v>
      </c>
      <c r="AS94" t="str">
        <f>AQ94&amp;AR94</f>
        <v>00</v>
      </c>
      <c r="AT94" s="49">
        <f>AQ94-AR94</f>
        <v>0</v>
      </c>
      <c r="AU94">
        <v>1</v>
      </c>
      <c r="AV94" s="29" t="s">
        <v>548</v>
      </c>
      <c r="AW94" s="29">
        <v>0.25</v>
      </c>
      <c r="AX94" s="29" t="s">
        <v>548</v>
      </c>
      <c r="AY94" s="29">
        <v>2</v>
      </c>
      <c r="AZ94" s="29">
        <v>2</v>
      </c>
      <c r="BA94" s="29" t="s">
        <v>546</v>
      </c>
      <c r="BB94" s="29" t="s">
        <v>547</v>
      </c>
      <c r="BD94" s="29">
        <f>AW94+AZ94</f>
        <v>2.25</v>
      </c>
      <c r="BE94" s="29">
        <f>BD94+BC94</f>
        <v>2.25</v>
      </c>
      <c r="BF94" s="29" t="s">
        <v>548</v>
      </c>
      <c r="BG94" s="29" t="s">
        <v>546</v>
      </c>
      <c r="BH94" s="29" t="s">
        <v>546</v>
      </c>
      <c r="BI94" s="29" t="s">
        <v>546</v>
      </c>
      <c r="BJ94" s="29" t="s">
        <v>546</v>
      </c>
      <c r="BK94" s="29" t="s">
        <v>546</v>
      </c>
      <c r="BL94" s="29">
        <v>4</v>
      </c>
      <c r="BM94" s="29" t="s">
        <v>549</v>
      </c>
      <c r="BO94" s="29" t="s">
        <v>547</v>
      </c>
      <c r="BQ94" s="29" t="s">
        <v>547</v>
      </c>
      <c r="BS94" s="29" t="s">
        <v>547</v>
      </c>
      <c r="BU94" s="29" t="s">
        <v>547</v>
      </c>
      <c r="BW94" s="29">
        <f>(BL94*1)+(BN94*0.1)+(BP94*0.01)+(BR94*0.1)+(BT94*0.3)+(BV94*0.4)</f>
        <v>4</v>
      </c>
      <c r="BX94" s="29" t="s">
        <v>2219</v>
      </c>
      <c r="BY94" s="29">
        <v>1</v>
      </c>
      <c r="BZ94" s="29">
        <v>1</v>
      </c>
      <c r="CA94" s="29">
        <v>1</v>
      </c>
      <c r="CB94" s="29">
        <v>3</v>
      </c>
      <c r="CC94" s="29">
        <v>0</v>
      </c>
      <c r="CD94" s="29">
        <v>0</v>
      </c>
      <c r="CE94" s="29">
        <v>0</v>
      </c>
      <c r="CF94" s="29" t="s">
        <v>547</v>
      </c>
      <c r="CG94" s="29">
        <f>(CC94*15)+(CD94*0.8)+(CE94*0.3)+((AW94+AZ94)*15)</f>
        <v>33.75</v>
      </c>
      <c r="CH94" s="29" t="s">
        <v>2220</v>
      </c>
      <c r="CI94" s="29">
        <f>(BL94*1)+(BN94*0.1)+(BP94*0.01)+(BR94*0.1)+(BT94*0.3)+(BV94*0.4)+(CC94*15)+(CD94*0.8)+(CE94*0.3)+((AW94+AZ94)*15)</f>
        <v>37.75</v>
      </c>
      <c r="CJ94" s="29" t="s">
        <v>546</v>
      </c>
      <c r="CK94" s="29" t="s">
        <v>547</v>
      </c>
      <c r="CL94" s="29" t="s">
        <v>546</v>
      </c>
      <c r="CM94" s="29" t="s">
        <v>547</v>
      </c>
      <c r="CN94" s="29">
        <v>0.25</v>
      </c>
      <c r="CQ94" s="29" t="s">
        <v>546</v>
      </c>
      <c r="CR94" s="29">
        <v>0.25</v>
      </c>
      <c r="CS94" s="29">
        <v>2</v>
      </c>
      <c r="CT94" s="29" t="s">
        <v>551</v>
      </c>
      <c r="CU94" s="30">
        <v>1.92</v>
      </c>
      <c r="CW94" s="29">
        <v>999</v>
      </c>
      <c r="CX94" s="29" t="s">
        <v>551</v>
      </c>
      <c r="CY94" s="62"/>
      <c r="CZ94" s="29">
        <v>0.25</v>
      </c>
      <c r="DA94" s="29">
        <v>4</v>
      </c>
      <c r="DB94" s="29" t="s">
        <v>552</v>
      </c>
      <c r="DC94" s="62">
        <v>0.64127999999999996</v>
      </c>
      <c r="DD94" s="29" t="s">
        <v>548</v>
      </c>
      <c r="DE94" s="29" t="s">
        <v>546</v>
      </c>
      <c r="DF94" s="29" t="s">
        <v>546</v>
      </c>
      <c r="DG94" s="29" t="s">
        <v>546</v>
      </c>
      <c r="DH94" s="29" t="s">
        <v>546</v>
      </c>
      <c r="DI94" s="29">
        <v>1</v>
      </c>
      <c r="DJ94" s="29">
        <v>2</v>
      </c>
      <c r="DK94" s="29" t="s">
        <v>653</v>
      </c>
      <c r="DL94" s="29" t="s">
        <v>654</v>
      </c>
      <c r="DM94" s="29">
        <v>-4.3583149909973145</v>
      </c>
      <c r="DN94" s="29">
        <v>35.590850830078125</v>
      </c>
      <c r="DO94" s="29">
        <v>1538.5999755859375</v>
      </c>
      <c r="DP94" s="29">
        <v>5</v>
      </c>
      <c r="DQ94" s="29">
        <v>1706031849</v>
      </c>
      <c r="DR94" s="29" t="s">
        <v>655</v>
      </c>
      <c r="DS94" s="31">
        <v>42926.575925925921</v>
      </c>
      <c r="DT94" s="31">
        <v>42921.595821759256</v>
      </c>
      <c r="DU94" s="31">
        <v>42921.62777777778</v>
      </c>
      <c r="DV94" s="32">
        <v>42748</v>
      </c>
      <c r="DX94" s="44">
        <v>4.1918074074074072</v>
      </c>
      <c r="DY94" s="44">
        <v>5.5087407407407412</v>
      </c>
      <c r="DZ94" s="44">
        <v>2.0924137931034488</v>
      </c>
      <c r="EA94" s="44">
        <v>1.9164750957854406</v>
      </c>
      <c r="EC94" s="29">
        <f>IF(EQ94&lt;EP94,"FALSEE",1)</f>
        <v>1</v>
      </c>
      <c r="EE94" s="29" t="s">
        <v>2179</v>
      </c>
      <c r="EF94" s="29">
        <v>2.7974951267199999</v>
      </c>
      <c r="EG94" s="29" t="str">
        <f>IF(EF94&lt;0.5,"Depression",IF(EF94&lt;2,"Very gentle",IF(EF94&lt;5,"Gentle",IF(EF94&lt;9,"Moderate",IF(EF94&lt;15,"Strong",IF(EF94&lt;30,"Steep",IF(EF94&lt;1,"Very steep")))))))</f>
        <v>Gentle</v>
      </c>
      <c r="EH94" s="29" t="s">
        <v>2172</v>
      </c>
      <c r="EI94" s="29">
        <v>-0.725126743317</v>
      </c>
      <c r="EJ94" s="43">
        <v>10.1518363953</v>
      </c>
      <c r="EK94" s="43">
        <f>VLOOKUP(D94,[1]SoilData!$G$15:$K$237,5,FALSE)</f>
        <v>596.11717215183614</v>
      </c>
      <c r="EL94" s="43">
        <f>VLOOKUP(D94,[1]SoilData!$G$245:$K$451,5,FALSE)</f>
        <v>422.89560012174923</v>
      </c>
      <c r="EM94" s="43">
        <f>VLOOKUP(D94,[1]SoilData!$G$15:$M$238,7,FALSE)</f>
        <v>2.403</v>
      </c>
      <c r="EN94" s="43">
        <f>VLOOKUP(D94,[1]SoilData!$G$245:$M$454,7,FALSE)</f>
        <v>0.91300000000000003</v>
      </c>
      <c r="EO94" s="60">
        <f>EM94-EN94</f>
        <v>1.49</v>
      </c>
      <c r="EP94" s="44">
        <f>AVERAGE(DZ94:EA94)</f>
        <v>2.0044444444444447</v>
      </c>
      <c r="EQ94" s="44">
        <f>AVERAGE(DX94:DY94)</f>
        <v>4.8502740740740737</v>
      </c>
      <c r="ER94" s="43">
        <f>EQ94-EP94</f>
        <v>2.845829629629629</v>
      </c>
      <c r="ES94" s="64">
        <f>IF(CU94&gt;0.000001,CU94*352,0)</f>
        <v>675.83999999999992</v>
      </c>
      <c r="ET94" s="64">
        <f>IF(DC94&gt;0.0001,DC94*682,0)</f>
        <v>437.35296</v>
      </c>
      <c r="EU94" s="64">
        <f>CY94*795</f>
        <v>0</v>
      </c>
      <c r="EV94" s="64">
        <f>ES94+ET94+EU94</f>
        <v>1113.1929599999999</v>
      </c>
      <c r="EW94" s="64">
        <f>IF(AA94="YES",3.5*18.2,0)</f>
        <v>63.699999999999996</v>
      </c>
      <c r="EX94" s="64">
        <f>EV94-EW94</f>
        <v>1049.4929599999998</v>
      </c>
    </row>
    <row r="95" spans="1:154" ht="15" x14ac:dyDescent="0.2">
      <c r="A95" s="29" t="s">
        <v>789</v>
      </c>
      <c r="B95" s="29">
        <v>55</v>
      </c>
      <c r="C95" s="29" t="s">
        <v>368</v>
      </c>
      <c r="D95" s="29" t="s">
        <v>368</v>
      </c>
      <c r="E95" s="29" t="str">
        <f>VLOOKUP(D95,Harvest_2017_Formulae!$C$2:$D$968,2,FALSE)</f>
        <v>MANDI</v>
      </c>
      <c r="F95" s="29" t="s">
        <v>1014</v>
      </c>
      <c r="G95" s="29">
        <v>2</v>
      </c>
      <c r="H95" s="61" t="str">
        <f>IF(G95&lt;0.05,"Homefield",IF(G95&lt;0.5,"Midfield","outfield"))</f>
        <v>outfield</v>
      </c>
      <c r="I95" s="29" t="s">
        <v>557</v>
      </c>
      <c r="J95" s="61" t="s">
        <v>2233</v>
      </c>
      <c r="K95" s="61" t="s">
        <v>2233</v>
      </c>
      <c r="L95" s="67">
        <v>0</v>
      </c>
      <c r="O95" s="29" t="s">
        <v>547</v>
      </c>
      <c r="Q95" s="67">
        <v>0</v>
      </c>
      <c r="R95" s="29" t="s">
        <v>547</v>
      </c>
      <c r="T95" s="29" t="s">
        <v>559</v>
      </c>
      <c r="U95" s="29" t="s">
        <v>560</v>
      </c>
      <c r="W95" s="41" t="s">
        <v>635</v>
      </c>
      <c r="Z95" s="29" t="s">
        <v>547</v>
      </c>
      <c r="AA95" s="61" t="s">
        <v>546</v>
      </c>
      <c r="AB95" s="29" t="s">
        <v>547</v>
      </c>
      <c r="AC95" s="67">
        <v>0</v>
      </c>
      <c r="AD95" s="29" t="s">
        <v>547</v>
      </c>
      <c r="AF95" s="29" t="s">
        <v>547</v>
      </c>
      <c r="AG95" s="29" t="s">
        <v>547</v>
      </c>
      <c r="AH95" s="29" t="s">
        <v>548</v>
      </c>
      <c r="AI95" s="29" t="s">
        <v>546</v>
      </c>
      <c r="AK95" s="67">
        <v>0</v>
      </c>
      <c r="AL95" s="29" t="s">
        <v>547</v>
      </c>
      <c r="AO95" s="29" t="s">
        <v>547</v>
      </c>
      <c r="AP95" s="29" t="s">
        <v>547</v>
      </c>
      <c r="AQ95" s="4">
        <f>Q95+AK95</f>
        <v>0</v>
      </c>
      <c r="AR95" s="4">
        <f>L95+AC95</f>
        <v>0</v>
      </c>
      <c r="AS95" t="str">
        <f>AQ95&amp;AR95</f>
        <v>00</v>
      </c>
      <c r="AT95" s="49">
        <f>AQ95-AR95</f>
        <v>0</v>
      </c>
      <c r="AU95">
        <v>1</v>
      </c>
      <c r="AV95" s="29" t="s">
        <v>548</v>
      </c>
      <c r="AW95" s="29">
        <v>1.25</v>
      </c>
      <c r="AX95" s="29" t="s">
        <v>546</v>
      </c>
      <c r="BA95" s="29" t="s">
        <v>548</v>
      </c>
      <c r="BB95" s="29" t="s">
        <v>569</v>
      </c>
      <c r="BC95" s="29">
        <v>1.75</v>
      </c>
      <c r="BD95" s="29">
        <f>AW95+AZ95</f>
        <v>1.25</v>
      </c>
      <c r="BE95" s="29">
        <f>BD95+BC95</f>
        <v>3</v>
      </c>
      <c r="BF95" s="29" t="s">
        <v>548</v>
      </c>
      <c r="BG95" s="29" t="s">
        <v>548</v>
      </c>
      <c r="BH95" s="29" t="s">
        <v>548</v>
      </c>
      <c r="BI95" s="29" t="s">
        <v>548</v>
      </c>
      <c r="BJ95" s="29" t="s">
        <v>546</v>
      </c>
      <c r="BK95" s="29" t="s">
        <v>548</v>
      </c>
      <c r="BL95" s="29">
        <v>3</v>
      </c>
      <c r="BM95" s="29" t="s">
        <v>580</v>
      </c>
      <c r="BN95" s="29">
        <v>5</v>
      </c>
      <c r="BO95" s="29" t="s">
        <v>580</v>
      </c>
      <c r="BP95" s="29">
        <v>6</v>
      </c>
      <c r="BQ95" s="29" t="s">
        <v>580</v>
      </c>
      <c r="BR95" s="29">
        <v>2</v>
      </c>
      <c r="BS95" s="29" t="s">
        <v>580</v>
      </c>
      <c r="BU95" s="29" t="s">
        <v>547</v>
      </c>
      <c r="BV95" s="29">
        <v>1</v>
      </c>
      <c r="BW95" s="29">
        <f>(BL95*1)+(BN95*0.1)+(BP95*0.01)+(BR95*0.1)+(BT95*0.3)+(BV95*0.4)</f>
        <v>4.16</v>
      </c>
      <c r="BX95" s="29" t="s">
        <v>2219</v>
      </c>
      <c r="BY95" s="29">
        <v>2</v>
      </c>
      <c r="BZ95" s="29">
        <v>2</v>
      </c>
      <c r="CA95" s="29">
        <v>5</v>
      </c>
      <c r="CB95" s="29">
        <v>9</v>
      </c>
      <c r="CC95" s="29">
        <v>0</v>
      </c>
      <c r="CD95" s="29">
        <v>0</v>
      </c>
      <c r="CE95" s="29">
        <v>0</v>
      </c>
      <c r="CG95" s="29">
        <f>(CC95*15)+(CD95*0.8)+(CE95*0.3)+((AW95+AZ95)*15)</f>
        <v>18.75</v>
      </c>
      <c r="CH95" s="29" t="s">
        <v>2220</v>
      </c>
      <c r="CI95" s="29">
        <f>(BL95*1)+(BN95*0.1)+(BP95*0.01)+(BR95*0.1)+(BT95*0.3)+(BV95*0.4)+(CC95*15)+(CD95*0.8)+(CE95*0.3)+((AW95+AZ95)*15)</f>
        <v>22.91</v>
      </c>
      <c r="CJ95" s="29" t="s">
        <v>548</v>
      </c>
      <c r="CK95" s="29" t="s">
        <v>797</v>
      </c>
      <c r="CL95" s="29" t="s">
        <v>546</v>
      </c>
      <c r="CM95" s="29" t="s">
        <v>547</v>
      </c>
      <c r="CN95" s="29">
        <v>0.5</v>
      </c>
      <c r="CO95" s="29">
        <v>1</v>
      </c>
      <c r="CP95" s="29">
        <v>0</v>
      </c>
      <c r="CQ95" s="29" t="s">
        <v>548</v>
      </c>
      <c r="CR95" s="29">
        <v>1</v>
      </c>
      <c r="CS95" s="29">
        <v>8</v>
      </c>
      <c r="CT95" s="29" t="s">
        <v>551</v>
      </c>
      <c r="CU95" s="30">
        <v>1.92</v>
      </c>
      <c r="CW95" s="29">
        <v>999</v>
      </c>
      <c r="CX95" s="29" t="s">
        <v>551</v>
      </c>
      <c r="CY95" s="62"/>
      <c r="DA95" s="29">
        <v>999</v>
      </c>
      <c r="DB95" s="29" t="s">
        <v>551</v>
      </c>
      <c r="DC95" s="62"/>
      <c r="DD95" s="29" t="s">
        <v>546</v>
      </c>
      <c r="DE95" s="29" t="s">
        <v>546</v>
      </c>
      <c r="DF95" s="29" t="s">
        <v>546</v>
      </c>
      <c r="DG95" s="29" t="s">
        <v>546</v>
      </c>
      <c r="DH95" s="29" t="s">
        <v>546</v>
      </c>
      <c r="DI95" s="29">
        <v>0</v>
      </c>
      <c r="DJ95" s="29">
        <v>3</v>
      </c>
      <c r="DK95" s="29" t="s">
        <v>1093</v>
      </c>
      <c r="DL95" s="29" t="s">
        <v>1094</v>
      </c>
      <c r="DM95" s="29">
        <v>-4.3410921096801758</v>
      </c>
      <c r="DN95" s="29">
        <v>35.419467926025391</v>
      </c>
      <c r="DO95" s="29">
        <v>1643</v>
      </c>
      <c r="DP95" s="29">
        <v>5</v>
      </c>
      <c r="DQ95" s="29">
        <v>1705231439</v>
      </c>
      <c r="DR95" s="29" t="s">
        <v>1095</v>
      </c>
      <c r="DS95" s="31">
        <v>42923.381793981476</v>
      </c>
      <c r="DT95" s="31">
        <v>42908.54515046296</v>
      </c>
      <c r="DU95" s="31">
        <v>42923.379259259258</v>
      </c>
      <c r="DV95" s="32">
        <v>42781</v>
      </c>
      <c r="DX95" s="44">
        <v>2.08</v>
      </c>
      <c r="DY95" s="44">
        <v>1.4733333333333332</v>
      </c>
      <c r="DZ95" s="44">
        <v>1.7436363636363637</v>
      </c>
      <c r="EA95" s="44"/>
      <c r="EC95" s="29">
        <f>IF(EQ95&lt;EP95,"FALSEE",1)</f>
        <v>1</v>
      </c>
      <c r="EE95" s="29" t="s">
        <v>2171</v>
      </c>
      <c r="EF95" s="29">
        <v>2.0972545146899999</v>
      </c>
      <c r="EG95" s="29" t="str">
        <f>IF(EF95&lt;0.5,"Depression",IF(EF95&lt;2,"Very gentle",IF(EF95&lt;5,"Gentle",IF(EF95&lt;9,"Moderate",IF(EF95&lt;15,"Strong",IF(EF95&lt;30,"Steep",IF(EF95&lt;1,"Very steep")))))))</f>
        <v>Gentle</v>
      </c>
      <c r="EH95" s="29" t="s">
        <v>2173</v>
      </c>
      <c r="EI95" s="29">
        <v>9.0650379657699995E-2</v>
      </c>
      <c r="EJ95" s="43">
        <v>8.3043279647800006</v>
      </c>
      <c r="EK95" s="43"/>
      <c r="EL95" s="43">
        <f>VLOOKUP(D95,[1]SoilData!$G$245:$K$451,5,FALSE)</f>
        <v>184.07203736697673</v>
      </c>
      <c r="EM95" s="43"/>
      <c r="EN95" s="43">
        <f>VLOOKUP(D95,[1]SoilData!$G$245:$M$454,7,FALSE)</f>
        <v>0.78700000000000003</v>
      </c>
      <c r="EO95" s="60"/>
      <c r="EP95" s="44">
        <f>AVERAGE(DZ95:EA95)</f>
        <v>1.7436363636363637</v>
      </c>
      <c r="EQ95" s="44">
        <f>AVERAGE(DX95:DY95)</f>
        <v>1.7766666666666666</v>
      </c>
      <c r="ER95" s="43">
        <f>EQ95-EP95</f>
        <v>3.3030303030302965E-2</v>
      </c>
      <c r="ES95" s="64">
        <f>IF(CU95&gt;0.000001,CU95*352,0)</f>
        <v>675.83999999999992</v>
      </c>
      <c r="ET95" s="64">
        <f>IF(DC95&gt;0.0001,DC95*682,0)</f>
        <v>0</v>
      </c>
      <c r="EU95" s="64">
        <f>CY95*795</f>
        <v>0</v>
      </c>
      <c r="EV95" s="64">
        <f>ES95+ET95+EU95</f>
        <v>675.83999999999992</v>
      </c>
      <c r="EW95" s="64">
        <f>IF(AA95="YES",3.5*18.2,0)</f>
        <v>0</v>
      </c>
      <c r="EX95" s="64">
        <f>EV95-EW95</f>
        <v>675.83999999999992</v>
      </c>
    </row>
    <row r="96" spans="1:154" s="33" customFormat="1" ht="15" x14ac:dyDescent="0.2">
      <c r="A96" s="29" t="s">
        <v>1062</v>
      </c>
      <c r="B96" s="29">
        <v>212</v>
      </c>
      <c r="C96" s="29" t="s">
        <v>366</v>
      </c>
      <c r="D96" s="29" t="s">
        <v>366</v>
      </c>
      <c r="E96" s="29" t="str">
        <f>VLOOKUP(D96,Harvest_2017_Formulae!$C$2:$D$968,2,FALSE)</f>
        <v>MANDI</v>
      </c>
      <c r="F96" s="29" t="s">
        <v>1042</v>
      </c>
      <c r="G96" s="29">
        <v>2</v>
      </c>
      <c r="H96" s="61" t="str">
        <f>IF(G96&lt;0.05,"Homefield",IF(G96&lt;0.5,"Midfield","outfield"))</f>
        <v>outfield</v>
      </c>
      <c r="I96" s="29" t="s">
        <v>557</v>
      </c>
      <c r="J96" s="61" t="s">
        <v>2233</v>
      </c>
      <c r="K96" s="61" t="s">
        <v>2233</v>
      </c>
      <c r="L96" s="67">
        <v>0</v>
      </c>
      <c r="M96" s="29"/>
      <c r="N96" s="29"/>
      <c r="O96" s="29" t="s">
        <v>547</v>
      </c>
      <c r="P96" s="29"/>
      <c r="Q96" s="67">
        <v>0</v>
      </c>
      <c r="R96" s="29" t="s">
        <v>547</v>
      </c>
      <c r="S96" s="29"/>
      <c r="T96" s="29"/>
      <c r="U96" s="29" t="s">
        <v>547</v>
      </c>
      <c r="V96" s="29"/>
      <c r="W96" s="29" t="s">
        <v>547</v>
      </c>
      <c r="X96" s="29"/>
      <c r="Y96" s="29"/>
      <c r="Z96" s="29" t="s">
        <v>547</v>
      </c>
      <c r="AA96" s="61" t="s">
        <v>546</v>
      </c>
      <c r="AB96" s="29" t="s">
        <v>547</v>
      </c>
      <c r="AC96" s="67">
        <v>0</v>
      </c>
      <c r="AD96" s="29" t="s">
        <v>547</v>
      </c>
      <c r="AE96" s="29"/>
      <c r="AF96" s="29" t="s">
        <v>547</v>
      </c>
      <c r="AG96" s="29" t="s">
        <v>547</v>
      </c>
      <c r="AH96" s="29" t="s">
        <v>546</v>
      </c>
      <c r="AI96" s="29" t="s">
        <v>546</v>
      </c>
      <c r="AJ96" s="29" t="s">
        <v>547</v>
      </c>
      <c r="AK96" s="67">
        <v>0</v>
      </c>
      <c r="AL96" s="29" t="s">
        <v>547</v>
      </c>
      <c r="AM96" s="29"/>
      <c r="AN96" s="29"/>
      <c r="AO96" s="29" t="s">
        <v>547</v>
      </c>
      <c r="AP96" s="29" t="s">
        <v>547</v>
      </c>
      <c r="AQ96" s="4">
        <f>Q96+AK96</f>
        <v>0</v>
      </c>
      <c r="AR96" s="4">
        <f>L96+AC96</f>
        <v>0</v>
      </c>
      <c r="AS96" t="str">
        <f>AQ96&amp;AR96</f>
        <v>00</v>
      </c>
      <c r="AT96" s="49">
        <f>AQ96-AR96</f>
        <v>0</v>
      </c>
      <c r="AU96">
        <v>1</v>
      </c>
      <c r="AV96" s="29" t="s">
        <v>548</v>
      </c>
      <c r="AW96" s="29">
        <v>0.75</v>
      </c>
      <c r="AX96" s="29" t="s">
        <v>548</v>
      </c>
      <c r="AY96" s="29">
        <v>3</v>
      </c>
      <c r="AZ96" s="29">
        <v>5</v>
      </c>
      <c r="BA96" s="29" t="s">
        <v>546</v>
      </c>
      <c r="BB96" s="29" t="s">
        <v>547</v>
      </c>
      <c r="BC96" s="29"/>
      <c r="BD96" s="29">
        <f>AW96+AZ96</f>
        <v>5.75</v>
      </c>
      <c r="BE96" s="29">
        <f>BD96+BC96</f>
        <v>5.75</v>
      </c>
      <c r="BF96" s="29" t="s">
        <v>548</v>
      </c>
      <c r="BG96" s="29" t="s">
        <v>546</v>
      </c>
      <c r="BH96" s="29" t="s">
        <v>548</v>
      </c>
      <c r="BI96" s="29" t="s">
        <v>546</v>
      </c>
      <c r="BJ96" s="29" t="s">
        <v>546</v>
      </c>
      <c r="BK96" s="29" t="s">
        <v>546</v>
      </c>
      <c r="BL96" s="29">
        <v>4</v>
      </c>
      <c r="BM96" s="29" t="s">
        <v>549</v>
      </c>
      <c r="BN96" s="29"/>
      <c r="BO96" s="29" t="s">
        <v>547</v>
      </c>
      <c r="BP96" s="29">
        <v>16</v>
      </c>
      <c r="BQ96" s="29" t="s">
        <v>549</v>
      </c>
      <c r="BR96" s="29"/>
      <c r="BS96" s="29" t="s">
        <v>547</v>
      </c>
      <c r="BT96" s="29"/>
      <c r="BU96" s="29" t="s">
        <v>547</v>
      </c>
      <c r="BV96" s="29"/>
      <c r="BW96" s="29">
        <f>(BL96*1)+(BN96*0.1)+(BP96*0.01)+(BR96*0.1)+(BT96*0.3)+(BV96*0.4)</f>
        <v>4.16</v>
      </c>
      <c r="BX96" s="29" t="s">
        <v>2219</v>
      </c>
      <c r="BY96" s="29">
        <v>1</v>
      </c>
      <c r="BZ96" s="29">
        <v>3</v>
      </c>
      <c r="CA96" s="29">
        <v>2</v>
      </c>
      <c r="CB96" s="29">
        <v>6</v>
      </c>
      <c r="CC96" s="29">
        <v>0</v>
      </c>
      <c r="CD96" s="29">
        <v>0</v>
      </c>
      <c r="CE96" s="29">
        <v>1</v>
      </c>
      <c r="CF96" s="29" t="s">
        <v>547</v>
      </c>
      <c r="CG96" s="29">
        <f>(CC96*15)+(CD96*0.8)+(CE96*0.3)+((AW96+AZ96)*15)</f>
        <v>86.55</v>
      </c>
      <c r="CH96" s="29" t="s">
        <v>2221</v>
      </c>
      <c r="CI96" s="29">
        <f>(BL96*1)+(BN96*0.1)+(BP96*0.01)+(BR96*0.1)+(BT96*0.3)+(BV96*0.4)+(CC96*15)+(CD96*0.8)+(CE96*0.3)+((AW96+AZ96)*15)</f>
        <v>90.71</v>
      </c>
      <c r="CJ96" s="29" t="s">
        <v>548</v>
      </c>
      <c r="CK96" s="29" t="s">
        <v>563</v>
      </c>
      <c r="CL96" s="29" t="s">
        <v>548</v>
      </c>
      <c r="CM96" s="29" t="s">
        <v>550</v>
      </c>
      <c r="CN96" s="29">
        <v>0.25</v>
      </c>
      <c r="CO96" s="29">
        <v>0.75</v>
      </c>
      <c r="CP96" s="29"/>
      <c r="CQ96" s="29" t="s">
        <v>548</v>
      </c>
      <c r="CR96" s="29">
        <v>1</v>
      </c>
      <c r="CS96" s="29">
        <v>9</v>
      </c>
      <c r="CT96" s="29" t="s">
        <v>551</v>
      </c>
      <c r="CU96" s="30">
        <v>2.16</v>
      </c>
      <c r="CV96" s="29"/>
      <c r="CW96" s="29">
        <v>999</v>
      </c>
      <c r="CX96" s="29" t="s">
        <v>551</v>
      </c>
      <c r="CY96" s="62"/>
      <c r="CZ96" s="29">
        <v>1</v>
      </c>
      <c r="DA96" s="29">
        <v>3</v>
      </c>
      <c r="DB96" s="29" t="s">
        <v>551</v>
      </c>
      <c r="DC96" s="62">
        <v>0.72</v>
      </c>
      <c r="DD96" s="29" t="s">
        <v>546</v>
      </c>
      <c r="DE96" s="29" t="s">
        <v>546</v>
      </c>
      <c r="DF96" s="29" t="s">
        <v>546</v>
      </c>
      <c r="DG96" s="29" t="s">
        <v>546</v>
      </c>
      <c r="DH96" s="29" t="s">
        <v>546</v>
      </c>
      <c r="DI96" s="29">
        <v>0</v>
      </c>
      <c r="DJ96" s="29">
        <v>3</v>
      </c>
      <c r="DK96" s="29" t="s">
        <v>1063</v>
      </c>
      <c r="DL96" s="29" t="s">
        <v>1064</v>
      </c>
      <c r="DM96" s="29">
        <v>-4.3393521308898926</v>
      </c>
      <c r="DN96" s="29">
        <v>35.444431304931641</v>
      </c>
      <c r="DO96" s="29">
        <v>1585.300048828125</v>
      </c>
      <c r="DP96" s="29">
        <v>5</v>
      </c>
      <c r="DQ96" s="29">
        <v>1706031849</v>
      </c>
      <c r="DR96" s="29" t="s">
        <v>1065</v>
      </c>
      <c r="DS96" s="31">
        <v>42950.967210648145</v>
      </c>
      <c r="DT96" s="31">
        <v>42928.52621527778</v>
      </c>
      <c r="DU96" s="31">
        <v>42950.876435185186</v>
      </c>
      <c r="DV96" s="32">
        <v>42770</v>
      </c>
      <c r="DW96" s="29"/>
      <c r="DX96" s="44">
        <v>0.88611111111111118</v>
      </c>
      <c r="DY96" s="44">
        <v>0.88611111111111118</v>
      </c>
      <c r="DZ96" s="44">
        <v>2.2025925925925929</v>
      </c>
      <c r="EA96" s="44">
        <v>1.8548148148148151</v>
      </c>
      <c r="EB96" s="29"/>
      <c r="EC96" s="29" t="str">
        <f>IF(EQ96&lt;EP96,"FALSEE",1)</f>
        <v>FALSEE</v>
      </c>
      <c r="ED96" s="29"/>
      <c r="EE96" s="29" t="s">
        <v>2171</v>
      </c>
      <c r="EF96" s="29">
        <v>3.3609845638300002</v>
      </c>
      <c r="EG96" s="29" t="str">
        <f>IF(EF96&lt;0.5,"Depression",IF(EF96&lt;2,"Very gentle",IF(EF96&lt;5,"Gentle",IF(EF96&lt;9,"Moderate",IF(EF96&lt;15,"Strong",IF(EF96&lt;30,"Steep",IF(EF96&lt;1,"Very steep")))))))</f>
        <v>Gentle</v>
      </c>
      <c r="EH96" s="29" t="s">
        <v>2173</v>
      </c>
      <c r="EI96" s="29">
        <v>9.0650379657699995E-2</v>
      </c>
      <c r="EJ96" s="43">
        <v>9.5012483596799999</v>
      </c>
      <c r="EK96" s="43"/>
      <c r="EL96" s="43"/>
      <c r="EM96" s="43"/>
      <c r="EN96" s="43"/>
      <c r="EO96" s="60"/>
      <c r="EP96" s="44">
        <f>AVERAGE(DZ96:EA96)</f>
        <v>2.0287037037037039</v>
      </c>
      <c r="EQ96" s="44">
        <f>AVERAGE(DX96:DY96)</f>
        <v>0.88611111111111118</v>
      </c>
      <c r="ER96" s="43">
        <f>EQ96-EP96</f>
        <v>-1.1425925925925928</v>
      </c>
      <c r="ES96" s="64">
        <f>IF(CU96&gt;0.000001,CU96*352,0)</f>
        <v>760.32</v>
      </c>
      <c r="ET96" s="64">
        <f>IF(DC96&gt;0.0001,DC96*682,0)</f>
        <v>491.03999999999996</v>
      </c>
      <c r="EU96" s="64">
        <f>CY96*795</f>
        <v>0</v>
      </c>
      <c r="EV96" s="64">
        <f>ES96+ET96+EU96</f>
        <v>1251.3600000000001</v>
      </c>
      <c r="EW96" s="64">
        <f>IF(AA96="YES",3.5*18.2,0)</f>
        <v>0</v>
      </c>
      <c r="EX96" s="64">
        <f>EV96-EW96</f>
        <v>1251.3600000000001</v>
      </c>
    </row>
    <row r="97" spans="1:154" ht="15" x14ac:dyDescent="0.2">
      <c r="A97" s="29" t="s">
        <v>556</v>
      </c>
      <c r="B97" s="29">
        <v>211</v>
      </c>
      <c r="C97" s="29" t="s">
        <v>342</v>
      </c>
      <c r="D97" s="29" t="s">
        <v>342</v>
      </c>
      <c r="E97" s="29" t="str">
        <f>VLOOKUP(D97,Harvest_2017_Formulae!$C$2:$D$968,2,FALSE)</f>
        <v>ENDAGWE</v>
      </c>
      <c r="F97" s="29" t="s">
        <v>732</v>
      </c>
      <c r="G97" s="29">
        <v>0</v>
      </c>
      <c r="H97" s="61" t="str">
        <f>IF(G97&lt;0.05,"Homefield",IF(G97&lt;0.5,"Midfield","outfield"))</f>
        <v>Homefield</v>
      </c>
      <c r="I97" s="29" t="s">
        <v>557</v>
      </c>
      <c r="J97" s="61" t="s">
        <v>2233</v>
      </c>
      <c r="K97" s="61" t="s">
        <v>2233</v>
      </c>
      <c r="L97" s="67">
        <v>0</v>
      </c>
      <c r="O97" s="29" t="s">
        <v>547</v>
      </c>
      <c r="Q97" s="67">
        <v>0</v>
      </c>
      <c r="R97" s="29" t="s">
        <v>547</v>
      </c>
      <c r="U97" s="29" t="s">
        <v>547</v>
      </c>
      <c r="W97" s="29" t="s">
        <v>547</v>
      </c>
      <c r="Z97" s="29" t="s">
        <v>547</v>
      </c>
      <c r="AA97" s="61" t="s">
        <v>546</v>
      </c>
      <c r="AB97" s="29" t="s">
        <v>547</v>
      </c>
      <c r="AC97" s="67">
        <v>0</v>
      </c>
      <c r="AD97" s="29" t="s">
        <v>547</v>
      </c>
      <c r="AF97" s="29" t="s">
        <v>547</v>
      </c>
      <c r="AG97" s="29" t="s">
        <v>547</v>
      </c>
      <c r="AH97" s="29" t="s">
        <v>548</v>
      </c>
      <c r="AI97" s="29" t="s">
        <v>546</v>
      </c>
      <c r="AJ97" s="29" t="s">
        <v>547</v>
      </c>
      <c r="AK97" s="67">
        <v>0</v>
      </c>
      <c r="AL97" s="29" t="s">
        <v>547</v>
      </c>
      <c r="AO97" s="29" t="s">
        <v>547</v>
      </c>
      <c r="AP97" s="29" t="s">
        <v>547</v>
      </c>
      <c r="AQ97" s="4">
        <f>Q97+AK97</f>
        <v>0</v>
      </c>
      <c r="AR97" s="4">
        <f>L97+AC97</f>
        <v>0</v>
      </c>
      <c r="AS97" t="str">
        <f>AQ97&amp;AR97</f>
        <v>00</v>
      </c>
      <c r="AT97" s="49">
        <f>AQ97-AR97</f>
        <v>0</v>
      </c>
      <c r="AU97">
        <v>1</v>
      </c>
      <c r="AV97" s="29" t="s">
        <v>548</v>
      </c>
      <c r="AW97" s="29">
        <v>0.5</v>
      </c>
      <c r="AX97" s="29" t="s">
        <v>548</v>
      </c>
      <c r="AY97" s="29">
        <v>2</v>
      </c>
      <c r="AZ97" s="29">
        <v>3</v>
      </c>
      <c r="BA97" s="29" t="s">
        <v>546</v>
      </c>
      <c r="BB97" s="29" t="s">
        <v>547</v>
      </c>
      <c r="BD97" s="29">
        <f>AW97+AZ97</f>
        <v>3.5</v>
      </c>
      <c r="BE97" s="29">
        <f>BD97+BC97</f>
        <v>3.5</v>
      </c>
      <c r="BF97" s="29" t="s">
        <v>548</v>
      </c>
      <c r="BG97" s="29" t="s">
        <v>548</v>
      </c>
      <c r="BH97" s="29" t="s">
        <v>546</v>
      </c>
      <c r="BI97" s="29" t="s">
        <v>546</v>
      </c>
      <c r="BJ97" s="29" t="s">
        <v>546</v>
      </c>
      <c r="BK97" s="29" t="s">
        <v>546</v>
      </c>
      <c r="BL97" s="29">
        <v>4</v>
      </c>
      <c r="BM97" s="29" t="s">
        <v>549</v>
      </c>
      <c r="BN97" s="29">
        <v>2</v>
      </c>
      <c r="BO97" s="29" t="s">
        <v>549</v>
      </c>
      <c r="BQ97" s="29" t="s">
        <v>547</v>
      </c>
      <c r="BS97" s="29" t="s">
        <v>547</v>
      </c>
      <c r="BU97" s="29" t="s">
        <v>547</v>
      </c>
      <c r="BW97" s="29">
        <f>(BL97*1)+(BN97*0.1)+(BP97*0.01)+(BR97*0.1)+(BT97*0.3)+(BV97*0.4)</f>
        <v>4.2</v>
      </c>
      <c r="BX97" s="29" t="s">
        <v>2219</v>
      </c>
      <c r="BY97" s="29">
        <v>1</v>
      </c>
      <c r="BZ97" s="29">
        <v>1</v>
      </c>
      <c r="CA97" s="29">
        <v>5</v>
      </c>
      <c r="CB97" s="29">
        <v>7</v>
      </c>
      <c r="CC97" s="29">
        <v>0</v>
      </c>
      <c r="CD97" s="29">
        <v>8</v>
      </c>
      <c r="CE97" s="29">
        <v>1</v>
      </c>
      <c r="CF97" s="29" t="s">
        <v>547</v>
      </c>
      <c r="CG97" s="29">
        <f>(CC97*15)+(CD97*0.8)+(CE97*0.3)+((AW97+AZ97)*15)</f>
        <v>59.2</v>
      </c>
      <c r="CH97" s="29" t="s">
        <v>2221</v>
      </c>
      <c r="CI97" s="29">
        <f>(BL97*1)+(BN97*0.1)+(BP97*0.01)+(BR97*0.1)+(BT97*0.3)+(BV97*0.4)+(CC97*15)+(CD97*0.8)+(CE97*0.3)+((AW97+AZ97)*15)</f>
        <v>63.400000000000006</v>
      </c>
      <c r="CJ97" s="29" t="s">
        <v>546</v>
      </c>
      <c r="CK97" s="29" t="s">
        <v>547</v>
      </c>
      <c r="CL97" s="29" t="s">
        <v>548</v>
      </c>
      <c r="CM97" s="29" t="s">
        <v>550</v>
      </c>
      <c r="CN97" s="29">
        <v>0.25</v>
      </c>
      <c r="CO97" s="29">
        <v>1.25</v>
      </c>
      <c r="CQ97" s="29" t="s">
        <v>548</v>
      </c>
      <c r="CR97" s="29">
        <v>0.5</v>
      </c>
      <c r="CS97" s="29">
        <v>3</v>
      </c>
      <c r="CT97" s="29" t="s">
        <v>551</v>
      </c>
      <c r="CU97" s="30">
        <v>1.4400000000000002</v>
      </c>
      <c r="CW97" s="29">
        <v>999</v>
      </c>
      <c r="CX97" s="29" t="s">
        <v>551</v>
      </c>
      <c r="CY97" s="62"/>
      <c r="CZ97" s="29">
        <v>0.5</v>
      </c>
      <c r="DA97" s="29">
        <v>4</v>
      </c>
      <c r="DB97" s="29" t="s">
        <v>552</v>
      </c>
      <c r="DC97" s="62">
        <v>0.32063999999999998</v>
      </c>
      <c r="DD97" s="29" t="s">
        <v>546</v>
      </c>
      <c r="DE97" s="29" t="s">
        <v>546</v>
      </c>
      <c r="DF97" s="29" t="s">
        <v>546</v>
      </c>
      <c r="DG97" s="29" t="s">
        <v>546</v>
      </c>
      <c r="DH97" s="29" t="s">
        <v>546</v>
      </c>
      <c r="DI97" s="29">
        <v>0</v>
      </c>
      <c r="DJ97" s="29">
        <v>2</v>
      </c>
      <c r="DK97" s="29" t="s">
        <v>746</v>
      </c>
      <c r="DL97" s="29" t="s">
        <v>747</v>
      </c>
      <c r="DM97" s="29">
        <v>-4.3565845489501953</v>
      </c>
      <c r="DN97" s="29">
        <v>35.647743225097656</v>
      </c>
      <c r="DO97" s="29">
        <v>1576.4000244140625</v>
      </c>
      <c r="DP97" s="29">
        <v>5</v>
      </c>
      <c r="DQ97" s="29">
        <v>1706031849</v>
      </c>
      <c r="DR97" s="29" t="s">
        <v>748</v>
      </c>
      <c r="DS97" s="31">
        <v>42950.967222222222</v>
      </c>
      <c r="DT97" s="31">
        <v>42934.38690972222</v>
      </c>
      <c r="DU97" s="31">
        <v>42950.884479166663</v>
      </c>
      <c r="DV97" s="32">
        <v>42769</v>
      </c>
      <c r="DX97" s="44">
        <v>1.0721428571428573</v>
      </c>
      <c r="DY97" s="44">
        <v>1.0706349206349208</v>
      </c>
      <c r="DZ97" s="44">
        <v>2.5317829457364343</v>
      </c>
      <c r="EA97" s="44">
        <v>3.7727131782945746</v>
      </c>
      <c r="EC97" s="29" t="str">
        <f>IF(EQ97&lt;EP97,"FALSEE",1)</f>
        <v>FALSEE</v>
      </c>
      <c r="EE97" s="29" t="s">
        <v>2171</v>
      </c>
      <c r="EF97" s="29">
        <v>3.7037451267199999</v>
      </c>
      <c r="EG97" s="29" t="str">
        <f>IF(EF97&lt;0.5,"Depression",IF(EF97&lt;2,"Very gentle",IF(EF97&lt;5,"Gentle",IF(EF97&lt;9,"Moderate",IF(EF97&lt;15,"Strong",IF(EF97&lt;30,"Steep",IF(EF97&lt;1,"Very steep")))))))</f>
        <v>Gentle</v>
      </c>
      <c r="EH97" s="29" t="s">
        <v>2173</v>
      </c>
      <c r="EI97" s="29">
        <v>-0.18127532303300001</v>
      </c>
      <c r="EJ97" s="43">
        <v>9.8761577606199999</v>
      </c>
      <c r="EK97" s="43">
        <f>VLOOKUP(D97,[1]SoilData!$G$15:$K$237,5,FALSE)</f>
        <v>181.51844753695775</v>
      </c>
      <c r="EL97" s="43">
        <f>VLOOKUP(D97,[1]SoilData!$G$245:$K$451,5,FALSE)</f>
        <v>629.67346270525377</v>
      </c>
      <c r="EM97" s="43">
        <f>VLOOKUP(D97,[1]SoilData!$G$15:$M$238,7,FALSE)</f>
        <v>1.1180000000000001</v>
      </c>
      <c r="EN97" s="43">
        <f>VLOOKUP(D97,[1]SoilData!$G$245:$M$454,7,FALSE)</f>
        <v>2.1070000000000002</v>
      </c>
      <c r="EO97" s="60">
        <f>EM97-EN97</f>
        <v>-0.9890000000000001</v>
      </c>
      <c r="EP97" s="44">
        <f>AVERAGE(DZ97:EA97)</f>
        <v>3.1522480620155044</v>
      </c>
      <c r="EQ97" s="44">
        <f>AVERAGE(DX97:DY97)</f>
        <v>1.0713888888888889</v>
      </c>
      <c r="ER97" s="43">
        <f>EQ97-EP97</f>
        <v>-2.0808591731266155</v>
      </c>
      <c r="ES97" s="64">
        <f>IF(CU97&gt;0.000001,CU97*352,0)</f>
        <v>506.88000000000005</v>
      </c>
      <c r="ET97" s="64">
        <f>IF(DC97&gt;0.0001,DC97*682,0)</f>
        <v>218.67648</v>
      </c>
      <c r="EU97" s="64">
        <f>CY97*795</f>
        <v>0</v>
      </c>
      <c r="EV97" s="64">
        <f>ES97+ET97+EU97</f>
        <v>725.55648000000008</v>
      </c>
      <c r="EW97" s="64">
        <f>IF(AA97="YES",3.5*18.2,0)</f>
        <v>0</v>
      </c>
      <c r="EX97" s="64">
        <f>EV97-EW97</f>
        <v>725.55648000000008</v>
      </c>
    </row>
    <row r="98" spans="1:154" ht="15" x14ac:dyDescent="0.2">
      <c r="A98" s="29" t="s">
        <v>556</v>
      </c>
      <c r="B98" s="29">
        <v>121</v>
      </c>
      <c r="C98" s="29" t="s">
        <v>307</v>
      </c>
      <c r="D98" s="33" t="s">
        <v>307</v>
      </c>
      <c r="E98" s="29" t="e">
        <f>VLOOKUP(D98,Harvest_2017_Formulae!$C$2:$D$968,2,FALSE)</f>
        <v>#N/A</v>
      </c>
      <c r="F98" s="29" t="s">
        <v>196</v>
      </c>
      <c r="G98" s="29">
        <v>1</v>
      </c>
      <c r="H98" s="61" t="str">
        <f>IF(G98&lt;0.05,"Homefield",IF(G98&lt;0.5,"Midfield","outfield"))</f>
        <v>outfield</v>
      </c>
      <c r="I98" s="29" t="s">
        <v>557</v>
      </c>
      <c r="J98" s="61" t="s">
        <v>2234</v>
      </c>
      <c r="K98" s="61" t="s">
        <v>2234</v>
      </c>
      <c r="L98" s="67">
        <v>0</v>
      </c>
      <c r="O98" s="29" t="s">
        <v>547</v>
      </c>
      <c r="Q98" s="67">
        <v>0</v>
      </c>
      <c r="R98" s="29" t="s">
        <v>547</v>
      </c>
      <c r="U98" s="29" t="s">
        <v>547</v>
      </c>
      <c r="W98" s="29" t="s">
        <v>547</v>
      </c>
      <c r="Z98" s="29" t="s">
        <v>547</v>
      </c>
      <c r="AA98" s="61" t="s">
        <v>548</v>
      </c>
      <c r="AB98" s="29" t="s">
        <v>568</v>
      </c>
      <c r="AC98" s="67">
        <v>0</v>
      </c>
      <c r="AD98" s="29" t="s">
        <v>547</v>
      </c>
      <c r="AF98" s="29" t="s">
        <v>547</v>
      </c>
      <c r="AG98" s="29" t="s">
        <v>547</v>
      </c>
      <c r="AH98" s="29" t="s">
        <v>546</v>
      </c>
      <c r="AI98" s="29" t="s">
        <v>546</v>
      </c>
      <c r="AJ98" s="29" t="s">
        <v>547</v>
      </c>
      <c r="AK98" s="67">
        <v>0</v>
      </c>
      <c r="AL98" s="29" t="s">
        <v>547</v>
      </c>
      <c r="AO98" s="29" t="s">
        <v>547</v>
      </c>
      <c r="AP98" s="29" t="s">
        <v>547</v>
      </c>
      <c r="AQ98" s="4">
        <f>Q98+AK98</f>
        <v>0</v>
      </c>
      <c r="AR98" s="4">
        <f>L98+AC98</f>
        <v>0</v>
      </c>
      <c r="AS98" t="str">
        <f>AQ98&amp;AR98</f>
        <v>00</v>
      </c>
      <c r="AT98" s="49">
        <f>AQ98-AR98</f>
        <v>0</v>
      </c>
      <c r="AU98">
        <v>1</v>
      </c>
      <c r="AV98" s="29" t="s">
        <v>548</v>
      </c>
      <c r="AW98" s="29">
        <v>0.25</v>
      </c>
      <c r="AX98" s="29" t="s">
        <v>548</v>
      </c>
      <c r="AY98" s="29">
        <v>2</v>
      </c>
      <c r="AZ98" s="29">
        <v>3</v>
      </c>
      <c r="BA98" s="29" t="s">
        <v>546</v>
      </c>
      <c r="BB98" s="29" t="s">
        <v>547</v>
      </c>
      <c r="BD98" s="29">
        <f>AW98+AZ98</f>
        <v>3.25</v>
      </c>
      <c r="BE98" s="29">
        <f>BD98+BC98</f>
        <v>3.25</v>
      </c>
      <c r="BF98" s="29" t="s">
        <v>548</v>
      </c>
      <c r="BG98" s="29" t="s">
        <v>548</v>
      </c>
      <c r="BH98" s="29" t="s">
        <v>548</v>
      </c>
      <c r="BI98" s="29" t="s">
        <v>546</v>
      </c>
      <c r="BJ98" s="29" t="s">
        <v>546</v>
      </c>
      <c r="BK98" s="29" t="s">
        <v>546</v>
      </c>
      <c r="BL98" s="29">
        <v>4</v>
      </c>
      <c r="BM98" s="29" t="s">
        <v>549</v>
      </c>
      <c r="BN98" s="29">
        <v>2</v>
      </c>
      <c r="BO98" s="29" t="s">
        <v>562</v>
      </c>
      <c r="BP98" s="29">
        <v>3</v>
      </c>
      <c r="BQ98" s="29" t="s">
        <v>562</v>
      </c>
      <c r="BS98" s="29" t="s">
        <v>547</v>
      </c>
      <c r="BU98" s="29" t="s">
        <v>547</v>
      </c>
      <c r="BW98" s="29">
        <f>(BL98*1)+(BN98*0.1)+(BP98*0.01)+(BR98*0.1)+(BT98*0.3)+(BV98*0.4)</f>
        <v>4.2300000000000004</v>
      </c>
      <c r="BX98" s="29" t="s">
        <v>2219</v>
      </c>
      <c r="BY98" s="29">
        <v>1</v>
      </c>
      <c r="BZ98" s="29">
        <v>1</v>
      </c>
      <c r="CA98" s="29">
        <v>5</v>
      </c>
      <c r="CB98" s="29">
        <v>7</v>
      </c>
      <c r="CC98" s="29">
        <v>0</v>
      </c>
      <c r="CD98" s="29">
        <v>0</v>
      </c>
      <c r="CE98" s="29">
        <v>0</v>
      </c>
      <c r="CG98" s="29">
        <f>(CC98*15)+(CD98*0.8)+(CE98*0.3)+((AW98+AZ98)*15)</f>
        <v>48.75</v>
      </c>
      <c r="CH98" s="29" t="s">
        <v>2220</v>
      </c>
      <c r="CI98" s="29">
        <f>(BL98*1)+(BN98*0.1)+(BP98*0.01)+(BR98*0.1)+(BT98*0.3)+(BV98*0.4)+(CC98*15)+(CD98*0.8)+(CE98*0.3)+((AW98+AZ98)*15)</f>
        <v>52.980000000000004</v>
      </c>
      <c r="CJ98" s="29" t="s">
        <v>546</v>
      </c>
      <c r="CK98" s="29" t="s">
        <v>547</v>
      </c>
      <c r="CL98" s="29" t="s">
        <v>548</v>
      </c>
      <c r="CM98" s="29" t="s">
        <v>550</v>
      </c>
      <c r="CN98" s="29">
        <v>0.25</v>
      </c>
      <c r="CO98" s="29">
        <v>0.75</v>
      </c>
      <c r="CQ98" s="29" t="s">
        <v>548</v>
      </c>
      <c r="CR98" s="29">
        <v>1</v>
      </c>
      <c r="CS98" s="29">
        <v>9</v>
      </c>
      <c r="CT98" s="29" t="s">
        <v>551</v>
      </c>
      <c r="CU98" s="30">
        <v>2.16</v>
      </c>
      <c r="CW98" s="29">
        <v>999</v>
      </c>
      <c r="CX98" s="29" t="s">
        <v>551</v>
      </c>
      <c r="CY98" s="62"/>
      <c r="CZ98" s="29">
        <v>1</v>
      </c>
      <c r="DA98" s="29">
        <v>3</v>
      </c>
      <c r="DB98" s="29" t="s">
        <v>551</v>
      </c>
      <c r="DC98" s="62">
        <v>0.72</v>
      </c>
      <c r="DD98" s="29" t="s">
        <v>546</v>
      </c>
      <c r="DE98" s="29" t="s">
        <v>546</v>
      </c>
      <c r="DF98" s="29" t="s">
        <v>546</v>
      </c>
      <c r="DG98" s="29" t="s">
        <v>546</v>
      </c>
      <c r="DH98" s="29" t="s">
        <v>546</v>
      </c>
      <c r="DI98" s="29">
        <v>0</v>
      </c>
      <c r="DJ98" s="29">
        <v>3</v>
      </c>
      <c r="DK98" s="29" t="s">
        <v>1470</v>
      </c>
      <c r="DL98" s="29" t="s">
        <v>1471</v>
      </c>
      <c r="DM98" s="29">
        <v>-4.2431526184082031</v>
      </c>
      <c r="DN98" s="29">
        <v>35.890655517578125</v>
      </c>
      <c r="DO98" s="29">
        <v>1222</v>
      </c>
      <c r="DP98" s="29">
        <v>5</v>
      </c>
      <c r="DQ98" s="29">
        <v>1706031849</v>
      </c>
      <c r="DR98" s="29" t="s">
        <v>1472</v>
      </c>
      <c r="DS98" s="31">
        <v>42906.49899305556</v>
      </c>
      <c r="DT98" s="31">
        <v>42905.643553240741</v>
      </c>
      <c r="DU98" s="31">
        <v>42905.675625000003</v>
      </c>
      <c r="DV98" s="32">
        <v>42769</v>
      </c>
      <c r="EC98" s="29">
        <f>IF(EQ98&lt;EP98,"FALSEE",1)</f>
        <v>1</v>
      </c>
      <c r="EE98" s="29" t="s">
        <v>2171</v>
      </c>
      <c r="EF98" s="29">
        <v>1.2451889514900001</v>
      </c>
      <c r="EG98" s="29" t="str">
        <f>IF(EF98&lt;0.5,"Depression",IF(EF98&lt;2,"Very gentle",IF(EF98&lt;5,"Gentle",IF(EF98&lt;9,"Moderate",IF(EF98&lt;15,"Strong",IF(EF98&lt;30,"Steep",IF(EF98&lt;1,"Very steep")))))))</f>
        <v>Very gentle</v>
      </c>
      <c r="EH98" s="29" t="s">
        <v>2173</v>
      </c>
      <c r="EI98" s="29">
        <v>0.18129228055499999</v>
      </c>
      <c r="EJ98" s="43">
        <v>10.190670967100001</v>
      </c>
      <c r="EK98" s="43"/>
      <c r="EL98" s="43"/>
      <c r="EM98" s="43"/>
      <c r="EN98" s="43"/>
      <c r="EO98" s="60"/>
      <c r="EP98" s="43"/>
      <c r="EQ98" s="43"/>
      <c r="ER98" s="43"/>
      <c r="ES98" s="64">
        <f>IF(CU98&gt;0.000001,CU98*352,0)</f>
        <v>760.32</v>
      </c>
      <c r="ET98" s="64">
        <f>IF(DC98&gt;0.0001,DC98*682,0)</f>
        <v>491.03999999999996</v>
      </c>
      <c r="EU98" s="64">
        <f>CY98*795</f>
        <v>0</v>
      </c>
      <c r="EV98" s="64">
        <f>ES98+ET98+EU98</f>
        <v>1251.3600000000001</v>
      </c>
      <c r="EW98" s="64">
        <f>IF(AA98="YES",3.5*18.2,0)</f>
        <v>63.699999999999996</v>
      </c>
      <c r="EX98" s="64">
        <f>EV98-EW98</f>
        <v>1187.6600000000001</v>
      </c>
    </row>
    <row r="99" spans="1:154" ht="15" x14ac:dyDescent="0.2">
      <c r="A99" s="29" t="s">
        <v>556</v>
      </c>
      <c r="B99" s="29">
        <v>208</v>
      </c>
      <c r="C99" s="29" t="s">
        <v>1391</v>
      </c>
      <c r="D99" s="29" t="s">
        <v>410</v>
      </c>
      <c r="E99" s="29" t="str">
        <f>VLOOKUP(D99,Harvest_2017_Formulae!$C$2:$D$968,2,FALSE)</f>
        <v>TSAMASI</v>
      </c>
      <c r="F99" s="29" t="s">
        <v>1014</v>
      </c>
      <c r="G99" s="29">
        <v>0</v>
      </c>
      <c r="H99" s="61" t="str">
        <f>IF(G99&lt;0.05,"Homefield",IF(G99&lt;0.5,"Midfield","outfield"))</f>
        <v>Homefield</v>
      </c>
      <c r="I99" s="29" t="s">
        <v>557</v>
      </c>
      <c r="J99" s="61" t="s">
        <v>2233</v>
      </c>
      <c r="K99" s="61" t="s">
        <v>2233</v>
      </c>
      <c r="L99" s="67">
        <v>0</v>
      </c>
      <c r="O99" s="29" t="s">
        <v>547</v>
      </c>
      <c r="Q99" s="67">
        <v>0</v>
      </c>
      <c r="R99" s="29" t="s">
        <v>547</v>
      </c>
      <c r="U99" s="29" t="s">
        <v>547</v>
      </c>
      <c r="W99" s="29" t="s">
        <v>547</v>
      </c>
      <c r="Z99" s="29" t="s">
        <v>547</v>
      </c>
      <c r="AA99" s="61" t="s">
        <v>548</v>
      </c>
      <c r="AB99" s="29" t="s">
        <v>568</v>
      </c>
      <c r="AC99" s="67">
        <v>0</v>
      </c>
      <c r="AD99" s="29" t="s">
        <v>547</v>
      </c>
      <c r="AF99" s="29" t="s">
        <v>547</v>
      </c>
      <c r="AG99" s="29" t="s">
        <v>547</v>
      </c>
      <c r="AH99" s="29" t="s">
        <v>546</v>
      </c>
      <c r="AI99" s="29" t="s">
        <v>546</v>
      </c>
      <c r="AJ99" s="29" t="s">
        <v>547</v>
      </c>
      <c r="AK99" s="67">
        <v>0</v>
      </c>
      <c r="AL99" s="29" t="s">
        <v>547</v>
      </c>
      <c r="AO99" s="29" t="s">
        <v>547</v>
      </c>
      <c r="AP99" s="29" t="s">
        <v>547</v>
      </c>
      <c r="AQ99" s="4">
        <f>Q99+AK99</f>
        <v>0</v>
      </c>
      <c r="AR99" s="4">
        <f>L99+AC99</f>
        <v>0</v>
      </c>
      <c r="AS99" t="str">
        <f>AQ99&amp;AR99</f>
        <v>00</v>
      </c>
      <c r="AT99" s="49">
        <f>AQ99-AR99</f>
        <v>0</v>
      </c>
      <c r="AU99">
        <v>1</v>
      </c>
      <c r="AV99" s="29" t="s">
        <v>548</v>
      </c>
      <c r="AW99" s="29">
        <v>0.5</v>
      </c>
      <c r="AX99" s="29" t="s">
        <v>548</v>
      </c>
      <c r="AY99" s="29">
        <v>1</v>
      </c>
      <c r="AZ99" s="29">
        <v>1.5</v>
      </c>
      <c r="BA99" s="29" t="s">
        <v>546</v>
      </c>
      <c r="BB99" s="29" t="s">
        <v>547</v>
      </c>
      <c r="BD99" s="29">
        <f>AW99+AZ99</f>
        <v>2</v>
      </c>
      <c r="BE99" s="29">
        <f>BD99+BC99</f>
        <v>2</v>
      </c>
      <c r="BF99" s="29" t="s">
        <v>548</v>
      </c>
      <c r="BG99" s="29" t="s">
        <v>548</v>
      </c>
      <c r="BH99" s="29" t="s">
        <v>548</v>
      </c>
      <c r="BI99" s="29" t="s">
        <v>546</v>
      </c>
      <c r="BJ99" s="29" t="s">
        <v>546</v>
      </c>
      <c r="BK99" s="29" t="s">
        <v>546</v>
      </c>
      <c r="BL99" s="29">
        <v>4</v>
      </c>
      <c r="BM99" s="29" t="s">
        <v>580</v>
      </c>
      <c r="BN99" s="29">
        <v>3</v>
      </c>
      <c r="BO99" s="29" t="s">
        <v>549</v>
      </c>
      <c r="BP99" s="29">
        <v>4</v>
      </c>
      <c r="BQ99" s="29" t="s">
        <v>549</v>
      </c>
      <c r="BS99" s="29" t="s">
        <v>547</v>
      </c>
      <c r="BU99" s="29" t="s">
        <v>547</v>
      </c>
      <c r="BW99" s="29">
        <f>(BL99*1)+(BN99*0.1)+(BP99*0.01)+(BR99*0.1)+(BT99*0.3)+(BV99*0.4)</f>
        <v>4.34</v>
      </c>
      <c r="BX99" s="29" t="s">
        <v>2219</v>
      </c>
      <c r="BY99" s="29">
        <v>1</v>
      </c>
      <c r="BZ99" s="29">
        <v>1</v>
      </c>
      <c r="CA99" s="29">
        <v>5</v>
      </c>
      <c r="CB99" s="29">
        <v>7</v>
      </c>
      <c r="CC99" s="29">
        <v>0</v>
      </c>
      <c r="CD99" s="29">
        <v>0</v>
      </c>
      <c r="CE99" s="29">
        <v>0</v>
      </c>
      <c r="CF99" s="29" t="s">
        <v>547</v>
      </c>
      <c r="CG99" s="29">
        <f>(CC99*15)+(CD99*0.8)+(CE99*0.3)+((AW99+AZ99)*15)</f>
        <v>30</v>
      </c>
      <c r="CH99" s="29" t="s">
        <v>2220</v>
      </c>
      <c r="CI99" s="29">
        <f>(BL99*1)+(BN99*0.1)+(BP99*0.01)+(BR99*0.1)+(BT99*0.3)+(BV99*0.4)+(CC99*15)+(CD99*0.8)+(CE99*0.3)+((AW99+AZ99)*15)</f>
        <v>34.340000000000003</v>
      </c>
      <c r="CJ99" s="29" t="s">
        <v>546</v>
      </c>
      <c r="CK99" s="29" t="s">
        <v>547</v>
      </c>
      <c r="CL99" s="29" t="s">
        <v>548</v>
      </c>
      <c r="CM99" s="29" t="s">
        <v>550</v>
      </c>
      <c r="CN99" s="29">
        <v>0.25</v>
      </c>
      <c r="CO99" s="29">
        <v>0.25</v>
      </c>
      <c r="CQ99" s="29" t="s">
        <v>546</v>
      </c>
      <c r="CR99" s="29">
        <v>0.5</v>
      </c>
      <c r="CS99" s="29">
        <v>4</v>
      </c>
      <c r="CT99" s="29" t="s">
        <v>551</v>
      </c>
      <c r="CU99" s="30">
        <v>1.92</v>
      </c>
      <c r="CW99" s="29">
        <v>999</v>
      </c>
      <c r="CX99" s="29" t="s">
        <v>551</v>
      </c>
      <c r="CY99" s="62"/>
      <c r="CZ99" s="29">
        <v>0.5</v>
      </c>
      <c r="DA99" s="29">
        <v>1</v>
      </c>
      <c r="DB99" s="29" t="s">
        <v>551</v>
      </c>
      <c r="DC99" s="62">
        <v>0.48</v>
      </c>
      <c r="DD99" s="29" t="s">
        <v>546</v>
      </c>
      <c r="DE99" s="29" t="s">
        <v>546</v>
      </c>
      <c r="DF99" s="29" t="s">
        <v>548</v>
      </c>
      <c r="DG99" s="29" t="s">
        <v>546</v>
      </c>
      <c r="DH99" s="29" t="s">
        <v>546</v>
      </c>
      <c r="DI99" s="29">
        <v>1</v>
      </c>
      <c r="DJ99" s="29">
        <v>3</v>
      </c>
      <c r="DK99" s="29" t="s">
        <v>1392</v>
      </c>
      <c r="DL99" s="29" t="s">
        <v>1393</v>
      </c>
      <c r="DM99" s="29">
        <v>-4.2894182205200195</v>
      </c>
      <c r="DN99" s="29">
        <v>35.829944610595703</v>
      </c>
      <c r="DO99" s="29">
        <v>1322</v>
      </c>
      <c r="DP99" s="29">
        <v>5</v>
      </c>
      <c r="DQ99" s="29">
        <v>1706031849</v>
      </c>
      <c r="DR99" s="29" t="s">
        <v>1394</v>
      </c>
      <c r="DS99" s="31">
        <v>42948.908761574072</v>
      </c>
      <c r="DT99" s="31">
        <v>42938.430034722223</v>
      </c>
      <c r="DU99" s="31">
        <v>42938.465555555551</v>
      </c>
      <c r="DV99" s="32">
        <v>42800</v>
      </c>
      <c r="DX99" s="44">
        <v>4.8997714736012616</v>
      </c>
      <c r="DY99" s="44">
        <v>3.4404806934594174</v>
      </c>
      <c r="DZ99" s="44">
        <v>1.8176767676767676</v>
      </c>
      <c r="EA99" s="44">
        <v>1.9905050505050506</v>
      </c>
      <c r="EC99" s="29">
        <f>IF(EQ99&lt;EP99,"FALSEE",1)</f>
        <v>1</v>
      </c>
      <c r="EE99" s="29" t="s">
        <v>2171</v>
      </c>
      <c r="EF99" s="29">
        <v>4.0479316711399997</v>
      </c>
      <c r="EG99" s="29" t="str">
        <f>IF(EF99&lt;0.5,"Depression",IF(EF99&lt;2,"Very gentle",IF(EF99&lt;5,"Gentle",IF(EF99&lt;9,"Moderate",IF(EF99&lt;15,"Strong",IF(EF99&lt;30,"Steep",IF(EF99&lt;1,"Very steep")))))))</f>
        <v>Gentle</v>
      </c>
      <c r="EH99" s="29" t="s">
        <v>2173</v>
      </c>
      <c r="EI99" s="29">
        <v>0.36257606744799997</v>
      </c>
      <c r="EJ99" s="43">
        <v>8.5629081726099994</v>
      </c>
      <c r="EK99" s="43">
        <f>VLOOKUP(D99,[1]SoilData!$G$15:$K$237,5,FALSE)</f>
        <v>311.69265136909911</v>
      </c>
      <c r="EL99" s="43">
        <f>VLOOKUP(D99,[1]SoilData!$G$245:$K$451,5,FALSE)</f>
        <v>363.32363792760424</v>
      </c>
      <c r="EM99" s="43">
        <f>VLOOKUP(D99,[1]SoilData!$G$15:$M$238,7,FALSE)</f>
        <v>1.71</v>
      </c>
      <c r="EN99" s="43">
        <f>VLOOKUP(D99,[1]SoilData!$G$245:$M$454,7,FALSE)</f>
        <v>1.194</v>
      </c>
      <c r="EO99" s="60">
        <f>EM99-EN99</f>
        <v>0.51600000000000001</v>
      </c>
      <c r="EP99" s="44">
        <f>AVERAGE(DZ99:EA99)</f>
        <v>1.9040909090909091</v>
      </c>
      <c r="EQ99" s="44">
        <f>AVERAGE(DX99:DY99)</f>
        <v>4.1701260835303398</v>
      </c>
      <c r="ER99" s="43">
        <f>EQ99-EP99</f>
        <v>2.2660351744394305</v>
      </c>
      <c r="ES99" s="64">
        <f>IF(CU99&gt;0.000001,CU99*352,0)</f>
        <v>675.83999999999992</v>
      </c>
      <c r="ET99" s="64">
        <f>IF(DC99&gt;0.0001,DC99*682,0)</f>
        <v>327.36</v>
      </c>
      <c r="EU99" s="64">
        <f>CY99*795</f>
        <v>0</v>
      </c>
      <c r="EV99" s="64">
        <f>ES99+ET99+EU99</f>
        <v>1003.1999999999999</v>
      </c>
      <c r="EW99" s="64">
        <f>IF(AA99="YES",3.5*18.2,0)</f>
        <v>63.699999999999996</v>
      </c>
      <c r="EX99" s="64">
        <f>EV99-EW99</f>
        <v>939.49999999999989</v>
      </c>
    </row>
    <row r="100" spans="1:154" ht="15" x14ac:dyDescent="0.2">
      <c r="A100" s="29" t="s">
        <v>556</v>
      </c>
      <c r="B100" s="29">
        <v>201</v>
      </c>
      <c r="C100" s="29" t="s">
        <v>1353</v>
      </c>
      <c r="D100" s="29" t="s">
        <v>401</v>
      </c>
      <c r="E100" s="29" t="str">
        <f>VLOOKUP(D100,Harvest_2017_Formulae!$C$2:$D$968,2,FALSE)</f>
        <v>TSAMASI</v>
      </c>
      <c r="F100" s="29" t="s">
        <v>1014</v>
      </c>
      <c r="G100" s="29">
        <v>0</v>
      </c>
      <c r="H100" s="61" t="str">
        <f>IF(G100&lt;0.05,"Homefield",IF(G100&lt;0.5,"Midfield","outfield"))</f>
        <v>Homefield</v>
      </c>
      <c r="I100" s="29" t="s">
        <v>557</v>
      </c>
      <c r="J100" s="61" t="s">
        <v>2233</v>
      </c>
      <c r="K100" s="61" t="s">
        <v>2233</v>
      </c>
      <c r="L100" s="67">
        <v>0</v>
      </c>
      <c r="O100" s="29" t="s">
        <v>547</v>
      </c>
      <c r="Q100" s="67">
        <v>0</v>
      </c>
      <c r="R100" s="29" t="s">
        <v>547</v>
      </c>
      <c r="U100" s="29" t="s">
        <v>547</v>
      </c>
      <c r="W100" s="29" t="s">
        <v>547</v>
      </c>
      <c r="Z100" s="29" t="s">
        <v>547</v>
      </c>
      <c r="AA100" s="61" t="s">
        <v>546</v>
      </c>
      <c r="AB100" s="29" t="s">
        <v>547</v>
      </c>
      <c r="AC100" s="67">
        <v>0</v>
      </c>
      <c r="AD100" s="29" t="s">
        <v>547</v>
      </c>
      <c r="AF100" s="29" t="s">
        <v>547</v>
      </c>
      <c r="AG100" s="29" t="s">
        <v>547</v>
      </c>
      <c r="AH100" s="29" t="s">
        <v>548</v>
      </c>
      <c r="AI100" s="29" t="s">
        <v>546</v>
      </c>
      <c r="AJ100" s="29" t="s">
        <v>547</v>
      </c>
      <c r="AK100" s="67">
        <v>0</v>
      </c>
      <c r="AL100" s="29" t="s">
        <v>547</v>
      </c>
      <c r="AO100" s="29" t="s">
        <v>547</v>
      </c>
      <c r="AP100" s="29" t="s">
        <v>547</v>
      </c>
      <c r="AQ100" s="4">
        <f>Q100+AK100</f>
        <v>0</v>
      </c>
      <c r="AR100" s="4">
        <f>L100+AC100</f>
        <v>0</v>
      </c>
      <c r="AS100" t="str">
        <f>AQ100&amp;AR100</f>
        <v>00</v>
      </c>
      <c r="AT100" s="49">
        <f>AQ100-AR100</f>
        <v>0</v>
      </c>
      <c r="AU100">
        <v>1</v>
      </c>
      <c r="AV100" s="29" t="s">
        <v>548</v>
      </c>
      <c r="AW100" s="29">
        <v>0.75</v>
      </c>
      <c r="AX100" s="29" t="s">
        <v>548</v>
      </c>
      <c r="AY100" s="29">
        <v>2</v>
      </c>
      <c r="AZ100" s="29">
        <v>2.5</v>
      </c>
      <c r="BA100" s="29" t="s">
        <v>546</v>
      </c>
      <c r="BB100" s="29" t="s">
        <v>547</v>
      </c>
      <c r="BD100" s="29">
        <f>AW100+AZ100</f>
        <v>3.25</v>
      </c>
      <c r="BE100" s="29">
        <f>BD100+BC100</f>
        <v>3.25</v>
      </c>
      <c r="BF100" s="29" t="s">
        <v>548</v>
      </c>
      <c r="BG100" s="29" t="s">
        <v>548</v>
      </c>
      <c r="BH100" s="29" t="s">
        <v>548</v>
      </c>
      <c r="BI100" s="29" t="s">
        <v>546</v>
      </c>
      <c r="BJ100" s="29" t="s">
        <v>546</v>
      </c>
      <c r="BK100" s="29" t="s">
        <v>546</v>
      </c>
      <c r="BL100" s="29">
        <v>4</v>
      </c>
      <c r="BM100" s="29" t="s">
        <v>549</v>
      </c>
      <c r="BN100" s="29">
        <v>3</v>
      </c>
      <c r="BO100" s="29" t="s">
        <v>549</v>
      </c>
      <c r="BP100" s="29">
        <v>4</v>
      </c>
      <c r="BQ100" s="29" t="s">
        <v>549</v>
      </c>
      <c r="BS100" s="29" t="s">
        <v>547</v>
      </c>
      <c r="BU100" s="29" t="s">
        <v>547</v>
      </c>
      <c r="BW100" s="29">
        <f>(BL100*1)+(BN100*0.1)+(BP100*0.01)+(BR100*0.1)+(BT100*0.3)+(BV100*0.4)</f>
        <v>4.34</v>
      </c>
      <c r="BX100" s="29" t="s">
        <v>2219</v>
      </c>
      <c r="BY100" s="29">
        <v>1</v>
      </c>
      <c r="BZ100" s="29">
        <v>2</v>
      </c>
      <c r="CA100" s="29">
        <v>6</v>
      </c>
      <c r="CB100" s="29">
        <v>9</v>
      </c>
      <c r="CC100" s="29">
        <v>0</v>
      </c>
      <c r="CD100" s="29">
        <v>0</v>
      </c>
      <c r="CE100" s="29">
        <v>0</v>
      </c>
      <c r="CF100" s="29" t="s">
        <v>547</v>
      </c>
      <c r="CG100" s="29">
        <f>(CC100*15)+(CD100*0.8)+(CE100*0.3)+((AW100+AZ100)*15)</f>
        <v>48.75</v>
      </c>
      <c r="CH100" s="29" t="s">
        <v>2220</v>
      </c>
      <c r="CI100" s="29">
        <f>(BL100*1)+(BN100*0.1)+(BP100*0.01)+(BR100*0.1)+(BT100*0.3)+(BV100*0.4)+(CC100*15)+(CD100*0.8)+(CE100*0.3)+((AW100+AZ100)*15)</f>
        <v>53.09</v>
      </c>
      <c r="CJ100" s="29" t="s">
        <v>546</v>
      </c>
      <c r="CK100" s="29" t="s">
        <v>547</v>
      </c>
      <c r="CL100" s="29" t="s">
        <v>548</v>
      </c>
      <c r="CM100" s="29" t="s">
        <v>550</v>
      </c>
      <c r="CN100" s="29">
        <v>0.25</v>
      </c>
      <c r="CO100" s="29">
        <v>1.75</v>
      </c>
      <c r="CQ100" s="29" t="s">
        <v>546</v>
      </c>
      <c r="CR100" s="29">
        <v>2</v>
      </c>
      <c r="CS100" s="29">
        <v>3</v>
      </c>
      <c r="CT100" s="29" t="s">
        <v>551</v>
      </c>
      <c r="CU100" s="30">
        <v>0.36000000000000004</v>
      </c>
      <c r="CW100" s="29">
        <v>999</v>
      </c>
      <c r="CX100" s="29" t="s">
        <v>552</v>
      </c>
      <c r="CY100" s="62"/>
      <c r="CZ100" s="29">
        <v>2</v>
      </c>
      <c r="DA100" s="29">
        <v>1</v>
      </c>
      <c r="DB100" s="29" t="s">
        <v>552</v>
      </c>
      <c r="DC100" s="62">
        <v>2.0039999999999999E-2</v>
      </c>
      <c r="DD100" s="29" t="s">
        <v>546</v>
      </c>
      <c r="DE100" s="29" t="s">
        <v>546</v>
      </c>
      <c r="DF100" s="29" t="s">
        <v>546</v>
      </c>
      <c r="DG100" s="29" t="s">
        <v>546</v>
      </c>
      <c r="DH100" s="29" t="s">
        <v>546</v>
      </c>
      <c r="DI100" s="29">
        <v>0</v>
      </c>
      <c r="DJ100" s="29">
        <v>2</v>
      </c>
      <c r="DK100" s="29" t="s">
        <v>1354</v>
      </c>
      <c r="DL100" s="29" t="s">
        <v>1355</v>
      </c>
      <c r="DM100" s="29">
        <v>-4.2895283699035645</v>
      </c>
      <c r="DN100" s="29">
        <v>35.826389312744141</v>
      </c>
      <c r="DO100" s="29">
        <v>1317.800048828125</v>
      </c>
      <c r="DP100" s="29">
        <v>5</v>
      </c>
      <c r="DQ100" s="29">
        <v>1706031849</v>
      </c>
      <c r="DR100" s="29" t="s">
        <v>1356</v>
      </c>
      <c r="DS100" s="31">
        <v>42948.908495370371</v>
      </c>
      <c r="DT100" s="31">
        <v>42938.485486111109</v>
      </c>
      <c r="DU100" s="31">
        <v>42938.493981481486</v>
      </c>
      <c r="DV100" s="32">
        <v>42794</v>
      </c>
      <c r="DX100" s="44">
        <v>2.9907295173961841</v>
      </c>
      <c r="DY100" s="44">
        <v>2.8663748597081935</v>
      </c>
      <c r="DZ100" s="44">
        <v>3.0733333333333337</v>
      </c>
      <c r="EA100" s="44">
        <v>2.3933333333333335</v>
      </c>
      <c r="EC100" s="29">
        <f>IF(EQ100&lt;EP100,"FALSEE",1)</f>
        <v>1</v>
      </c>
      <c r="EE100" s="29" t="s">
        <v>2179</v>
      </c>
      <c r="EF100" s="29">
        <v>2.4237968921699999</v>
      </c>
      <c r="EG100" s="29" t="str">
        <f>IF(EF100&lt;0.5,"Depression",IF(EF100&lt;2,"Very gentle",IF(EF100&lt;5,"Gentle",IF(EF100&lt;9,"Moderate",IF(EF100&lt;15,"Strong",IF(EF100&lt;30,"Steep",IF(EF100&lt;1,"Very steep")))))))</f>
        <v>Gentle</v>
      </c>
      <c r="EH100" s="29" t="s">
        <v>2173</v>
      </c>
      <c r="EI100" s="29">
        <v>9.0650379657699995E-2</v>
      </c>
      <c r="EJ100" s="43">
        <v>11.2585916519</v>
      </c>
      <c r="EK100" s="43">
        <f>VLOOKUP(D100,[1]SoilData!$G$15:$K$237,5,FALSE)</f>
        <v>329.54469884000144</v>
      </c>
      <c r="EL100" s="43">
        <f>VLOOKUP(D100,[1]SoilData!$G$245:$K$451,5,FALSE)</f>
        <v>156.77586661706525</v>
      </c>
      <c r="EM100" s="43">
        <f>VLOOKUP(D100,[1]SoilData!$G$15:$M$238,7,FALSE)</f>
        <v>1.198</v>
      </c>
      <c r="EN100" s="43">
        <f>VLOOKUP(D100,[1]SoilData!$G$245:$M$454,7,FALSE)</f>
        <v>1.036</v>
      </c>
      <c r="EO100" s="60">
        <f>EM100-EN100</f>
        <v>0.16199999999999992</v>
      </c>
      <c r="EP100" s="44">
        <f>AVERAGE(DZ100:EA100)</f>
        <v>2.7333333333333334</v>
      </c>
      <c r="EQ100" s="44">
        <f>AVERAGE(DX100:DY100)</f>
        <v>2.9285521885521888</v>
      </c>
      <c r="ER100" s="43">
        <f>EQ100-EP100</f>
        <v>0.1952188552188554</v>
      </c>
      <c r="ES100" s="64">
        <f>IF(CU100&gt;0.000001,CU100*352,0)</f>
        <v>126.72000000000001</v>
      </c>
      <c r="ET100" s="64">
        <f>IF(DC100&gt;0.0001,DC100*682,0)</f>
        <v>13.66728</v>
      </c>
      <c r="EU100" s="64">
        <f>CY100*795</f>
        <v>0</v>
      </c>
      <c r="EV100" s="64">
        <f>ES100+ET100+EU100</f>
        <v>140.38728</v>
      </c>
      <c r="EW100" s="64">
        <f>IF(AA100="YES",3.5*18.2,0)</f>
        <v>0</v>
      </c>
      <c r="EX100" s="64">
        <f>EV100-EW100</f>
        <v>140.38728</v>
      </c>
    </row>
    <row r="101" spans="1:154" s="39" customFormat="1" ht="15" x14ac:dyDescent="0.2">
      <c r="A101" s="29" t="s">
        <v>789</v>
      </c>
      <c r="B101" s="29">
        <v>62</v>
      </c>
      <c r="C101" s="29" t="s">
        <v>257</v>
      </c>
      <c r="D101" s="29" t="s">
        <v>257</v>
      </c>
      <c r="E101" s="29" t="str">
        <f>VLOOKUP(D101,Harvest_2017_Formulae!$C$2:$D$968,2,FALSE)</f>
        <v>Sangara</v>
      </c>
      <c r="F101" s="29" t="s">
        <v>1014</v>
      </c>
      <c r="G101" s="29">
        <v>0</v>
      </c>
      <c r="H101" s="61" t="str">
        <f>IF(G101&lt;0.05,"Homefield",IF(G101&lt;0.5,"Midfield","outfield"))</f>
        <v>Homefield</v>
      </c>
      <c r="I101" s="29" t="s">
        <v>557</v>
      </c>
      <c r="J101" s="61" t="s">
        <v>2233</v>
      </c>
      <c r="K101" s="61" t="s">
        <v>2233</v>
      </c>
      <c r="L101" s="67">
        <v>0</v>
      </c>
      <c r="M101" s="29"/>
      <c r="N101" s="29"/>
      <c r="O101" s="29" t="s">
        <v>547</v>
      </c>
      <c r="P101" s="29"/>
      <c r="Q101" s="67">
        <v>0</v>
      </c>
      <c r="R101" s="29" t="s">
        <v>547</v>
      </c>
      <c r="S101" s="29"/>
      <c r="T101" s="29" t="s">
        <v>559</v>
      </c>
      <c r="U101" s="29" t="s">
        <v>560</v>
      </c>
      <c r="V101" s="29"/>
      <c r="W101" s="29" t="s">
        <v>635</v>
      </c>
      <c r="X101" s="29"/>
      <c r="Y101" s="29"/>
      <c r="Z101" s="29" t="s">
        <v>547</v>
      </c>
      <c r="AA101" s="61" t="s">
        <v>546</v>
      </c>
      <c r="AB101" s="29" t="s">
        <v>547</v>
      </c>
      <c r="AC101" s="67">
        <v>0</v>
      </c>
      <c r="AD101" s="29" t="s">
        <v>547</v>
      </c>
      <c r="AE101" s="29"/>
      <c r="AF101" s="29" t="s">
        <v>547</v>
      </c>
      <c r="AG101" s="29" t="s">
        <v>547</v>
      </c>
      <c r="AH101" s="29" t="s">
        <v>548</v>
      </c>
      <c r="AI101" s="29" t="s">
        <v>546</v>
      </c>
      <c r="AJ101" s="29"/>
      <c r="AK101" s="67">
        <v>0</v>
      </c>
      <c r="AL101" s="29" t="s">
        <v>547</v>
      </c>
      <c r="AM101" s="29"/>
      <c r="AN101" s="29"/>
      <c r="AO101" s="29" t="s">
        <v>547</v>
      </c>
      <c r="AP101" s="29" t="s">
        <v>547</v>
      </c>
      <c r="AQ101" s="4">
        <f>Q101+AK101</f>
        <v>0</v>
      </c>
      <c r="AR101" s="4">
        <f>L101+AC101</f>
        <v>0</v>
      </c>
      <c r="AS101" t="str">
        <f>AQ101&amp;AR101</f>
        <v>00</v>
      </c>
      <c r="AT101" s="49">
        <f>AQ101-AR101</f>
        <v>0</v>
      </c>
      <c r="AU101">
        <v>1</v>
      </c>
      <c r="AV101" s="29" t="s">
        <v>548</v>
      </c>
      <c r="AW101" s="29">
        <v>3</v>
      </c>
      <c r="AX101" s="29" t="s">
        <v>546</v>
      </c>
      <c r="AY101" s="29"/>
      <c r="AZ101" s="29"/>
      <c r="BA101" s="29" t="s">
        <v>546</v>
      </c>
      <c r="BB101" s="29" t="s">
        <v>547</v>
      </c>
      <c r="BC101" s="29"/>
      <c r="BD101" s="29">
        <f>AW101+AZ101</f>
        <v>3</v>
      </c>
      <c r="BE101" s="29">
        <f>BD101+BC101</f>
        <v>3</v>
      </c>
      <c r="BF101" s="29" t="s">
        <v>548</v>
      </c>
      <c r="BG101" s="29" t="s">
        <v>548</v>
      </c>
      <c r="BH101" s="29" t="s">
        <v>548</v>
      </c>
      <c r="BI101" s="29" t="s">
        <v>546</v>
      </c>
      <c r="BJ101" s="29" t="s">
        <v>548</v>
      </c>
      <c r="BK101" s="29" t="s">
        <v>546</v>
      </c>
      <c r="BL101" s="29">
        <v>4</v>
      </c>
      <c r="BM101" s="29" t="s">
        <v>549</v>
      </c>
      <c r="BN101" s="29">
        <v>1</v>
      </c>
      <c r="BO101" s="29" t="s">
        <v>580</v>
      </c>
      <c r="BP101" s="29">
        <v>3</v>
      </c>
      <c r="BQ101" s="29" t="s">
        <v>580</v>
      </c>
      <c r="BR101" s="29"/>
      <c r="BS101" s="29" t="s">
        <v>547</v>
      </c>
      <c r="BT101" s="29">
        <v>1</v>
      </c>
      <c r="BU101" s="29" t="s">
        <v>562</v>
      </c>
      <c r="BV101" s="29"/>
      <c r="BW101" s="29">
        <f>(BL101*1)+(BN101*0.1)+(BP101*0.01)+(BR101*0.1)+(BT101*0.3)+(BV101*0.4)</f>
        <v>4.43</v>
      </c>
      <c r="BX101" s="29" t="s">
        <v>2219</v>
      </c>
      <c r="BY101" s="29">
        <v>1</v>
      </c>
      <c r="BZ101" s="29">
        <v>2</v>
      </c>
      <c r="CA101" s="29">
        <v>1</v>
      </c>
      <c r="CB101" s="29">
        <v>4</v>
      </c>
      <c r="CC101" s="29">
        <v>0</v>
      </c>
      <c r="CD101" s="29">
        <v>0</v>
      </c>
      <c r="CE101" s="29">
        <v>0</v>
      </c>
      <c r="CF101" s="29"/>
      <c r="CG101" s="29">
        <f>(CC101*15)+(CD101*0.8)+(CE101*0.3)+((AW101+AZ101)*15)</f>
        <v>45</v>
      </c>
      <c r="CH101" s="29" t="s">
        <v>2220</v>
      </c>
      <c r="CI101" s="29">
        <f>(BL101*1)+(BN101*0.1)+(BP101*0.01)+(BR101*0.1)+(BT101*0.3)+(BV101*0.4)+(CC101*15)+(CD101*0.8)+(CE101*0.3)+((AW101+AZ101)*15)</f>
        <v>49.43</v>
      </c>
      <c r="CJ101" s="29" t="s">
        <v>546</v>
      </c>
      <c r="CK101" s="29" t="s">
        <v>547</v>
      </c>
      <c r="CL101" s="29" t="s">
        <v>548</v>
      </c>
      <c r="CM101" s="29" t="s">
        <v>1028</v>
      </c>
      <c r="CN101" s="29">
        <v>0.25</v>
      </c>
      <c r="CO101" s="29">
        <v>2.5</v>
      </c>
      <c r="CP101" s="29">
        <v>0</v>
      </c>
      <c r="CQ101" s="29" t="s">
        <v>548</v>
      </c>
      <c r="CR101" s="29">
        <v>1</v>
      </c>
      <c r="CS101" s="29">
        <v>5</v>
      </c>
      <c r="CT101" s="29" t="s">
        <v>551</v>
      </c>
      <c r="CU101" s="30">
        <v>1.2</v>
      </c>
      <c r="CV101" s="29">
        <v>1</v>
      </c>
      <c r="CW101" s="29">
        <v>0</v>
      </c>
      <c r="CX101" s="29" t="s">
        <v>551</v>
      </c>
      <c r="CY101" s="62">
        <v>0</v>
      </c>
      <c r="CZ101" s="29">
        <v>1</v>
      </c>
      <c r="DA101" s="29">
        <v>1.125</v>
      </c>
      <c r="DB101" s="29" t="s">
        <v>551</v>
      </c>
      <c r="DC101" s="62">
        <v>0.27</v>
      </c>
      <c r="DD101" s="29" t="s">
        <v>546</v>
      </c>
      <c r="DE101" s="29" t="s">
        <v>546</v>
      </c>
      <c r="DF101" s="29" t="s">
        <v>546</v>
      </c>
      <c r="DG101" s="29" t="s">
        <v>546</v>
      </c>
      <c r="DH101" s="29" t="s">
        <v>546</v>
      </c>
      <c r="DI101" s="29">
        <v>0</v>
      </c>
      <c r="DJ101" s="29">
        <v>3</v>
      </c>
      <c r="DK101" s="29" t="s">
        <v>1245</v>
      </c>
      <c r="DL101" s="29" t="s">
        <v>1246</v>
      </c>
      <c r="DM101" s="29">
        <v>-4.2805089950561523</v>
      </c>
      <c r="DN101" s="29">
        <v>35.627761840820312</v>
      </c>
      <c r="DO101" s="29">
        <v>1422.0999755859375</v>
      </c>
      <c r="DP101" s="29">
        <v>10</v>
      </c>
      <c r="DQ101" s="29">
        <v>1705231439</v>
      </c>
      <c r="DR101" s="29" t="s">
        <v>1247</v>
      </c>
      <c r="DS101" s="31">
        <v>42923.387048611112</v>
      </c>
      <c r="DT101" s="31">
        <v>42900.504224537042</v>
      </c>
      <c r="DU101" s="31">
        <v>42923.386435185181</v>
      </c>
      <c r="DV101" s="32">
        <v>42745</v>
      </c>
      <c r="DW101" s="29"/>
      <c r="DX101" s="44">
        <v>1.9647169811320753</v>
      </c>
      <c r="DY101" s="44">
        <v>1.3098113207547168</v>
      </c>
      <c r="DZ101" s="44">
        <v>2.8661971830985924</v>
      </c>
      <c r="EA101" s="44">
        <v>3.3464788732394375</v>
      </c>
      <c r="EB101" s="29"/>
      <c r="EC101" s="29" t="str">
        <f>IF(EQ101&lt;EP101,"FALSEE",1)</f>
        <v>FALSEE</v>
      </c>
      <c r="ED101" s="29" t="s">
        <v>1546</v>
      </c>
      <c r="EE101" s="29" t="s">
        <v>2179</v>
      </c>
      <c r="EF101" s="29">
        <v>8.6720476150499994</v>
      </c>
      <c r="EG101" s="29" t="str">
        <f>IF(EF101&lt;0.5,"Depression",IF(EF101&lt;2,"Very gentle",IF(EF101&lt;5,"Gentle",IF(EF101&lt;9,"Moderate",IF(EF101&lt;15,"Strong",IF(EF101&lt;30,"Steep",IF(EF101&lt;1,"Very steep")))))))</f>
        <v>Moderate</v>
      </c>
      <c r="EH101" s="29" t="s">
        <v>2172</v>
      </c>
      <c r="EI101" s="29">
        <v>-0.54384291171999999</v>
      </c>
      <c r="EJ101" s="43">
        <v>8.2298650741599992</v>
      </c>
      <c r="EK101" s="43">
        <f>VLOOKUP(D101,[1]SoilData!$G$15:$K$237,5,FALSE)</f>
        <v>46.728885009081537</v>
      </c>
      <c r="EL101" s="43">
        <f>VLOOKUP(D101,[1]SoilData!$G$245:$K$451,5,FALSE)</f>
        <v>313.03855933993242</v>
      </c>
      <c r="EM101" s="43">
        <f>VLOOKUP(D101,[1]SoilData!$G$15:$M$238,7,FALSE)</f>
        <v>0.48699999999999999</v>
      </c>
      <c r="EN101" s="43">
        <f>VLOOKUP(D101,[1]SoilData!$G$245:$M$454,7,FALSE)</f>
        <v>0.93899999999999995</v>
      </c>
      <c r="EO101" s="60">
        <f>EM101-EN101</f>
        <v>-0.45199999999999996</v>
      </c>
      <c r="EP101" s="44">
        <f>AVERAGE(DZ101:EA101)</f>
        <v>3.1063380281690147</v>
      </c>
      <c r="EQ101" s="44">
        <f>AVERAGE(DX101:DY101)</f>
        <v>1.6372641509433961</v>
      </c>
      <c r="ER101" s="43">
        <f>EQ101-EP101</f>
        <v>-1.4690738772256187</v>
      </c>
      <c r="ES101" s="64">
        <f>IF(CU101&gt;0.000001,CU101*352,0)</f>
        <v>422.4</v>
      </c>
      <c r="ET101" s="64">
        <f>IF(DC101&gt;0.0001,DC101*682,0)</f>
        <v>184.14000000000001</v>
      </c>
      <c r="EU101" s="64">
        <f>CY101*795</f>
        <v>0</v>
      </c>
      <c r="EV101" s="64">
        <f>ES101+ET101+EU101</f>
        <v>606.54</v>
      </c>
      <c r="EW101" s="64">
        <f>IF(AA101="YES",3.5*18.2,0)</f>
        <v>0</v>
      </c>
      <c r="EX101" s="64">
        <f>EV101-EW101</f>
        <v>606.54</v>
      </c>
    </row>
    <row r="102" spans="1:154" ht="15" x14ac:dyDescent="0.2">
      <c r="A102" s="29" t="s">
        <v>556</v>
      </c>
      <c r="B102" s="29">
        <v>149</v>
      </c>
      <c r="C102" s="29" t="s">
        <v>316</v>
      </c>
      <c r="D102" s="29" t="s">
        <v>316</v>
      </c>
      <c r="E102" s="29" t="str">
        <f>VLOOKUP(D102,Harvest_2017_Formulae!$C$2:$D$968,2,FALSE)</f>
        <v>AYAMANGO</v>
      </c>
      <c r="F102" s="29" t="s">
        <v>196</v>
      </c>
      <c r="G102" s="29">
        <v>0</v>
      </c>
      <c r="H102" s="61" t="str">
        <f>IF(G102&lt;0.05,"Homefield",IF(G102&lt;0.5,"Midfield","outfield"))</f>
        <v>Homefield</v>
      </c>
      <c r="I102" s="29" t="s">
        <v>557</v>
      </c>
      <c r="J102" s="61" t="s">
        <v>2233</v>
      </c>
      <c r="K102" s="61" t="s">
        <v>2233</v>
      </c>
      <c r="L102" s="67">
        <v>0</v>
      </c>
      <c r="O102" s="29" t="s">
        <v>547</v>
      </c>
      <c r="Q102" s="67">
        <v>0</v>
      </c>
      <c r="R102" s="29" t="s">
        <v>547</v>
      </c>
      <c r="U102" s="29" t="s">
        <v>547</v>
      </c>
      <c r="W102" s="29" t="s">
        <v>547</v>
      </c>
      <c r="Z102" s="29" t="s">
        <v>547</v>
      </c>
      <c r="AA102" s="61" t="s">
        <v>548</v>
      </c>
      <c r="AB102" s="29" t="s">
        <v>568</v>
      </c>
      <c r="AC102" s="67">
        <v>0</v>
      </c>
      <c r="AD102" s="29" t="s">
        <v>547</v>
      </c>
      <c r="AF102" s="29" t="s">
        <v>547</v>
      </c>
      <c r="AG102" s="29" t="s">
        <v>547</v>
      </c>
      <c r="AH102" s="29" t="s">
        <v>548</v>
      </c>
      <c r="AI102" s="29" t="s">
        <v>546</v>
      </c>
      <c r="AJ102" s="29" t="s">
        <v>547</v>
      </c>
      <c r="AK102" s="67">
        <v>0</v>
      </c>
      <c r="AL102" s="29" t="s">
        <v>547</v>
      </c>
      <c r="AO102" s="29" t="s">
        <v>547</v>
      </c>
      <c r="AP102" s="29" t="s">
        <v>547</v>
      </c>
      <c r="AQ102" s="4">
        <f>Q102+AK102</f>
        <v>0</v>
      </c>
      <c r="AR102" s="4">
        <f>L102+AC102</f>
        <v>0</v>
      </c>
      <c r="AS102" t="str">
        <f>AQ102&amp;AR102</f>
        <v>00</v>
      </c>
      <c r="AT102" s="49">
        <f>AQ102-AR102</f>
        <v>0</v>
      </c>
      <c r="AU102">
        <v>1</v>
      </c>
      <c r="AV102" s="29" t="s">
        <v>548</v>
      </c>
      <c r="AW102" s="29">
        <v>6</v>
      </c>
      <c r="AX102" s="29" t="s">
        <v>548</v>
      </c>
      <c r="AY102" s="29">
        <v>1</v>
      </c>
      <c r="AZ102" s="29">
        <v>5</v>
      </c>
      <c r="BA102" s="29" t="s">
        <v>546</v>
      </c>
      <c r="BB102" s="29" t="s">
        <v>547</v>
      </c>
      <c r="BD102" s="29">
        <f>AW102+AZ102</f>
        <v>11</v>
      </c>
      <c r="BE102" s="29">
        <f>BD102+BC102</f>
        <v>11</v>
      </c>
      <c r="BF102" s="29" t="s">
        <v>548</v>
      </c>
      <c r="BG102" s="29" t="s">
        <v>548</v>
      </c>
      <c r="BH102" s="29" t="s">
        <v>548</v>
      </c>
      <c r="BI102" s="29" t="s">
        <v>546</v>
      </c>
      <c r="BJ102" s="29" t="s">
        <v>546</v>
      </c>
      <c r="BK102" s="29" t="s">
        <v>546</v>
      </c>
      <c r="BL102" s="29">
        <v>4</v>
      </c>
      <c r="BM102" s="29" t="s">
        <v>580</v>
      </c>
      <c r="BN102" s="29">
        <v>6</v>
      </c>
      <c r="BO102" s="29" t="s">
        <v>580</v>
      </c>
      <c r="BP102" s="29">
        <v>2</v>
      </c>
      <c r="BQ102" s="29" t="s">
        <v>580</v>
      </c>
      <c r="BS102" s="29" t="s">
        <v>547</v>
      </c>
      <c r="BU102" s="29" t="s">
        <v>547</v>
      </c>
      <c r="BW102" s="29">
        <f>(BL102*1)+(BN102*0.1)+(BP102*0.01)+(BR102*0.1)+(BT102*0.3)+(BV102*0.4)</f>
        <v>4.6199999999999992</v>
      </c>
      <c r="BX102" s="29" t="s">
        <v>2219</v>
      </c>
      <c r="BY102" s="29">
        <v>2</v>
      </c>
      <c r="BZ102" s="29">
        <v>4</v>
      </c>
      <c r="CA102" s="29">
        <v>6</v>
      </c>
      <c r="CB102" s="29">
        <v>12</v>
      </c>
      <c r="CC102" s="29">
        <v>0</v>
      </c>
      <c r="CD102" s="29">
        <v>0</v>
      </c>
      <c r="CE102" s="29">
        <v>0</v>
      </c>
      <c r="CF102" s="29" t="s">
        <v>547</v>
      </c>
      <c r="CG102" s="29">
        <f>(CC102*15)+(CD102*0.8)+(CE102*0.3)+((AW102+AZ102)*15)</f>
        <v>165</v>
      </c>
      <c r="CH102" s="29" t="s">
        <v>2221</v>
      </c>
      <c r="CI102" s="29">
        <f>(BL102*1)+(BN102*0.1)+(BP102*0.01)+(BR102*0.1)+(BT102*0.3)+(BV102*0.4)+(CC102*15)+(CD102*0.8)+(CE102*0.3)+((AW102+AZ102)*15)</f>
        <v>169.62</v>
      </c>
      <c r="CJ102" s="29" t="s">
        <v>546</v>
      </c>
      <c r="CK102" s="29" t="s">
        <v>547</v>
      </c>
      <c r="CL102" s="29" t="s">
        <v>548</v>
      </c>
      <c r="CM102" s="29" t="s">
        <v>550</v>
      </c>
      <c r="CN102" s="29">
        <v>0.25</v>
      </c>
      <c r="CO102" s="29">
        <v>5.75</v>
      </c>
      <c r="CQ102" s="29" t="s">
        <v>548</v>
      </c>
      <c r="CR102" s="29">
        <v>6</v>
      </c>
      <c r="CS102" s="29">
        <v>30</v>
      </c>
      <c r="CT102" s="29" t="s">
        <v>551</v>
      </c>
      <c r="CU102" s="30">
        <v>1.2</v>
      </c>
      <c r="CW102" s="29">
        <v>999</v>
      </c>
      <c r="CX102" s="29" t="s">
        <v>551</v>
      </c>
      <c r="CY102" s="62"/>
      <c r="CZ102" s="29">
        <v>6</v>
      </c>
      <c r="DA102" s="29">
        <v>16</v>
      </c>
      <c r="DB102" s="29" t="s">
        <v>551</v>
      </c>
      <c r="DC102" s="62">
        <v>0.64</v>
      </c>
      <c r="DD102" s="29" t="s">
        <v>548</v>
      </c>
      <c r="DE102" s="29" t="s">
        <v>548</v>
      </c>
      <c r="DF102" s="29" t="s">
        <v>548</v>
      </c>
      <c r="DG102" s="29" t="s">
        <v>548</v>
      </c>
      <c r="DH102" s="29" t="s">
        <v>548</v>
      </c>
      <c r="DI102" s="29">
        <v>5</v>
      </c>
      <c r="DJ102" s="29">
        <v>3</v>
      </c>
      <c r="DK102" s="29" t="s">
        <v>597</v>
      </c>
      <c r="DL102" s="29" t="s">
        <v>598</v>
      </c>
      <c r="DM102" s="29">
        <v>-4.2389602661132812</v>
      </c>
      <c r="DN102" s="29">
        <v>35.907527923583984</v>
      </c>
      <c r="DO102" s="29">
        <v>1229.199951171875</v>
      </c>
      <c r="DP102" s="29">
        <v>5</v>
      </c>
      <c r="DQ102" s="29">
        <v>1706031849</v>
      </c>
      <c r="DR102" s="29" t="s">
        <v>599</v>
      </c>
      <c r="DS102" s="31">
        <v>42913.638599537036</v>
      </c>
      <c r="DT102" s="31">
        <v>42908.625891203701</v>
      </c>
      <c r="DU102" s="31">
        <v>42908.633298611108</v>
      </c>
      <c r="DV102" s="32">
        <v>42779</v>
      </c>
      <c r="DX102" s="44">
        <v>3.2077684407096179</v>
      </c>
      <c r="DY102" s="44">
        <v>2.4935387488328673</v>
      </c>
      <c r="DZ102" s="44">
        <v>3.1042000000000005</v>
      </c>
      <c r="EA102" s="44">
        <v>3.1665333333333336</v>
      </c>
      <c r="EB102" s="29">
        <v>8</v>
      </c>
      <c r="EC102" s="29" t="str">
        <f>IF(EQ102&lt;EP102,"FALSEE",1)</f>
        <v>FALSEE</v>
      </c>
      <c r="EE102" s="29" t="s">
        <v>2171</v>
      </c>
      <c r="EF102" s="29">
        <v>2.5200860500300002</v>
      </c>
      <c r="EG102" s="29" t="str">
        <f>IF(EF102&lt;0.5,"Depression",IF(EF102&lt;2,"Very gentle",IF(EF102&lt;5,"Gentle",IF(EF102&lt;9,"Moderate",IF(EF102&lt;15,"Strong",IF(EF102&lt;30,"Steep",IF(EF102&lt;1,"Very steep")))))))</f>
        <v>Gentle</v>
      </c>
      <c r="EH102" s="29" t="s">
        <v>2173</v>
      </c>
      <c r="EI102" s="29">
        <v>9.0650379657699995E-2</v>
      </c>
      <c r="EJ102" s="43">
        <v>8.7876567840599993</v>
      </c>
      <c r="EK102" s="43">
        <f>VLOOKUP(D102,[1]SoilData!$G$15:$K$237,5,FALSE)</f>
        <v>251.89603207009418</v>
      </c>
      <c r="EL102" s="43">
        <f>VLOOKUP(D102,[1]SoilData!$G$245:$K$451,5,FALSE)</f>
        <v>247.81986358543793</v>
      </c>
      <c r="EM102" s="43">
        <f>VLOOKUP(D102,[1]SoilData!$G$15:$M$238,7,FALSE)</f>
        <v>1.522</v>
      </c>
      <c r="EN102" s="43">
        <f>VLOOKUP(D102,[1]SoilData!$G$245:$M$454,7,FALSE)</f>
        <v>1.139</v>
      </c>
      <c r="EO102" s="60">
        <f>EM102-EN102</f>
        <v>0.38300000000000001</v>
      </c>
      <c r="EP102" s="44">
        <f>AVERAGE(DZ102:EA102)</f>
        <v>3.1353666666666671</v>
      </c>
      <c r="EQ102" s="44">
        <f>AVERAGE(DX102:DY102)</f>
        <v>2.8506535947712424</v>
      </c>
      <c r="ER102" s="43">
        <f>EQ102-EP102</f>
        <v>-0.28471307189542472</v>
      </c>
      <c r="ES102" s="64">
        <f>IF(CU102&gt;0.000001,CU102*352,0)</f>
        <v>422.4</v>
      </c>
      <c r="ET102" s="64">
        <f>IF(DC102&gt;0.0001,DC102*682,0)</f>
        <v>436.48</v>
      </c>
      <c r="EU102" s="64">
        <f>CY102*795</f>
        <v>0</v>
      </c>
      <c r="EV102" s="64">
        <f>ES102+ET102+EU102</f>
        <v>858.88</v>
      </c>
      <c r="EW102" s="64">
        <f>IF(AA102="YES",3.5*18.2,0)</f>
        <v>63.699999999999996</v>
      </c>
      <c r="EX102" s="64">
        <f>EV102-EW102</f>
        <v>795.18</v>
      </c>
    </row>
    <row r="103" spans="1:154" ht="15" x14ac:dyDescent="0.2">
      <c r="A103" s="29" t="s">
        <v>556</v>
      </c>
      <c r="B103" s="29">
        <v>137</v>
      </c>
      <c r="C103" s="29" t="s">
        <v>319</v>
      </c>
      <c r="D103" s="29" t="s">
        <v>319</v>
      </c>
      <c r="E103" s="29" t="str">
        <f>VLOOKUP(D103,Harvest_2017_Formulae!$C$2:$D$968,2,FALSE)</f>
        <v>AYAMANGO</v>
      </c>
      <c r="F103" s="29" t="s">
        <v>196</v>
      </c>
      <c r="G103" s="29">
        <v>0</v>
      </c>
      <c r="H103" s="61" t="str">
        <f>IF(G103&lt;0.05,"Homefield",IF(G103&lt;0.5,"Midfield","outfield"))</f>
        <v>Homefield</v>
      </c>
      <c r="I103" s="29" t="s">
        <v>557</v>
      </c>
      <c r="J103" s="61" t="s">
        <v>2234</v>
      </c>
      <c r="K103" s="61" t="s">
        <v>2234</v>
      </c>
      <c r="L103" s="67">
        <v>0</v>
      </c>
      <c r="O103" s="29" t="s">
        <v>547</v>
      </c>
      <c r="Q103" s="67">
        <v>0</v>
      </c>
      <c r="R103" s="29" t="s">
        <v>547</v>
      </c>
      <c r="U103" s="29" t="s">
        <v>547</v>
      </c>
      <c r="W103" s="29" t="s">
        <v>547</v>
      </c>
      <c r="Z103" s="29" t="s">
        <v>547</v>
      </c>
      <c r="AA103" s="61" t="s">
        <v>548</v>
      </c>
      <c r="AB103" s="29" t="s">
        <v>568</v>
      </c>
      <c r="AC103" s="67">
        <v>0</v>
      </c>
      <c r="AD103" s="29" t="s">
        <v>547</v>
      </c>
      <c r="AF103" s="29" t="s">
        <v>547</v>
      </c>
      <c r="AG103" s="29" t="s">
        <v>547</v>
      </c>
      <c r="AH103" s="29" t="s">
        <v>548</v>
      </c>
      <c r="AI103" s="29" t="s">
        <v>546</v>
      </c>
      <c r="AJ103" s="29" t="s">
        <v>547</v>
      </c>
      <c r="AK103" s="67">
        <v>0</v>
      </c>
      <c r="AL103" s="29" t="s">
        <v>547</v>
      </c>
      <c r="AO103" s="29" t="s">
        <v>547</v>
      </c>
      <c r="AP103" s="29" t="s">
        <v>547</v>
      </c>
      <c r="AQ103" s="4">
        <f>Q103+AK103</f>
        <v>0</v>
      </c>
      <c r="AR103" s="4">
        <f>L103+AC103</f>
        <v>0</v>
      </c>
      <c r="AS103" t="str">
        <f>AQ103&amp;AR103</f>
        <v>00</v>
      </c>
      <c r="AT103" s="49">
        <f>AQ103-AR103</f>
        <v>0</v>
      </c>
      <c r="AU103">
        <v>1</v>
      </c>
      <c r="AV103" s="29" t="s">
        <v>548</v>
      </c>
      <c r="AW103" s="29">
        <v>2</v>
      </c>
      <c r="AX103" s="29" t="s">
        <v>546</v>
      </c>
      <c r="BA103" s="29" t="s">
        <v>548</v>
      </c>
      <c r="BB103" s="29" t="s">
        <v>569</v>
      </c>
      <c r="BC103" s="29">
        <v>2.5</v>
      </c>
      <c r="BD103" s="29">
        <f>AW103+AZ103</f>
        <v>2</v>
      </c>
      <c r="BE103" s="29">
        <f>BD103+BC103</f>
        <v>4.5</v>
      </c>
      <c r="BF103" s="29" t="s">
        <v>548</v>
      </c>
      <c r="BG103" s="29" t="s">
        <v>548</v>
      </c>
      <c r="BH103" s="29" t="s">
        <v>548</v>
      </c>
      <c r="BI103" s="29" t="s">
        <v>546</v>
      </c>
      <c r="BJ103" s="29" t="s">
        <v>546</v>
      </c>
      <c r="BK103" s="29" t="s">
        <v>546</v>
      </c>
      <c r="BL103" s="29">
        <v>4</v>
      </c>
      <c r="BM103" s="29" t="s">
        <v>549</v>
      </c>
      <c r="BN103" s="29">
        <v>5</v>
      </c>
      <c r="BO103" s="29" t="s">
        <v>562</v>
      </c>
      <c r="BP103" s="29">
        <v>12</v>
      </c>
      <c r="BQ103" s="29" t="s">
        <v>549</v>
      </c>
      <c r="BS103" s="29" t="s">
        <v>547</v>
      </c>
      <c r="BU103" s="29" t="s">
        <v>547</v>
      </c>
      <c r="BW103" s="29">
        <f>(BL103*1)+(BN103*0.1)+(BP103*0.01)+(BR103*0.1)+(BT103*0.3)+(BV103*0.4)</f>
        <v>4.62</v>
      </c>
      <c r="BX103" s="29" t="s">
        <v>2219</v>
      </c>
      <c r="BY103" s="29">
        <v>1</v>
      </c>
      <c r="BZ103" s="29">
        <v>1</v>
      </c>
      <c r="CA103" s="29">
        <v>5</v>
      </c>
      <c r="CB103" s="29">
        <v>7</v>
      </c>
      <c r="CC103" s="29">
        <v>0</v>
      </c>
      <c r="CD103" s="29">
        <v>0</v>
      </c>
      <c r="CE103" s="29">
        <v>0</v>
      </c>
      <c r="CF103" s="29" t="s">
        <v>547</v>
      </c>
      <c r="CG103" s="29">
        <f>(CC103*15)+(CD103*0.8)+(CE103*0.3)+((AW103+AZ103)*15)</f>
        <v>30</v>
      </c>
      <c r="CH103" s="29" t="s">
        <v>2220</v>
      </c>
      <c r="CI103" s="29">
        <f>(BL103*1)+(BN103*0.1)+(BP103*0.01)+(BR103*0.1)+(BT103*0.3)+(BV103*0.4)+(CC103*15)+(CD103*0.8)+(CE103*0.3)+((AW103+AZ103)*15)</f>
        <v>34.619999999999997</v>
      </c>
      <c r="CJ103" s="29" t="s">
        <v>546</v>
      </c>
      <c r="CK103" s="29" t="s">
        <v>547</v>
      </c>
      <c r="CL103" s="29" t="s">
        <v>546</v>
      </c>
      <c r="CM103" s="29" t="s">
        <v>547</v>
      </c>
      <c r="CN103" s="29">
        <v>0.25</v>
      </c>
      <c r="CO103" s="29">
        <v>1.75</v>
      </c>
      <c r="CQ103" s="29" t="s">
        <v>548</v>
      </c>
      <c r="CR103" s="29">
        <v>1</v>
      </c>
      <c r="CS103" s="29">
        <v>7</v>
      </c>
      <c r="CT103" s="29" t="s">
        <v>551</v>
      </c>
      <c r="CU103" s="30">
        <v>1.6800000000000002</v>
      </c>
      <c r="CW103" s="29">
        <v>999</v>
      </c>
      <c r="CX103" s="29" t="s">
        <v>551</v>
      </c>
      <c r="CY103" s="62"/>
      <c r="CZ103" s="29">
        <v>1.75</v>
      </c>
      <c r="DA103" s="29">
        <v>5</v>
      </c>
      <c r="DB103" s="29" t="s">
        <v>551</v>
      </c>
      <c r="DC103" s="62">
        <v>0.68571428571428572</v>
      </c>
      <c r="DD103" s="29" t="s">
        <v>546</v>
      </c>
      <c r="DE103" s="29" t="s">
        <v>546</v>
      </c>
      <c r="DF103" s="29" t="s">
        <v>546</v>
      </c>
      <c r="DG103" s="29" t="s">
        <v>546</v>
      </c>
      <c r="DH103" s="29" t="s">
        <v>548</v>
      </c>
      <c r="DI103" s="29">
        <v>1</v>
      </c>
      <c r="DJ103" s="29">
        <v>2</v>
      </c>
      <c r="DK103" s="29" t="s">
        <v>611</v>
      </c>
      <c r="DL103" s="29" t="s">
        <v>612</v>
      </c>
      <c r="DM103" s="29">
        <v>-4.2445802688598633</v>
      </c>
      <c r="DN103" s="29">
        <v>35.888114929199219</v>
      </c>
      <c r="DO103" s="29">
        <v>1230</v>
      </c>
      <c r="DP103" s="29">
        <v>5</v>
      </c>
      <c r="DQ103" s="29">
        <v>1706031849</v>
      </c>
      <c r="DR103" s="29" t="s">
        <v>613</v>
      </c>
      <c r="DS103" s="31">
        <v>42907.824120370366</v>
      </c>
      <c r="DT103" s="31">
        <v>42907.698923611111</v>
      </c>
      <c r="DU103" s="31">
        <v>42907.703784722224</v>
      </c>
      <c r="DV103" s="32">
        <v>42788</v>
      </c>
      <c r="DX103" s="44">
        <v>4.589026629935721</v>
      </c>
      <c r="DY103" s="44">
        <v>5.0438475665748399</v>
      </c>
      <c r="DZ103" s="44">
        <v>5.9994000000000005</v>
      </c>
      <c r="EA103" s="44">
        <v>7.3393333333333342</v>
      </c>
      <c r="EB103" s="29">
        <v>12</v>
      </c>
      <c r="EC103" s="29" t="str">
        <f>IF(EQ103&lt;EP103,"FALSEE",1)</f>
        <v>FALSEE</v>
      </c>
      <c r="EE103" s="29" t="s">
        <v>2175</v>
      </c>
      <c r="EF103" s="29">
        <v>2.6646602153800001</v>
      </c>
      <c r="EG103" s="29" t="str">
        <f>IF(EF103&lt;0.5,"Depression",IF(EF103&lt;2,"Very gentle",IF(EF103&lt;5,"Gentle",IF(EF103&lt;9,"Moderate",IF(EF103&lt;15,"Strong",IF(EF103&lt;30,"Steep",IF(EF103&lt;1,"Very steep")))))))</f>
        <v>Gentle</v>
      </c>
      <c r="EH103" s="29" t="s">
        <v>2176</v>
      </c>
      <c r="EI103" s="29">
        <v>-1.08769440651</v>
      </c>
      <c r="EJ103" s="43">
        <v>9.2721815109300003</v>
      </c>
      <c r="EK103" s="43">
        <f>VLOOKUP(D103,[1]SoilData!$G$15:$K$237,5,FALSE)</f>
        <v>376.9167979979033</v>
      </c>
      <c r="EL103" s="43">
        <f>VLOOKUP(D103,[1]SoilData!$G$245:$K$451,5,FALSE)</f>
        <v>184.6418072981842</v>
      </c>
      <c r="EM103" s="43">
        <f>VLOOKUP(D103,[1]SoilData!$G$15:$M$238,7,FALSE)</f>
        <v>1.2130000000000001</v>
      </c>
      <c r="EN103" s="43">
        <f>VLOOKUP(D103,[1]SoilData!$G$245:$M$454,7,FALSE)</f>
        <v>0.88300000000000001</v>
      </c>
      <c r="EO103" s="60">
        <f>EM103-EN103</f>
        <v>0.33000000000000007</v>
      </c>
      <c r="EP103" s="44">
        <f>AVERAGE(DZ103:EA103)</f>
        <v>6.6693666666666669</v>
      </c>
      <c r="EQ103" s="44">
        <f>AVERAGE(DX103:DY103)</f>
        <v>4.81643709825528</v>
      </c>
      <c r="ER103" s="43">
        <f>EQ103-EP103</f>
        <v>-1.8529295684113869</v>
      </c>
      <c r="ES103" s="64">
        <f>IF(CU103&gt;0.000001,CU103*352,0)</f>
        <v>591.36</v>
      </c>
      <c r="ET103" s="64">
        <f>IF(DC103&gt;0.0001,DC103*682,0)</f>
        <v>467.65714285714284</v>
      </c>
      <c r="EU103" s="64">
        <f>CY103*795</f>
        <v>0</v>
      </c>
      <c r="EV103" s="64">
        <f>ES103+ET103+EU103</f>
        <v>1059.017142857143</v>
      </c>
      <c r="EW103" s="64">
        <f>IF(AA103="YES",3.5*18.2,0)</f>
        <v>63.699999999999996</v>
      </c>
      <c r="EX103" s="64">
        <f>EV103-EW103</f>
        <v>995.31714285714293</v>
      </c>
    </row>
    <row r="104" spans="1:154" ht="15" x14ac:dyDescent="0.2">
      <c r="A104" s="29" t="s">
        <v>556</v>
      </c>
      <c r="B104" s="29">
        <v>136</v>
      </c>
      <c r="C104" s="29" t="s">
        <v>624</v>
      </c>
      <c r="D104" s="29" t="s">
        <v>322</v>
      </c>
      <c r="E104" s="29" t="str">
        <f>VLOOKUP(D104,Harvest_2017_Formulae!$C$2:$D$968,2,FALSE)</f>
        <v>AYAMANGO</v>
      </c>
      <c r="F104" s="29" t="s">
        <v>196</v>
      </c>
      <c r="G104" s="29">
        <v>0</v>
      </c>
      <c r="H104" s="61" t="str">
        <f>IF(G104&lt;0.05,"Homefield",IF(G104&lt;0.5,"Midfield","outfield"))</f>
        <v>Homefield</v>
      </c>
      <c r="I104" s="29" t="s">
        <v>557</v>
      </c>
      <c r="J104" s="61" t="s">
        <v>2234</v>
      </c>
      <c r="K104" s="61" t="s">
        <v>2234</v>
      </c>
      <c r="L104" s="67">
        <v>0</v>
      </c>
      <c r="O104" s="29" t="s">
        <v>547</v>
      </c>
      <c r="Q104" s="67">
        <v>0</v>
      </c>
      <c r="R104" s="29" t="s">
        <v>547</v>
      </c>
      <c r="U104" s="29" t="s">
        <v>547</v>
      </c>
      <c r="W104" s="29" t="s">
        <v>547</v>
      </c>
      <c r="Z104" s="29" t="s">
        <v>547</v>
      </c>
      <c r="AA104" s="61" t="s">
        <v>548</v>
      </c>
      <c r="AB104" s="29" t="s">
        <v>568</v>
      </c>
      <c r="AC104" s="67">
        <v>0</v>
      </c>
      <c r="AD104" s="29" t="s">
        <v>547</v>
      </c>
      <c r="AF104" s="29" t="s">
        <v>547</v>
      </c>
      <c r="AG104" s="29" t="s">
        <v>547</v>
      </c>
      <c r="AH104" s="29" t="s">
        <v>546</v>
      </c>
      <c r="AI104" s="29" t="s">
        <v>546</v>
      </c>
      <c r="AJ104" s="29" t="s">
        <v>547</v>
      </c>
      <c r="AK104" s="67">
        <v>0</v>
      </c>
      <c r="AL104" s="29" t="s">
        <v>547</v>
      </c>
      <c r="AO104" s="29" t="s">
        <v>547</v>
      </c>
      <c r="AP104" s="29" t="s">
        <v>547</v>
      </c>
      <c r="AQ104" s="4">
        <f>Q104+AK104</f>
        <v>0</v>
      </c>
      <c r="AR104" s="4">
        <f>L104+AC104</f>
        <v>0</v>
      </c>
      <c r="AS104" t="str">
        <f>AQ104&amp;AR104</f>
        <v>00</v>
      </c>
      <c r="AT104" s="49">
        <f>AQ104-AR104</f>
        <v>0</v>
      </c>
      <c r="AU104">
        <v>1</v>
      </c>
      <c r="AV104" s="29" t="s">
        <v>548</v>
      </c>
      <c r="AW104" s="29">
        <v>2</v>
      </c>
      <c r="AX104" s="29" t="s">
        <v>546</v>
      </c>
      <c r="BA104" s="29" t="s">
        <v>548</v>
      </c>
      <c r="BB104" s="29" t="s">
        <v>569</v>
      </c>
      <c r="BC104" s="29">
        <v>2.5</v>
      </c>
      <c r="BD104" s="29">
        <f>AW104+AZ104</f>
        <v>2</v>
      </c>
      <c r="BE104" s="29">
        <f>BD104+BC104</f>
        <v>4.5</v>
      </c>
      <c r="BF104" s="29" t="s">
        <v>548</v>
      </c>
      <c r="BG104" s="29" t="s">
        <v>548</v>
      </c>
      <c r="BH104" s="29" t="s">
        <v>548</v>
      </c>
      <c r="BI104" s="29" t="s">
        <v>546</v>
      </c>
      <c r="BJ104" s="29" t="s">
        <v>546</v>
      </c>
      <c r="BK104" s="29" t="s">
        <v>546</v>
      </c>
      <c r="BL104" s="29">
        <v>4</v>
      </c>
      <c r="BM104" s="29" t="s">
        <v>580</v>
      </c>
      <c r="BN104" s="29">
        <v>5</v>
      </c>
      <c r="BO104" s="29" t="s">
        <v>562</v>
      </c>
      <c r="BP104" s="29">
        <v>12</v>
      </c>
      <c r="BQ104" s="29" t="s">
        <v>580</v>
      </c>
      <c r="BS104" s="29" t="s">
        <v>547</v>
      </c>
      <c r="BU104" s="29" t="s">
        <v>547</v>
      </c>
      <c r="BW104" s="29">
        <f>(BL104*1)+(BN104*0.1)+(BP104*0.01)+(BR104*0.1)+(BT104*0.3)+(BV104*0.4)</f>
        <v>4.62</v>
      </c>
      <c r="BX104" s="29" t="s">
        <v>2219</v>
      </c>
      <c r="BY104" s="29">
        <v>1</v>
      </c>
      <c r="BZ104" s="29">
        <v>1</v>
      </c>
      <c r="CA104" s="29">
        <v>5</v>
      </c>
      <c r="CB104" s="29">
        <v>7</v>
      </c>
      <c r="CC104" s="29">
        <v>0</v>
      </c>
      <c r="CD104" s="29">
        <v>0</v>
      </c>
      <c r="CE104" s="29">
        <v>0</v>
      </c>
      <c r="CF104" s="29" t="s">
        <v>547</v>
      </c>
      <c r="CG104" s="29">
        <f>(CC104*15)+(CD104*0.8)+(CE104*0.3)+((AW104+AZ104)*15)</f>
        <v>30</v>
      </c>
      <c r="CH104" s="29" t="s">
        <v>2220</v>
      </c>
      <c r="CI104" s="29">
        <f>(BL104*1)+(BN104*0.1)+(BP104*0.01)+(BR104*0.1)+(BT104*0.3)+(BV104*0.4)+(CC104*15)+(CD104*0.8)+(CE104*0.3)+((AW104+AZ104)*15)</f>
        <v>34.619999999999997</v>
      </c>
      <c r="CJ104" s="29" t="s">
        <v>546</v>
      </c>
      <c r="CK104" s="29" t="s">
        <v>547</v>
      </c>
      <c r="CL104" s="29" t="s">
        <v>546</v>
      </c>
      <c r="CM104" s="29" t="s">
        <v>547</v>
      </c>
      <c r="CN104" s="29">
        <v>0.25</v>
      </c>
      <c r="CO104" s="29">
        <v>1.25</v>
      </c>
      <c r="CQ104" s="29" t="s">
        <v>548</v>
      </c>
      <c r="CR104" s="29">
        <v>1.75</v>
      </c>
      <c r="CS104" s="29">
        <v>10</v>
      </c>
      <c r="CT104" s="29" t="s">
        <v>551</v>
      </c>
      <c r="CU104" s="30">
        <v>1.3714285714285714</v>
      </c>
      <c r="CW104" s="29">
        <v>999</v>
      </c>
      <c r="CX104" s="29" t="s">
        <v>551</v>
      </c>
      <c r="CY104" s="62"/>
      <c r="CZ104" s="29">
        <v>1.75</v>
      </c>
      <c r="DA104" s="29">
        <v>5</v>
      </c>
      <c r="DB104" s="29" t="s">
        <v>551</v>
      </c>
      <c r="DC104" s="62">
        <v>0.68571428571428572</v>
      </c>
      <c r="DD104" s="29" t="s">
        <v>546</v>
      </c>
      <c r="DE104" s="29" t="s">
        <v>546</v>
      </c>
      <c r="DF104" s="29" t="s">
        <v>546</v>
      </c>
      <c r="DG104" s="29" t="s">
        <v>546</v>
      </c>
      <c r="DH104" s="29" t="s">
        <v>548</v>
      </c>
      <c r="DI104" s="29">
        <v>1</v>
      </c>
      <c r="DJ104" s="29">
        <v>2</v>
      </c>
      <c r="DK104" s="29" t="s">
        <v>625</v>
      </c>
      <c r="DL104" s="29" t="s">
        <v>626</v>
      </c>
      <c r="DM104" s="29">
        <v>-4.2445392608642578</v>
      </c>
      <c r="DN104" s="29">
        <v>35.887638092041016</v>
      </c>
      <c r="DO104" s="29">
        <v>1231.199951171875</v>
      </c>
      <c r="DP104" s="29">
        <v>5</v>
      </c>
      <c r="DQ104" s="29">
        <v>1706031849</v>
      </c>
      <c r="DR104" s="29" t="s">
        <v>627</v>
      </c>
      <c r="DS104" s="31">
        <v>42907.824108796296</v>
      </c>
      <c r="DT104" s="31">
        <v>42907.6875</v>
      </c>
      <c r="DU104" s="31">
        <v>42907.698877314819</v>
      </c>
      <c r="DV104" s="32">
        <v>42788</v>
      </c>
      <c r="DX104" s="44">
        <v>6.1792562724014344</v>
      </c>
      <c r="DY104" s="44">
        <v>5.8872759856630843</v>
      </c>
      <c r="DZ104" s="44">
        <v>5.7438095238095235</v>
      </c>
      <c r="EA104" s="44">
        <v>5.4795238095238101</v>
      </c>
      <c r="EC104" s="29">
        <f>IF(EQ104&lt;EP104,"FALSEE",1)</f>
        <v>1</v>
      </c>
      <c r="EE104" s="29" t="s">
        <v>2171</v>
      </c>
      <c r="EF104" s="29">
        <v>2.25062417984</v>
      </c>
      <c r="EG104" s="29" t="str">
        <f>IF(EF104&lt;0.5,"Depression",IF(EF104&lt;2,"Very gentle",IF(EF104&lt;5,"Gentle",IF(EF104&lt;9,"Moderate",IF(EF104&lt;15,"Strong",IF(EF104&lt;30,"Steep",IF(EF104&lt;1,"Very steep")))))))</f>
        <v>Gentle</v>
      </c>
      <c r="EH104" s="29" t="s">
        <v>2177</v>
      </c>
      <c r="EI104" s="29">
        <v>0.54385989904400001</v>
      </c>
      <c r="EJ104" s="43">
        <v>7.9989366531400004</v>
      </c>
      <c r="EK104" s="43">
        <f>VLOOKUP(D104,[1]SoilData!$G$15:$K$237,5,FALSE)</f>
        <v>395.02965944063055</v>
      </c>
      <c r="EL104" s="43">
        <f>VLOOKUP(D104,[1]SoilData!$G$245:$K$451,5,FALSE)</f>
        <v>110.79706449321955</v>
      </c>
      <c r="EM104" s="43">
        <f>VLOOKUP(D104,[1]SoilData!$G$15:$M$238,7,FALSE)</f>
        <v>1.151</v>
      </c>
      <c r="EN104" s="43">
        <f>VLOOKUP(D104,[1]SoilData!$G$245:$M$454,7,FALSE)</f>
        <v>0.94499999999999995</v>
      </c>
      <c r="EO104" s="60">
        <f>EM104-EN104</f>
        <v>0.20600000000000007</v>
      </c>
      <c r="EP104" s="44">
        <f>AVERAGE(DZ104:EA104)</f>
        <v>5.6116666666666664</v>
      </c>
      <c r="EQ104" s="44">
        <f>AVERAGE(DX104:DY104)</f>
        <v>6.0332661290322598</v>
      </c>
      <c r="ER104" s="43">
        <f>EQ104-EP104</f>
        <v>0.42159946236559342</v>
      </c>
      <c r="ES104" s="64">
        <f>IF(CU104&gt;0.000001,CU104*352,0)</f>
        <v>482.74285714285713</v>
      </c>
      <c r="ET104" s="64">
        <f>IF(DC104&gt;0.0001,DC104*682,0)</f>
        <v>467.65714285714284</v>
      </c>
      <c r="EU104" s="64">
        <f>CY104*795</f>
        <v>0</v>
      </c>
      <c r="EV104" s="64">
        <f>ES104+ET104+EU104</f>
        <v>950.4</v>
      </c>
      <c r="EW104" s="64">
        <f>IF(AA104="YES",3.5*18.2,0)</f>
        <v>63.699999999999996</v>
      </c>
      <c r="EX104" s="64">
        <f>EV104-EW104</f>
        <v>886.69999999999993</v>
      </c>
    </row>
    <row r="105" spans="1:154" ht="15" x14ac:dyDescent="0.2">
      <c r="A105" s="29" t="s">
        <v>556</v>
      </c>
      <c r="B105" s="29">
        <v>204</v>
      </c>
      <c r="C105" s="29" t="s">
        <v>407</v>
      </c>
      <c r="D105" s="29" t="s">
        <v>407</v>
      </c>
      <c r="E105" s="29" t="str">
        <f>VLOOKUP(D105,Harvest_2017_Formulae!$C$2:$D$968,2,FALSE)</f>
        <v>TSAMASI</v>
      </c>
      <c r="F105" s="29" t="s">
        <v>1014</v>
      </c>
      <c r="G105" s="29">
        <v>0</v>
      </c>
      <c r="H105" s="61" t="str">
        <f>IF(G105&lt;0.05,"Homefield",IF(G105&lt;0.5,"Midfield","outfield"))</f>
        <v>Homefield</v>
      </c>
      <c r="I105" s="29" t="s">
        <v>557</v>
      </c>
      <c r="J105" s="61" t="s">
        <v>2233</v>
      </c>
      <c r="K105" s="61" t="s">
        <v>2233</v>
      </c>
      <c r="L105" s="67">
        <v>0</v>
      </c>
      <c r="O105" s="29" t="s">
        <v>547</v>
      </c>
      <c r="Q105" s="67">
        <v>0</v>
      </c>
      <c r="R105" s="29" t="s">
        <v>547</v>
      </c>
      <c r="U105" s="29" t="s">
        <v>547</v>
      </c>
      <c r="W105" s="29" t="s">
        <v>547</v>
      </c>
      <c r="Z105" s="29" t="s">
        <v>547</v>
      </c>
      <c r="AA105" s="61" t="s">
        <v>546</v>
      </c>
      <c r="AB105" s="29" t="s">
        <v>547</v>
      </c>
      <c r="AC105" s="67">
        <v>0</v>
      </c>
      <c r="AD105" s="29" t="s">
        <v>547</v>
      </c>
      <c r="AF105" s="29" t="s">
        <v>547</v>
      </c>
      <c r="AG105" s="29" t="s">
        <v>547</v>
      </c>
      <c r="AH105" s="29" t="s">
        <v>546</v>
      </c>
      <c r="AI105" s="29" t="s">
        <v>546</v>
      </c>
      <c r="AJ105" s="29" t="s">
        <v>547</v>
      </c>
      <c r="AK105" s="67">
        <v>0</v>
      </c>
      <c r="AL105" s="29" t="s">
        <v>547</v>
      </c>
      <c r="AO105" s="29" t="s">
        <v>547</v>
      </c>
      <c r="AP105" s="29" t="s">
        <v>547</v>
      </c>
      <c r="AQ105" s="4">
        <f>Q105+AK105</f>
        <v>0</v>
      </c>
      <c r="AR105" s="4">
        <f>L105+AC105</f>
        <v>0</v>
      </c>
      <c r="AS105" t="str">
        <f>AQ105&amp;AR105</f>
        <v>00</v>
      </c>
      <c r="AT105" s="49">
        <f>AQ105-AR105</f>
        <v>0</v>
      </c>
      <c r="AU105">
        <v>1</v>
      </c>
      <c r="AV105" s="29" t="s">
        <v>548</v>
      </c>
      <c r="AW105" s="29">
        <v>3</v>
      </c>
      <c r="AX105" s="29" t="s">
        <v>546</v>
      </c>
      <c r="BA105" s="29" t="s">
        <v>546</v>
      </c>
      <c r="BB105" s="29" t="s">
        <v>547</v>
      </c>
      <c r="BD105" s="29">
        <f>AW105+AZ105</f>
        <v>3</v>
      </c>
      <c r="BE105" s="29">
        <f>BD105+BC105</f>
        <v>3</v>
      </c>
      <c r="BF105" s="29" t="s">
        <v>548</v>
      </c>
      <c r="BG105" s="29" t="s">
        <v>548</v>
      </c>
      <c r="BH105" s="29" t="s">
        <v>548</v>
      </c>
      <c r="BI105" s="29" t="s">
        <v>548</v>
      </c>
      <c r="BJ105" s="29" t="s">
        <v>546</v>
      </c>
      <c r="BK105" s="29" t="s">
        <v>546</v>
      </c>
      <c r="BL105" s="29">
        <v>4</v>
      </c>
      <c r="BM105" s="29" t="s">
        <v>549</v>
      </c>
      <c r="BN105" s="29">
        <v>2</v>
      </c>
      <c r="BO105" s="29" t="s">
        <v>549</v>
      </c>
      <c r="BP105" s="29">
        <v>3</v>
      </c>
      <c r="BQ105" s="29" t="s">
        <v>549</v>
      </c>
      <c r="BR105" s="29">
        <v>5</v>
      </c>
      <c r="BS105" s="29" t="s">
        <v>549</v>
      </c>
      <c r="BU105" s="29" t="s">
        <v>547</v>
      </c>
      <c r="BW105" s="29">
        <f>(BL105*1)+(BN105*0.1)+(BP105*0.01)+(BR105*0.1)+(BT105*0.3)+(BV105*0.4)</f>
        <v>4.7300000000000004</v>
      </c>
      <c r="BX105" s="29" t="s">
        <v>2219</v>
      </c>
      <c r="BY105" s="29">
        <v>2</v>
      </c>
      <c r="BZ105" s="29">
        <v>2</v>
      </c>
      <c r="CA105" s="29">
        <v>4</v>
      </c>
      <c r="CB105" s="29">
        <v>8</v>
      </c>
      <c r="CC105" s="29">
        <v>0</v>
      </c>
      <c r="CD105" s="29">
        <v>0</v>
      </c>
      <c r="CE105" s="29">
        <v>1</v>
      </c>
      <c r="CF105" s="29" t="s">
        <v>547</v>
      </c>
      <c r="CG105" s="29">
        <f>(CC105*15)+(CD105*0.8)+(CE105*0.3)+((AW105+AZ105)*15)</f>
        <v>45.3</v>
      </c>
      <c r="CH105" s="29" t="s">
        <v>2220</v>
      </c>
      <c r="CI105" s="29">
        <f>(BL105*1)+(BN105*0.1)+(BP105*0.01)+(BR105*0.1)+(BT105*0.3)+(BV105*0.4)+(CC105*15)+(CD105*0.8)+(CE105*0.3)+((AW105+AZ105)*15)</f>
        <v>50.03</v>
      </c>
      <c r="CJ105" s="29" t="s">
        <v>546</v>
      </c>
      <c r="CK105" s="29" t="s">
        <v>547</v>
      </c>
      <c r="CL105" s="29" t="s">
        <v>546</v>
      </c>
      <c r="CM105" s="29" t="s">
        <v>547</v>
      </c>
      <c r="CN105" s="29">
        <v>0.25</v>
      </c>
      <c r="CO105" s="29">
        <v>3</v>
      </c>
      <c r="CQ105" s="29" t="s">
        <v>546</v>
      </c>
      <c r="CR105" s="29">
        <v>3</v>
      </c>
      <c r="CS105" s="29">
        <v>7</v>
      </c>
      <c r="CT105" s="29" t="s">
        <v>551</v>
      </c>
      <c r="CU105" s="30">
        <v>0.56000000000000005</v>
      </c>
      <c r="CW105" s="29">
        <v>999</v>
      </c>
      <c r="CX105" s="29" t="s">
        <v>551</v>
      </c>
      <c r="CY105" s="62"/>
      <c r="CZ105" s="29">
        <v>3</v>
      </c>
      <c r="DA105" s="29">
        <v>1.5</v>
      </c>
      <c r="DB105" s="29" t="s">
        <v>551</v>
      </c>
      <c r="DC105" s="62">
        <v>0.12</v>
      </c>
      <c r="DD105" s="29" t="s">
        <v>546</v>
      </c>
      <c r="DE105" s="29" t="s">
        <v>546</v>
      </c>
      <c r="DF105" s="29" t="s">
        <v>546</v>
      </c>
      <c r="DG105" s="29" t="s">
        <v>546</v>
      </c>
      <c r="DH105" s="29" t="s">
        <v>546</v>
      </c>
      <c r="DI105" s="29">
        <v>0</v>
      </c>
      <c r="DJ105" s="29">
        <v>2</v>
      </c>
      <c r="DK105" s="29" t="s">
        <v>1382</v>
      </c>
      <c r="DL105" s="29" t="s">
        <v>1383</v>
      </c>
      <c r="DM105" s="29">
        <v>-4.2944440841674805</v>
      </c>
      <c r="DN105" s="29">
        <v>35.815750122070312</v>
      </c>
      <c r="DO105" s="29">
        <v>1349.9000244140625</v>
      </c>
      <c r="DP105" s="29">
        <v>5</v>
      </c>
      <c r="DQ105" s="29">
        <v>1706031849</v>
      </c>
      <c r="DR105" s="29" t="s">
        <v>1384</v>
      </c>
      <c r="DS105" s="31">
        <v>42948.908541666664</v>
      </c>
      <c r="DT105" s="31">
        <v>42938.591377314813</v>
      </c>
      <c r="DU105" s="31">
        <v>42938.596782407403</v>
      </c>
      <c r="DV105" s="32">
        <v>42796</v>
      </c>
      <c r="DX105" s="44">
        <v>3.3471645919778705</v>
      </c>
      <c r="DY105" s="44">
        <v>3.2076994006454593</v>
      </c>
      <c r="DZ105" s="44">
        <v>2.332872291378516</v>
      </c>
      <c r="EA105" s="44">
        <v>3.245735361917935</v>
      </c>
      <c r="EC105" s="29">
        <f>IF(EQ105&lt;EP105,"FALSEE",1)</f>
        <v>1</v>
      </c>
      <c r="EE105" s="29" t="s">
        <v>2174</v>
      </c>
      <c r="EF105" s="29">
        <v>5.9767947197</v>
      </c>
      <c r="EG105" s="29" t="str">
        <f>IF(EF105&lt;0.5,"Depression",IF(EF105&lt;2,"Very gentle",IF(EF105&lt;5,"Gentle",IF(EF105&lt;9,"Moderate",IF(EF105&lt;15,"Strong",IF(EF105&lt;30,"Steep",IF(EF105&lt;1,"Very steep")))))))</f>
        <v>Moderate</v>
      </c>
      <c r="EH105" s="29" t="s">
        <v>2177</v>
      </c>
      <c r="EI105" s="29">
        <v>0.63450175523800001</v>
      </c>
      <c r="EJ105" s="43">
        <v>9.2250022888200007</v>
      </c>
      <c r="EK105" s="43">
        <f>VLOOKUP(D105,[1]SoilData!$G$15:$K$237,5,FALSE)</f>
        <v>233.61193895927704</v>
      </c>
      <c r="EL105" s="43">
        <f>VLOOKUP(D105,[1]SoilData!$G$245:$K$451,5,FALSE)</f>
        <v>228.79774399037726</v>
      </c>
      <c r="EM105" s="43">
        <f>VLOOKUP(D105,[1]SoilData!$G$15:$M$238,7,FALSE)</f>
        <v>1.155</v>
      </c>
      <c r="EN105" s="43">
        <f>VLOOKUP(D105,[1]SoilData!$G$245:$M$454,7,FALSE)</f>
        <v>1.119</v>
      </c>
      <c r="EO105" s="60">
        <f>EM105-EN105</f>
        <v>3.6000000000000032E-2</v>
      </c>
      <c r="EP105" s="44">
        <f>AVERAGE(DZ105:EA105)</f>
        <v>2.7893038266482257</v>
      </c>
      <c r="EQ105" s="44">
        <f>AVERAGE(DX105:DY105)</f>
        <v>3.2774319963116652</v>
      </c>
      <c r="ER105" s="43">
        <f>EQ105-EP105</f>
        <v>0.48812816966343942</v>
      </c>
      <c r="ES105" s="64">
        <f>IF(CU105&gt;0.000001,CU105*352,0)</f>
        <v>197.12</v>
      </c>
      <c r="ET105" s="64">
        <f>IF(DC105&gt;0.0001,DC105*682,0)</f>
        <v>81.84</v>
      </c>
      <c r="EU105" s="64">
        <f>CY105*795</f>
        <v>0</v>
      </c>
      <c r="EV105" s="64">
        <f>ES105+ET105+EU105</f>
        <v>278.96000000000004</v>
      </c>
      <c r="EW105" s="64">
        <f>IF(AA105="YES",3.5*18.2,0)</f>
        <v>0</v>
      </c>
      <c r="EX105" s="64">
        <f>EV105-EW105</f>
        <v>278.96000000000004</v>
      </c>
    </row>
    <row r="106" spans="1:154" ht="15" x14ac:dyDescent="0.2">
      <c r="A106" s="29" t="s">
        <v>789</v>
      </c>
      <c r="B106" s="29">
        <v>60</v>
      </c>
      <c r="C106" s="29" t="s">
        <v>430</v>
      </c>
      <c r="D106" s="29" t="s">
        <v>430</v>
      </c>
      <c r="E106" s="29" t="str">
        <f>VLOOKUP(D106,Harvest_2017_Formulae!$C$2:$D$968,2,FALSE)</f>
        <v>SABILO</v>
      </c>
      <c r="F106" s="29" t="s">
        <v>1175</v>
      </c>
      <c r="G106" s="29">
        <v>5.000000074505806E-2</v>
      </c>
      <c r="H106" s="61" t="str">
        <f>IF(G106&lt;0.05,"Homefield",IF(G106&lt;0.5,"Midfield","outfield"))</f>
        <v>Midfield</v>
      </c>
      <c r="I106" s="29" t="s">
        <v>557</v>
      </c>
      <c r="J106" s="61" t="s">
        <v>2233</v>
      </c>
      <c r="K106" s="61" t="s">
        <v>2233</v>
      </c>
      <c r="L106" s="67">
        <v>0</v>
      </c>
      <c r="O106" s="29" t="s">
        <v>547</v>
      </c>
      <c r="Q106" s="67">
        <v>0</v>
      </c>
      <c r="R106" s="29" t="s">
        <v>547</v>
      </c>
      <c r="T106" s="29">
        <v>0</v>
      </c>
      <c r="U106" s="29" t="s">
        <v>1192</v>
      </c>
      <c r="W106" s="29" t="s">
        <v>561</v>
      </c>
      <c r="Z106" s="29" t="s">
        <v>547</v>
      </c>
      <c r="AA106" s="61" t="s">
        <v>548</v>
      </c>
      <c r="AB106" s="29" t="s">
        <v>568</v>
      </c>
      <c r="AC106" s="67">
        <v>0</v>
      </c>
      <c r="AD106" s="29" t="s">
        <v>547</v>
      </c>
      <c r="AF106" s="29" t="s">
        <v>547</v>
      </c>
      <c r="AG106" s="29" t="s">
        <v>547</v>
      </c>
      <c r="AH106" s="29" t="s">
        <v>548</v>
      </c>
      <c r="AI106" s="29" t="s">
        <v>546</v>
      </c>
      <c r="AK106" s="67">
        <v>0</v>
      </c>
      <c r="AL106" s="29" t="s">
        <v>547</v>
      </c>
      <c r="AO106" s="29" t="s">
        <v>547</v>
      </c>
      <c r="AP106" s="29" t="s">
        <v>547</v>
      </c>
      <c r="AQ106" s="4">
        <f>Q106+AK106</f>
        <v>0</v>
      </c>
      <c r="AR106" s="4">
        <f>L106+AC106</f>
        <v>0</v>
      </c>
      <c r="AS106" t="str">
        <f>AQ106&amp;AR106</f>
        <v>00</v>
      </c>
      <c r="AT106" s="49">
        <f>AQ106-AR106</f>
        <v>0</v>
      </c>
      <c r="AU106">
        <v>1</v>
      </c>
      <c r="AV106" s="29" t="s">
        <v>548</v>
      </c>
      <c r="AW106" s="29">
        <v>0.5</v>
      </c>
      <c r="AX106" s="29" t="s">
        <v>548</v>
      </c>
      <c r="AY106" s="29">
        <v>1</v>
      </c>
      <c r="AZ106" s="29">
        <v>5</v>
      </c>
      <c r="BA106" s="29" t="s">
        <v>546</v>
      </c>
      <c r="BB106" s="29" t="s">
        <v>547</v>
      </c>
      <c r="BD106" s="29">
        <f>AW106+AZ106</f>
        <v>5.5</v>
      </c>
      <c r="BE106" s="29">
        <f>BD106+BC106</f>
        <v>5.5</v>
      </c>
      <c r="BF106" s="29" t="s">
        <v>548</v>
      </c>
      <c r="BG106" s="29" t="s">
        <v>548</v>
      </c>
      <c r="BH106" s="29" t="s">
        <v>548</v>
      </c>
      <c r="BI106" s="29" t="s">
        <v>548</v>
      </c>
      <c r="BJ106" s="29" t="s">
        <v>546</v>
      </c>
      <c r="BK106" s="29" t="s">
        <v>546</v>
      </c>
      <c r="BL106" s="29">
        <v>3</v>
      </c>
      <c r="BM106" s="29" t="s">
        <v>580</v>
      </c>
      <c r="BN106" s="29">
        <v>12</v>
      </c>
      <c r="BO106" s="29" t="s">
        <v>580</v>
      </c>
      <c r="BP106" s="29">
        <v>4</v>
      </c>
      <c r="BQ106" s="29" t="s">
        <v>580</v>
      </c>
      <c r="BR106" s="29">
        <v>5</v>
      </c>
      <c r="BS106" s="29" t="s">
        <v>580</v>
      </c>
      <c r="BU106" s="29" t="s">
        <v>547</v>
      </c>
      <c r="BW106" s="29">
        <f>(BL106*1)+(BN106*0.1)+(BP106*0.01)+(BR106*0.1)+(BT106*0.3)+(BV106*0.4)</f>
        <v>4.74</v>
      </c>
      <c r="BX106" s="29" t="s">
        <v>2219</v>
      </c>
      <c r="BY106" s="29">
        <v>4</v>
      </c>
      <c r="BZ106" s="29">
        <v>3</v>
      </c>
      <c r="CA106" s="29">
        <v>3</v>
      </c>
      <c r="CB106" s="29">
        <v>10</v>
      </c>
      <c r="CC106" s="29">
        <v>0</v>
      </c>
      <c r="CD106" s="29">
        <v>0</v>
      </c>
      <c r="CE106" s="29">
        <v>0</v>
      </c>
      <c r="CG106" s="29">
        <f>(CC106*15)+(CD106*0.8)+(CE106*0.3)+((AW106+AZ106)*15)</f>
        <v>82.5</v>
      </c>
      <c r="CH106" s="29" t="s">
        <v>2221</v>
      </c>
      <c r="CI106" s="29">
        <f>(BL106*1)+(BN106*0.1)+(BP106*0.01)+(BR106*0.1)+(BT106*0.3)+(BV106*0.4)+(CC106*15)+(CD106*0.8)+(CE106*0.3)+((AW106+AZ106)*15)</f>
        <v>87.24</v>
      </c>
      <c r="CJ106" s="29" t="s">
        <v>548</v>
      </c>
      <c r="CK106" s="29" t="s">
        <v>797</v>
      </c>
      <c r="CL106" s="29" t="s">
        <v>548</v>
      </c>
      <c r="CM106" s="29" t="s">
        <v>793</v>
      </c>
      <c r="CN106" s="29">
        <v>0.5</v>
      </c>
      <c r="CO106" s="29">
        <v>5</v>
      </c>
      <c r="CP106" s="29">
        <v>0</v>
      </c>
      <c r="CQ106" s="29" t="s">
        <v>548</v>
      </c>
      <c r="CS106" s="29">
        <v>999</v>
      </c>
      <c r="CT106" s="29" t="s">
        <v>551</v>
      </c>
      <c r="CW106" s="29">
        <v>999</v>
      </c>
      <c r="CX106" s="29" t="s">
        <v>551</v>
      </c>
      <c r="CY106" s="62"/>
      <c r="DA106" s="29">
        <v>999</v>
      </c>
      <c r="DB106" s="29" t="s">
        <v>551</v>
      </c>
      <c r="DC106" s="62"/>
      <c r="DD106" s="29" t="s">
        <v>546</v>
      </c>
      <c r="DE106" s="29" t="s">
        <v>546</v>
      </c>
      <c r="DF106" s="29" t="s">
        <v>546</v>
      </c>
      <c r="DG106" s="29" t="s">
        <v>546</v>
      </c>
      <c r="DH106" s="29" t="s">
        <v>546</v>
      </c>
      <c r="DI106" s="29">
        <v>0</v>
      </c>
      <c r="DJ106" s="29">
        <v>3</v>
      </c>
      <c r="DK106" s="29" t="s">
        <v>1193</v>
      </c>
      <c r="DL106" s="29" t="s">
        <v>1194</v>
      </c>
      <c r="DM106" s="29">
        <v>-4.3434734344482422</v>
      </c>
      <c r="DN106" s="29">
        <v>35.488506317138672</v>
      </c>
      <c r="DO106" s="29">
        <v>1608.9000244140625</v>
      </c>
      <c r="DP106" s="29">
        <v>15</v>
      </c>
      <c r="DQ106" s="29">
        <v>1705231439</v>
      </c>
      <c r="DR106" s="29" t="s">
        <v>1195</v>
      </c>
      <c r="DS106" s="31">
        <v>42923.387037037042</v>
      </c>
      <c r="DT106" s="31">
        <v>42893.583368055552</v>
      </c>
      <c r="DU106" s="31">
        <v>42923.386736111112</v>
      </c>
      <c r="DV106" s="32">
        <v>42778</v>
      </c>
      <c r="DX106" s="44">
        <v>2.9243727598566309</v>
      </c>
      <c r="DY106" s="44">
        <v>3.5163799283154122</v>
      </c>
      <c r="DZ106" s="44">
        <v>1.5242361111111113</v>
      </c>
      <c r="EA106" s="44">
        <v>2.562013888888889</v>
      </c>
      <c r="EC106" s="29">
        <f>IF(EQ106&lt;EP106,"FALSEE",1)</f>
        <v>1</v>
      </c>
      <c r="EE106" s="29" t="s">
        <v>2171</v>
      </c>
      <c r="EF106" s="29">
        <v>2.7825758457199998</v>
      </c>
      <c r="EG106" s="29" t="str">
        <f>IF(EF106&lt;0.5,"Depression",IF(EF106&lt;2,"Very gentle",IF(EF106&lt;5,"Gentle",IF(EF106&lt;9,"Moderate",IF(EF106&lt;15,"Strong",IF(EF106&lt;30,"Steep",IF(EF106&lt;1,"Very steep")))))))</f>
        <v>Gentle</v>
      </c>
      <c r="EH106" s="29" t="s">
        <v>2173</v>
      </c>
      <c r="EI106" s="29">
        <v>-0.362559139729</v>
      </c>
      <c r="EJ106" s="43">
        <v>9.3342838287400003</v>
      </c>
      <c r="EK106" s="43"/>
      <c r="EL106" s="43"/>
      <c r="EM106" s="43"/>
      <c r="EN106" s="43"/>
      <c r="EO106" s="60"/>
      <c r="EP106" s="44">
        <f>AVERAGE(DZ106:EA106)</f>
        <v>2.0431250000000003</v>
      </c>
      <c r="EQ106" s="44">
        <f>AVERAGE(DX106:DY106)</f>
        <v>3.2203763440860218</v>
      </c>
      <c r="ER106" s="43">
        <f>EQ106-EP106</f>
        <v>1.1772513440860215</v>
      </c>
      <c r="ES106" s="64">
        <f>IF(CU106&gt;0.000001,CU106*352,0)</f>
        <v>0</v>
      </c>
      <c r="ET106" s="64">
        <f>IF(DC106&gt;0.0001,DC106*682,0)</f>
        <v>0</v>
      </c>
      <c r="EU106" s="64">
        <f>CY106*795</f>
        <v>0</v>
      </c>
      <c r="EV106" s="64">
        <f>ES106+ET106+EU106</f>
        <v>0</v>
      </c>
      <c r="EW106" s="64">
        <f>IF(AA106="YES",3.5*18.2,0)</f>
        <v>63.699999999999996</v>
      </c>
      <c r="EX106" s="64">
        <f>EV106-EW106</f>
        <v>-63.699999999999996</v>
      </c>
    </row>
    <row r="107" spans="1:154" s="57" customFormat="1" ht="15" x14ac:dyDescent="0.2">
      <c r="A107" s="34" t="s">
        <v>556</v>
      </c>
      <c r="B107" s="34">
        <v>135</v>
      </c>
      <c r="C107" s="34" t="s">
        <v>91</v>
      </c>
      <c r="D107" s="34" t="s">
        <v>91</v>
      </c>
      <c r="E107" s="29" t="str">
        <f>VLOOKUP(D107,Harvest_2017_Formulae!$C$2:$D$968,2,FALSE)</f>
        <v>AYAMANGO</v>
      </c>
      <c r="F107" s="34" t="s">
        <v>196</v>
      </c>
      <c r="G107" s="34">
        <v>1</v>
      </c>
      <c r="H107" s="61" t="str">
        <f>IF(G107&lt;0.05,"Homefield",IF(G107&lt;0.5,"Midfield","outfield"))</f>
        <v>outfield</v>
      </c>
      <c r="I107" s="34" t="s">
        <v>557</v>
      </c>
      <c r="J107" s="61" t="s">
        <v>2233</v>
      </c>
      <c r="K107" s="61" t="s">
        <v>2233</v>
      </c>
      <c r="L107" s="67">
        <v>0</v>
      </c>
      <c r="M107" s="34"/>
      <c r="N107" s="34"/>
      <c r="O107" s="34" t="s">
        <v>547</v>
      </c>
      <c r="P107" s="34"/>
      <c r="Q107" s="67">
        <v>0</v>
      </c>
      <c r="R107" s="34" t="s">
        <v>547</v>
      </c>
      <c r="S107" s="34"/>
      <c r="T107" s="34"/>
      <c r="U107" s="34" t="s">
        <v>547</v>
      </c>
      <c r="V107" s="34"/>
      <c r="W107" s="34" t="s">
        <v>547</v>
      </c>
      <c r="X107" s="34"/>
      <c r="Y107" s="34"/>
      <c r="Z107" s="34" t="s">
        <v>547</v>
      </c>
      <c r="AA107" s="61" t="s">
        <v>548</v>
      </c>
      <c r="AB107" s="34" t="s">
        <v>568</v>
      </c>
      <c r="AC107" s="67">
        <v>0</v>
      </c>
      <c r="AD107" s="34" t="s">
        <v>547</v>
      </c>
      <c r="AE107" s="34"/>
      <c r="AF107" s="34" t="s">
        <v>547</v>
      </c>
      <c r="AG107" s="34" t="s">
        <v>547</v>
      </c>
      <c r="AH107" s="34" t="s">
        <v>548</v>
      </c>
      <c r="AI107" s="34" t="s">
        <v>546</v>
      </c>
      <c r="AJ107" s="34" t="s">
        <v>547</v>
      </c>
      <c r="AK107" s="67">
        <v>0</v>
      </c>
      <c r="AL107" s="34" t="s">
        <v>547</v>
      </c>
      <c r="AM107" s="34"/>
      <c r="AN107" s="34"/>
      <c r="AO107" s="34" t="s">
        <v>547</v>
      </c>
      <c r="AP107" s="34" t="s">
        <v>547</v>
      </c>
      <c r="AQ107" s="4">
        <f>Q107+AK107</f>
        <v>0</v>
      </c>
      <c r="AR107" s="4">
        <f>L107+AC107</f>
        <v>0</v>
      </c>
      <c r="AS107" t="str">
        <f>AQ107&amp;AR107</f>
        <v>00</v>
      </c>
      <c r="AT107" s="49">
        <f>AQ107-AR107</f>
        <v>0</v>
      </c>
      <c r="AU107">
        <v>1</v>
      </c>
      <c r="AV107" s="34" t="s">
        <v>548</v>
      </c>
      <c r="AW107" s="34">
        <v>1</v>
      </c>
      <c r="AX107" s="34" t="s">
        <v>548</v>
      </c>
      <c r="AY107" s="34">
        <v>1</v>
      </c>
      <c r="AZ107" s="34">
        <v>2</v>
      </c>
      <c r="BA107" s="34" t="s">
        <v>548</v>
      </c>
      <c r="BB107" s="34" t="s">
        <v>569</v>
      </c>
      <c r="BC107" s="34">
        <v>4</v>
      </c>
      <c r="BD107" s="29">
        <f>AW107+AZ107</f>
        <v>3</v>
      </c>
      <c r="BE107" s="29">
        <f>BD107+BC107</f>
        <v>7</v>
      </c>
      <c r="BF107" s="34" t="s">
        <v>548</v>
      </c>
      <c r="BG107" s="34" t="s">
        <v>548</v>
      </c>
      <c r="BH107" s="34" t="s">
        <v>548</v>
      </c>
      <c r="BI107" s="34" t="s">
        <v>546</v>
      </c>
      <c r="BJ107" s="34" t="s">
        <v>546</v>
      </c>
      <c r="BK107" s="34" t="s">
        <v>546</v>
      </c>
      <c r="BL107" s="34">
        <v>4</v>
      </c>
      <c r="BM107" s="34" t="s">
        <v>549</v>
      </c>
      <c r="BN107" s="34">
        <v>9</v>
      </c>
      <c r="BO107" s="34" t="s">
        <v>549</v>
      </c>
      <c r="BP107" s="34">
        <v>5</v>
      </c>
      <c r="BQ107" s="34" t="s">
        <v>549</v>
      </c>
      <c r="BR107" s="34"/>
      <c r="BS107" s="34" t="s">
        <v>547</v>
      </c>
      <c r="BT107" s="34"/>
      <c r="BU107" s="34" t="s">
        <v>547</v>
      </c>
      <c r="BV107" s="34"/>
      <c r="BW107" s="29">
        <f>(BL107*1)+(BN107*0.1)+(BP107*0.01)+(BR107*0.1)+(BT107*0.3)+(BV107*0.4)</f>
        <v>4.95</v>
      </c>
      <c r="BX107" s="29" t="s">
        <v>2219</v>
      </c>
      <c r="BY107" s="34">
        <v>3</v>
      </c>
      <c r="BZ107" s="34">
        <v>2</v>
      </c>
      <c r="CA107" s="34">
        <v>1</v>
      </c>
      <c r="CB107" s="34">
        <v>6</v>
      </c>
      <c r="CC107" s="34">
        <v>0</v>
      </c>
      <c r="CD107" s="34">
        <v>1</v>
      </c>
      <c r="CE107" s="34">
        <v>1</v>
      </c>
      <c r="CF107" s="34" t="s">
        <v>547</v>
      </c>
      <c r="CG107" s="29">
        <f>(CC107*15)+(CD107*0.8)+(CE107*0.3)+((AW107+AZ107)*15)</f>
        <v>46.1</v>
      </c>
      <c r="CH107" s="29" t="s">
        <v>2220</v>
      </c>
      <c r="CI107" s="29">
        <f>(BL107*1)+(BN107*0.1)+(BP107*0.01)+(BR107*0.1)+(BT107*0.3)+(BV107*0.4)+(CC107*15)+(CD107*0.8)+(CE107*0.3)+((AW107+AZ107)*15)</f>
        <v>51.05</v>
      </c>
      <c r="CJ107" s="34" t="s">
        <v>548</v>
      </c>
      <c r="CK107" s="34" t="s">
        <v>563</v>
      </c>
      <c r="CL107" s="34" t="s">
        <v>546</v>
      </c>
      <c r="CM107" s="34" t="s">
        <v>547</v>
      </c>
      <c r="CN107" s="34">
        <v>0.5</v>
      </c>
      <c r="CO107" s="34">
        <v>1.5</v>
      </c>
      <c r="CP107" s="34"/>
      <c r="CQ107" s="34" t="s">
        <v>548</v>
      </c>
      <c r="CR107" s="34">
        <v>2</v>
      </c>
      <c r="CS107" s="34">
        <v>20</v>
      </c>
      <c r="CT107" s="34" t="s">
        <v>551</v>
      </c>
      <c r="CU107" s="34">
        <v>2.4</v>
      </c>
      <c r="CV107" s="34"/>
      <c r="CW107" s="34">
        <v>999</v>
      </c>
      <c r="CX107" s="34" t="s">
        <v>551</v>
      </c>
      <c r="CY107" s="56"/>
      <c r="CZ107" s="34">
        <v>2</v>
      </c>
      <c r="DA107" s="34">
        <v>6</v>
      </c>
      <c r="DB107" s="34" t="s">
        <v>551</v>
      </c>
      <c r="DC107" s="56">
        <v>0.72</v>
      </c>
      <c r="DD107" s="34" t="s">
        <v>546</v>
      </c>
      <c r="DE107" s="34" t="s">
        <v>546</v>
      </c>
      <c r="DF107" s="34" t="s">
        <v>546</v>
      </c>
      <c r="DG107" s="34" t="s">
        <v>546</v>
      </c>
      <c r="DH107" s="34" t="s">
        <v>546</v>
      </c>
      <c r="DI107" s="34">
        <v>0</v>
      </c>
      <c r="DJ107" s="34">
        <v>3</v>
      </c>
      <c r="DK107" s="34" t="s">
        <v>641</v>
      </c>
      <c r="DL107" s="34" t="s">
        <v>642</v>
      </c>
      <c r="DM107" s="34">
        <v>-4.2432055473327637</v>
      </c>
      <c r="DN107" s="34">
        <v>35.889610290527344</v>
      </c>
      <c r="DO107" s="34">
        <v>1224.300048828125</v>
      </c>
      <c r="DP107" s="34">
        <v>5</v>
      </c>
      <c r="DQ107" s="34">
        <v>1706031849</v>
      </c>
      <c r="DR107" s="34" t="s">
        <v>643</v>
      </c>
      <c r="DS107" s="35">
        <v>42907.824097222227</v>
      </c>
      <c r="DT107" s="35">
        <v>42907.641145833331</v>
      </c>
      <c r="DU107" s="35">
        <v>42907.684432870374</v>
      </c>
      <c r="DV107" s="36">
        <v>42769</v>
      </c>
      <c r="DW107" s="34"/>
      <c r="DX107" s="44">
        <v>4.0403591470258142</v>
      </c>
      <c r="DY107" s="44">
        <v>5.0470707070707075</v>
      </c>
      <c r="DZ107" s="44">
        <v>2.9998268398268397</v>
      </c>
      <c r="EA107" s="44">
        <v>3.214978354978355</v>
      </c>
      <c r="EB107" s="29"/>
      <c r="EC107" s="29">
        <f>IF(EQ107&lt;EP107,"FALSEE",1)</f>
        <v>1</v>
      </c>
      <c r="ED107" s="29"/>
      <c r="EE107" s="29" t="s">
        <v>2171</v>
      </c>
      <c r="EF107" s="29">
        <v>3.3183093070999998</v>
      </c>
      <c r="EG107" s="29" t="str">
        <f>IF(EF107&lt;0.5,"Depression",IF(EF107&lt;2,"Very gentle",IF(EF107&lt;5,"Gentle",IF(EF107&lt;9,"Moderate",IF(EF107&lt;15,"Strong",IF(EF107&lt;30,"Steep",IF(EF107&lt;1,"Very steep")))))))</f>
        <v>Gentle</v>
      </c>
      <c r="EH107" s="29" t="s">
        <v>2173</v>
      </c>
      <c r="EI107" s="29">
        <v>0.18129228055499999</v>
      </c>
      <c r="EJ107" s="43">
        <v>8.6197080612200008</v>
      </c>
      <c r="EK107" s="43"/>
      <c r="EL107" s="43"/>
      <c r="EM107" s="43"/>
      <c r="EN107" s="43"/>
      <c r="EO107" s="60"/>
      <c r="EP107" s="44">
        <f>AVERAGE(DZ107:EA107)</f>
        <v>3.1074025974025972</v>
      </c>
      <c r="EQ107" s="44">
        <f>AVERAGE(DX107:DY107)</f>
        <v>4.5437149270482609</v>
      </c>
      <c r="ER107" s="43">
        <f>EQ107-EP107</f>
        <v>1.4363123296456637</v>
      </c>
      <c r="ES107" s="64">
        <f>IF(CU107&gt;0.000001,CU107*352,0)</f>
        <v>844.8</v>
      </c>
      <c r="ET107" s="64">
        <f>IF(DC107&gt;0.0001,DC107*682,0)</f>
        <v>491.03999999999996</v>
      </c>
      <c r="EU107" s="64">
        <f>CY107*795</f>
        <v>0</v>
      </c>
      <c r="EV107" s="64">
        <f>ES107+ET107+EU107</f>
        <v>1335.84</v>
      </c>
      <c r="EW107" s="64">
        <f>IF(AA107="YES",3.5*18.2,0)</f>
        <v>63.699999999999996</v>
      </c>
      <c r="EX107" s="64">
        <f>EV107-EW107</f>
        <v>1272.1399999999999</v>
      </c>
    </row>
    <row r="108" spans="1:154" ht="15" x14ac:dyDescent="0.2">
      <c r="A108" s="29" t="s">
        <v>556</v>
      </c>
      <c r="B108" s="29">
        <v>114</v>
      </c>
      <c r="C108" s="29" t="s">
        <v>397</v>
      </c>
      <c r="D108" s="29" t="s">
        <v>397</v>
      </c>
      <c r="E108" s="29" t="str">
        <f>VLOOKUP(D108,Harvest_2017_Formulae!$C$2:$D$968,2,FALSE)</f>
        <v>SELOTO</v>
      </c>
      <c r="F108" s="29" t="s">
        <v>1310</v>
      </c>
      <c r="G108" s="29">
        <v>3.2000000476837158</v>
      </c>
      <c r="H108" s="61" t="str">
        <f>IF(G108&lt;0.05,"Homefield",IF(G108&lt;0.5,"Midfield","outfield"))</f>
        <v>outfield</v>
      </c>
      <c r="I108" s="29" t="s">
        <v>557</v>
      </c>
      <c r="J108" s="61" t="s">
        <v>2233</v>
      </c>
      <c r="K108" s="61" t="s">
        <v>2233</v>
      </c>
      <c r="L108" s="67">
        <v>0</v>
      </c>
      <c r="O108" s="29" t="s">
        <v>547</v>
      </c>
      <c r="Q108" s="67">
        <v>0</v>
      </c>
      <c r="R108" s="29" t="s">
        <v>547</v>
      </c>
      <c r="U108" s="29" t="s">
        <v>547</v>
      </c>
      <c r="W108" s="29" t="s">
        <v>547</v>
      </c>
      <c r="Z108" s="29" t="s">
        <v>547</v>
      </c>
      <c r="AA108" s="61" t="s">
        <v>548</v>
      </c>
      <c r="AB108" s="29" t="s">
        <v>568</v>
      </c>
      <c r="AC108" s="67">
        <v>0</v>
      </c>
      <c r="AD108" s="29" t="s">
        <v>547</v>
      </c>
      <c r="AF108" s="29" t="s">
        <v>547</v>
      </c>
      <c r="AG108" s="29" t="s">
        <v>547</v>
      </c>
      <c r="AH108" s="29" t="s">
        <v>546</v>
      </c>
      <c r="AI108" s="29" t="s">
        <v>546</v>
      </c>
      <c r="AJ108" s="29" t="s">
        <v>547</v>
      </c>
      <c r="AK108" s="67">
        <v>0</v>
      </c>
      <c r="AL108" s="29" t="s">
        <v>547</v>
      </c>
      <c r="AO108" s="29" t="s">
        <v>547</v>
      </c>
      <c r="AP108" s="29" t="s">
        <v>547</v>
      </c>
      <c r="AQ108" s="4">
        <f>Q108+AK108</f>
        <v>0</v>
      </c>
      <c r="AR108" s="4">
        <f>L108+AC108</f>
        <v>0</v>
      </c>
      <c r="AS108" t="str">
        <f>AQ108&amp;AR108</f>
        <v>00</v>
      </c>
      <c r="AT108" s="49">
        <f>AQ108-AR108</f>
        <v>0</v>
      </c>
      <c r="AU108">
        <v>1</v>
      </c>
      <c r="AV108" s="29" t="s">
        <v>548</v>
      </c>
      <c r="AW108" s="29">
        <v>0.25</v>
      </c>
      <c r="AX108" s="29" t="s">
        <v>548</v>
      </c>
      <c r="AY108" s="29">
        <v>2</v>
      </c>
      <c r="AZ108" s="29">
        <v>2.25</v>
      </c>
      <c r="BA108" s="29" t="s">
        <v>546</v>
      </c>
      <c r="BB108" s="29" t="s">
        <v>547</v>
      </c>
      <c r="BD108" s="29">
        <f>AW108+AZ108</f>
        <v>2.5</v>
      </c>
      <c r="BE108" s="29">
        <f>BD108+BC108</f>
        <v>2.5</v>
      </c>
      <c r="BF108" s="29" t="s">
        <v>548</v>
      </c>
      <c r="BG108" s="29" t="s">
        <v>546</v>
      </c>
      <c r="BH108" s="29" t="s">
        <v>546</v>
      </c>
      <c r="BI108" s="29" t="s">
        <v>546</v>
      </c>
      <c r="BJ108" s="29" t="s">
        <v>546</v>
      </c>
      <c r="BK108" s="29" t="s">
        <v>546</v>
      </c>
      <c r="BL108" s="29">
        <v>5</v>
      </c>
      <c r="BM108" s="29" t="s">
        <v>562</v>
      </c>
      <c r="BO108" s="29" t="s">
        <v>547</v>
      </c>
      <c r="BQ108" s="29" t="s">
        <v>547</v>
      </c>
      <c r="BS108" s="29" t="s">
        <v>547</v>
      </c>
      <c r="BU108" s="29" t="s">
        <v>547</v>
      </c>
      <c r="BW108" s="29">
        <f>(BL108*1)+(BN108*0.1)+(BP108*0.01)+(BR108*0.1)+(BT108*0.3)+(BV108*0.4)</f>
        <v>5</v>
      </c>
      <c r="BX108" s="29" t="s">
        <v>2219</v>
      </c>
      <c r="BY108" s="29">
        <v>1</v>
      </c>
      <c r="BZ108" s="29">
        <v>1</v>
      </c>
      <c r="CA108" s="29">
        <v>0</v>
      </c>
      <c r="CB108" s="29">
        <v>2</v>
      </c>
      <c r="CC108" s="29">
        <v>0</v>
      </c>
      <c r="CD108" s="29">
        <v>1</v>
      </c>
      <c r="CE108" s="29">
        <v>1</v>
      </c>
      <c r="CG108" s="29">
        <f>(CC108*15)+(CD108*0.8)+(CE108*0.3)+((AW108+AZ108)*15)</f>
        <v>38.6</v>
      </c>
      <c r="CH108" s="29" t="s">
        <v>2220</v>
      </c>
      <c r="CI108" s="29">
        <f>(BL108*1)+(BN108*0.1)+(BP108*0.01)+(BR108*0.1)+(BT108*0.3)+(BV108*0.4)+(CC108*15)+(CD108*0.8)+(CE108*0.3)+((AW108+AZ108)*15)</f>
        <v>43.6</v>
      </c>
      <c r="CJ108" s="29" t="s">
        <v>548</v>
      </c>
      <c r="CK108" s="29" t="s">
        <v>563</v>
      </c>
      <c r="CL108" s="29" t="s">
        <v>548</v>
      </c>
      <c r="CM108" s="29" t="s">
        <v>550</v>
      </c>
      <c r="CN108" s="29">
        <v>0.25</v>
      </c>
      <c r="CO108" s="29">
        <v>1</v>
      </c>
      <c r="CP108" s="29">
        <v>0</v>
      </c>
      <c r="CQ108" s="29" t="s">
        <v>546</v>
      </c>
      <c r="CR108" s="29">
        <v>1.25</v>
      </c>
      <c r="CS108" s="29">
        <v>12</v>
      </c>
      <c r="CT108" s="29" t="s">
        <v>551</v>
      </c>
      <c r="CU108" s="30">
        <v>2.3040000000000003</v>
      </c>
      <c r="CW108" s="29">
        <v>999</v>
      </c>
      <c r="CX108" s="29" t="s">
        <v>551</v>
      </c>
      <c r="CY108" s="62"/>
      <c r="CZ108" s="29">
        <v>1.25</v>
      </c>
      <c r="DA108" s="29">
        <v>0</v>
      </c>
      <c r="DB108" s="29" t="s">
        <v>551</v>
      </c>
      <c r="DC108" s="62">
        <v>0</v>
      </c>
      <c r="DD108" s="29" t="s">
        <v>548</v>
      </c>
      <c r="DE108" s="29" t="s">
        <v>548</v>
      </c>
      <c r="DF108" s="29" t="s">
        <v>548</v>
      </c>
      <c r="DG108" s="29" t="s">
        <v>548</v>
      </c>
      <c r="DH108" s="29" t="s">
        <v>548</v>
      </c>
      <c r="DI108" s="29">
        <v>5</v>
      </c>
      <c r="DJ108" s="29">
        <v>2</v>
      </c>
      <c r="DK108" s="29" t="s">
        <v>1324</v>
      </c>
      <c r="DL108" s="29" t="s">
        <v>1325</v>
      </c>
      <c r="DM108" s="29">
        <v>-4.2613673210144043</v>
      </c>
      <c r="DN108" s="29">
        <v>35.528682708740234</v>
      </c>
      <c r="DO108" s="29">
        <v>1643.199951171875</v>
      </c>
      <c r="DP108" s="29">
        <v>5</v>
      </c>
      <c r="DQ108" s="29">
        <v>1706031849</v>
      </c>
      <c r="DR108" s="29" t="s">
        <v>1326</v>
      </c>
      <c r="DS108" s="31">
        <v>42906.49894675926</v>
      </c>
      <c r="DT108" s="31">
        <v>42903.455775462964</v>
      </c>
      <c r="DU108" s="31">
        <v>42903.480081018519</v>
      </c>
      <c r="DV108" s="32">
        <v>42794</v>
      </c>
      <c r="DX108" s="44">
        <v>3.9885416666666664</v>
      </c>
      <c r="DY108" s="44">
        <v>3.8593888888888888</v>
      </c>
      <c r="DZ108" s="44">
        <v>3.5034649122807022</v>
      </c>
      <c r="EA108" s="44">
        <v>3.4338596491228075</v>
      </c>
      <c r="EC108" s="29">
        <f>IF(EQ108&lt;EP108,"FALSEE",1)</f>
        <v>1</v>
      </c>
      <c r="EE108" s="29" t="s">
        <v>2171</v>
      </c>
      <c r="EF108" s="29">
        <v>2.6422429084800001</v>
      </c>
      <c r="EG108" s="29" t="str">
        <f>IF(EF108&lt;0.5,"Depression",IF(EF108&lt;2,"Very gentle",IF(EF108&lt;5,"Gentle",IF(EF108&lt;9,"Moderate",IF(EF108&lt;15,"Strong",IF(EF108&lt;30,"Steep",IF(EF108&lt;1,"Very steep")))))))</f>
        <v>Gentle</v>
      </c>
      <c r="EH108" s="29" t="s">
        <v>2173</v>
      </c>
      <c r="EI108" s="29">
        <v>0.27193418145199999</v>
      </c>
      <c r="EJ108" s="43">
        <v>7.71094655991</v>
      </c>
      <c r="EK108" s="43">
        <f>VLOOKUP(D108,[1]SoilData!$G$15:$K$237,5,FALSE)</f>
        <v>272.89504776358655</v>
      </c>
      <c r="EL108" s="43">
        <f>VLOOKUP(D108,[1]SoilData!$G$245:$K$451,5,FALSE)</f>
        <v>348.93723906880854</v>
      </c>
      <c r="EM108" s="43">
        <f>VLOOKUP(D108,[1]SoilData!$G$15:$M$238,7,FALSE)</f>
        <v>1.524</v>
      </c>
      <c r="EN108" s="43">
        <f>VLOOKUP(D108,[1]SoilData!$G$245:$M$454,7,FALSE)</f>
        <v>1.371</v>
      </c>
      <c r="EO108" s="60">
        <f>EM108-EN108</f>
        <v>0.15300000000000002</v>
      </c>
      <c r="EP108" s="44">
        <f>AVERAGE(DZ108:EA108)</f>
        <v>3.4686622807017549</v>
      </c>
      <c r="EQ108" s="44">
        <f>AVERAGE(DX108:DY108)</f>
        <v>3.9239652777777776</v>
      </c>
      <c r="ER108" s="43">
        <f>EQ108-EP108</f>
        <v>0.45530299707602273</v>
      </c>
      <c r="ES108" s="64">
        <f>IF(CU108&gt;0.000001,CU108*352,0)</f>
        <v>811.00800000000004</v>
      </c>
      <c r="ET108" s="64">
        <f>IF(DC108&gt;0.0001,DC108*682,0)</f>
        <v>0</v>
      </c>
      <c r="EU108" s="64">
        <f>CY108*795</f>
        <v>0</v>
      </c>
      <c r="EV108" s="64">
        <f>ES108+ET108+EU108</f>
        <v>811.00800000000004</v>
      </c>
      <c r="EW108" s="64">
        <f>IF(AA108="YES",3.5*18.2,0)</f>
        <v>63.699999999999996</v>
      </c>
      <c r="EX108" s="64">
        <f>EV108-EW108</f>
        <v>747.30799999999999</v>
      </c>
    </row>
    <row r="109" spans="1:154" ht="15" x14ac:dyDescent="0.2">
      <c r="A109" s="29" t="s">
        <v>789</v>
      </c>
      <c r="B109" s="29">
        <v>43</v>
      </c>
      <c r="C109" s="29" t="s">
        <v>270</v>
      </c>
      <c r="D109" s="29" t="s">
        <v>270</v>
      </c>
      <c r="E109" s="29" t="str">
        <f>VLOOKUP(D109,Harvest_2017_Formulae!$C$2:$D$968,2,FALSE)</f>
        <v>Sangara</v>
      </c>
      <c r="F109" s="29" t="s">
        <v>1014</v>
      </c>
      <c r="G109" s="29">
        <v>0</v>
      </c>
      <c r="H109" s="61" t="str">
        <f>IF(G109&lt;0.05,"Homefield",IF(G109&lt;0.5,"Midfield","outfield"))</f>
        <v>Homefield</v>
      </c>
      <c r="I109" s="29" t="s">
        <v>557</v>
      </c>
      <c r="J109" s="61" t="s">
        <v>2234</v>
      </c>
      <c r="K109" s="61" t="s">
        <v>2234</v>
      </c>
      <c r="L109" s="67">
        <v>0</v>
      </c>
      <c r="O109" s="29" t="s">
        <v>547</v>
      </c>
      <c r="Q109" s="67">
        <v>0</v>
      </c>
      <c r="R109" s="29" t="s">
        <v>547</v>
      </c>
      <c r="T109" s="29" t="s">
        <v>559</v>
      </c>
      <c r="U109" s="29" t="s">
        <v>560</v>
      </c>
      <c r="W109" s="29" t="s">
        <v>635</v>
      </c>
      <c r="Z109" s="29" t="s">
        <v>547</v>
      </c>
      <c r="AA109" s="61" t="s">
        <v>548</v>
      </c>
      <c r="AB109" s="29" t="s">
        <v>568</v>
      </c>
      <c r="AC109" s="67">
        <v>0</v>
      </c>
      <c r="AD109" s="29" t="s">
        <v>547</v>
      </c>
      <c r="AF109" s="29" t="s">
        <v>547</v>
      </c>
      <c r="AG109" s="29" t="s">
        <v>547</v>
      </c>
      <c r="AH109" s="29" t="s">
        <v>548</v>
      </c>
      <c r="AI109" s="29" t="s">
        <v>546</v>
      </c>
      <c r="AK109" s="67">
        <v>0</v>
      </c>
      <c r="AL109" s="29" t="s">
        <v>547</v>
      </c>
      <c r="AO109" s="29" t="s">
        <v>547</v>
      </c>
      <c r="AP109" s="29" t="s">
        <v>547</v>
      </c>
      <c r="AQ109" s="4">
        <f>Q109+AK109</f>
        <v>0</v>
      </c>
      <c r="AR109" s="4">
        <f>L109+AC109</f>
        <v>0</v>
      </c>
      <c r="AS109" t="str">
        <f>AQ109&amp;AR109</f>
        <v>00</v>
      </c>
      <c r="AT109" s="49">
        <f>AQ109-AR109</f>
        <v>0</v>
      </c>
      <c r="AU109">
        <v>1</v>
      </c>
      <c r="AV109" s="29" t="s">
        <v>548</v>
      </c>
      <c r="AW109" s="29">
        <v>1</v>
      </c>
      <c r="AX109" s="29" t="s">
        <v>546</v>
      </c>
      <c r="BA109" s="29" t="s">
        <v>548</v>
      </c>
      <c r="BB109" s="29" t="s">
        <v>569</v>
      </c>
      <c r="BC109" s="29">
        <v>3</v>
      </c>
      <c r="BD109" s="29">
        <f>AW109+AZ109</f>
        <v>1</v>
      </c>
      <c r="BE109" s="29">
        <f>BD109+BC109</f>
        <v>4</v>
      </c>
      <c r="BF109" s="29" t="s">
        <v>548</v>
      </c>
      <c r="BG109" s="29" t="s">
        <v>548</v>
      </c>
      <c r="BH109" s="29" t="s">
        <v>548</v>
      </c>
      <c r="BI109" s="29" t="s">
        <v>548</v>
      </c>
      <c r="BJ109" s="29" t="s">
        <v>548</v>
      </c>
      <c r="BK109" s="29" t="s">
        <v>548</v>
      </c>
      <c r="BL109" s="29">
        <v>4</v>
      </c>
      <c r="BM109" s="29" t="s">
        <v>580</v>
      </c>
      <c r="BN109" s="29">
        <v>1</v>
      </c>
      <c r="BO109" s="29" t="s">
        <v>580</v>
      </c>
      <c r="BP109" s="29">
        <v>10</v>
      </c>
      <c r="BQ109" s="29" t="s">
        <v>580</v>
      </c>
      <c r="BR109" s="29">
        <v>2</v>
      </c>
      <c r="BS109" s="29" t="s">
        <v>580</v>
      </c>
      <c r="BT109" s="29">
        <v>1</v>
      </c>
      <c r="BU109" s="29" t="s">
        <v>562</v>
      </c>
      <c r="BV109" s="29">
        <v>1</v>
      </c>
      <c r="BW109" s="29">
        <f>(BL109*1)+(BN109*0.1)+(BP109*0.01)+(BR109*0.1)+(BT109*0.3)+(BV109*0.4)</f>
        <v>5.0999999999999996</v>
      </c>
      <c r="BX109" s="29" t="s">
        <v>2219</v>
      </c>
      <c r="BY109" s="29">
        <v>1</v>
      </c>
      <c r="BZ109" s="29">
        <v>1</v>
      </c>
      <c r="CA109" s="29">
        <v>4</v>
      </c>
      <c r="CB109" s="29">
        <v>6</v>
      </c>
      <c r="CC109" s="29">
        <v>0</v>
      </c>
      <c r="CD109" s="29">
        <v>0</v>
      </c>
      <c r="CE109" s="29">
        <v>1</v>
      </c>
      <c r="CG109" s="29">
        <f>(CC109*15)+(CD109*0.8)+(CE109*0.3)+((AW109+AZ109)*15)</f>
        <v>15.3</v>
      </c>
      <c r="CH109" s="29" t="s">
        <v>2220</v>
      </c>
      <c r="CI109" s="29">
        <f>(BL109*1)+(BN109*0.1)+(BP109*0.01)+(BR109*0.1)+(BT109*0.3)+(BV109*0.4)+(CC109*15)+(CD109*0.8)+(CE109*0.3)+((AW109+AZ109)*15)</f>
        <v>20.399999999999999</v>
      </c>
      <c r="CJ109" s="29" t="s">
        <v>548</v>
      </c>
      <c r="CK109" s="29" t="s">
        <v>797</v>
      </c>
      <c r="CL109" s="29" t="s">
        <v>548</v>
      </c>
      <c r="CM109" s="29" t="s">
        <v>550</v>
      </c>
      <c r="CN109" s="29">
        <v>0.25</v>
      </c>
      <c r="CO109" s="29">
        <v>2.5</v>
      </c>
      <c r="CP109" s="29">
        <v>0</v>
      </c>
      <c r="CQ109" s="29" t="s">
        <v>548</v>
      </c>
      <c r="CR109" s="29">
        <v>1</v>
      </c>
      <c r="CS109" s="29">
        <v>10</v>
      </c>
      <c r="CT109" s="29" t="s">
        <v>551</v>
      </c>
      <c r="CU109" s="30">
        <v>2.4</v>
      </c>
      <c r="CW109" s="29">
        <v>999</v>
      </c>
      <c r="CX109" s="29" t="s">
        <v>551</v>
      </c>
      <c r="CY109" s="62"/>
      <c r="CZ109" s="29">
        <v>1</v>
      </c>
      <c r="DA109" s="29">
        <v>2</v>
      </c>
      <c r="DB109" s="29" t="s">
        <v>551</v>
      </c>
      <c r="DC109" s="62">
        <v>0.48</v>
      </c>
      <c r="DD109" s="29" t="s">
        <v>546</v>
      </c>
      <c r="DE109" s="29" t="s">
        <v>548</v>
      </c>
      <c r="DF109" s="29" t="s">
        <v>546</v>
      </c>
      <c r="DG109" s="29" t="s">
        <v>548</v>
      </c>
      <c r="DH109" s="29" t="s">
        <v>546</v>
      </c>
      <c r="DI109" s="29">
        <v>2</v>
      </c>
      <c r="DJ109" s="29">
        <v>4</v>
      </c>
      <c r="DK109" s="29" t="s">
        <v>1292</v>
      </c>
      <c r="DL109" s="29" t="s">
        <v>1293</v>
      </c>
      <c r="DM109" s="29">
        <v>-4.2761783599853516</v>
      </c>
      <c r="DN109" s="29">
        <v>35.630985260009766</v>
      </c>
      <c r="DO109" s="29">
        <v>1423.5</v>
      </c>
      <c r="DP109" s="29">
        <v>15</v>
      </c>
      <c r="DQ109" s="29">
        <v>1705231439</v>
      </c>
      <c r="DR109" s="29" t="s">
        <v>1294</v>
      </c>
      <c r="DS109" s="31">
        <v>42908.292696759258</v>
      </c>
      <c r="DT109" s="31">
        <v>42900.454710648148</v>
      </c>
      <c r="DU109" s="31">
        <v>42908.291041666671</v>
      </c>
      <c r="DV109" s="32">
        <v>42738</v>
      </c>
      <c r="DW109" s="34"/>
      <c r="DX109" s="44">
        <v>5.6747619047619047</v>
      </c>
      <c r="DY109" s="44">
        <v>4.2176190476190474</v>
      </c>
      <c r="DZ109" s="44">
        <v>4.1942386831275726</v>
      </c>
      <c r="EA109" s="44">
        <v>3.8101508916323734</v>
      </c>
      <c r="EB109" s="34"/>
      <c r="EC109" s="29">
        <f>IF(EQ109&lt;EP109,"FALSEE",1)</f>
        <v>1</v>
      </c>
      <c r="ED109" s="34"/>
      <c r="EE109" s="29" t="s">
        <v>2184</v>
      </c>
      <c r="EF109" s="29">
        <v>3.6909093856799999</v>
      </c>
      <c r="EG109" s="29" t="str">
        <f>IF(EF109&lt;0.5,"Depression",IF(EF109&lt;2,"Very gentle",IF(EF109&lt;5,"Gentle",IF(EF109&lt;9,"Moderate",IF(EF109&lt;15,"Strong",IF(EF109&lt;30,"Steep",IF(EF109&lt;1,"Very steep")))))))</f>
        <v>Gentle</v>
      </c>
      <c r="EH109" s="29" t="s">
        <v>2176</v>
      </c>
      <c r="EI109" s="29">
        <v>-1.4502619504900001</v>
      </c>
      <c r="EJ109" s="43">
        <v>8.9184541702299995</v>
      </c>
      <c r="EK109" s="43"/>
      <c r="EL109" s="43"/>
      <c r="EM109" s="43"/>
      <c r="EN109" s="43"/>
      <c r="EO109" s="60"/>
      <c r="EP109" s="44">
        <f>AVERAGE(DZ109:EA109)</f>
        <v>4.002194787379973</v>
      </c>
      <c r="EQ109" s="44">
        <f>AVERAGE(DX109:DY109)</f>
        <v>4.946190476190476</v>
      </c>
      <c r="ER109" s="43">
        <f>EQ109-EP109</f>
        <v>0.943995688810503</v>
      </c>
      <c r="ES109" s="64">
        <f>IF(CU109&gt;0.000001,CU109*352,0)</f>
        <v>844.8</v>
      </c>
      <c r="ET109" s="64">
        <f>IF(DC109&gt;0.0001,DC109*682,0)</f>
        <v>327.36</v>
      </c>
      <c r="EU109" s="64">
        <f>CY109*795</f>
        <v>0</v>
      </c>
      <c r="EV109" s="64">
        <f>ES109+ET109+EU109</f>
        <v>1172.1599999999999</v>
      </c>
      <c r="EW109" s="64">
        <f>IF(AA109="YES",3.5*18.2,0)</f>
        <v>63.699999999999996</v>
      </c>
      <c r="EX109" s="64">
        <f>EV109-EW109</f>
        <v>1108.4599999999998</v>
      </c>
    </row>
    <row r="110" spans="1:154" ht="15" x14ac:dyDescent="0.2">
      <c r="A110" s="29" t="s">
        <v>556</v>
      </c>
      <c r="B110" s="29">
        <v>207</v>
      </c>
      <c r="C110" s="29" t="s">
        <v>1357</v>
      </c>
      <c r="D110" s="40" t="s">
        <v>296</v>
      </c>
      <c r="E110" s="29" t="str">
        <f>VLOOKUP(D110,Harvest_2017_Formulae!$C$2:$D$968,2,FALSE)</f>
        <v>TSAMASI</v>
      </c>
      <c r="F110" s="29" t="s">
        <v>1014</v>
      </c>
      <c r="G110" s="29">
        <v>0</v>
      </c>
      <c r="H110" s="61" t="str">
        <f>IF(G110&lt;0.05,"Homefield",IF(G110&lt;0.5,"Midfield","outfield"))</f>
        <v>Homefield</v>
      </c>
      <c r="I110" s="29" t="s">
        <v>557</v>
      </c>
      <c r="J110" s="61" t="s">
        <v>2233</v>
      </c>
      <c r="K110" s="61" t="s">
        <v>2233</v>
      </c>
      <c r="L110" s="67">
        <v>0</v>
      </c>
      <c r="O110" s="29" t="s">
        <v>547</v>
      </c>
      <c r="Q110" s="67">
        <v>0</v>
      </c>
      <c r="R110" s="29" t="s">
        <v>547</v>
      </c>
      <c r="U110" s="29" t="s">
        <v>547</v>
      </c>
      <c r="W110" s="29" t="s">
        <v>547</v>
      </c>
      <c r="Z110" s="29" t="s">
        <v>547</v>
      </c>
      <c r="AA110" s="61" t="s">
        <v>548</v>
      </c>
      <c r="AB110" s="29" t="s">
        <v>568</v>
      </c>
      <c r="AC110" s="67">
        <v>0</v>
      </c>
      <c r="AD110" s="29" t="s">
        <v>547</v>
      </c>
      <c r="AF110" s="29" t="s">
        <v>547</v>
      </c>
      <c r="AG110" s="29" t="s">
        <v>547</v>
      </c>
      <c r="AH110" s="29" t="s">
        <v>548</v>
      </c>
      <c r="AI110" s="29" t="s">
        <v>546</v>
      </c>
      <c r="AJ110" s="29" t="s">
        <v>547</v>
      </c>
      <c r="AK110" s="67">
        <v>0</v>
      </c>
      <c r="AL110" s="29" t="s">
        <v>547</v>
      </c>
      <c r="AO110" s="29" t="s">
        <v>547</v>
      </c>
      <c r="AP110" s="29" t="s">
        <v>547</v>
      </c>
      <c r="AQ110" s="4">
        <f>Q110+AK110</f>
        <v>0</v>
      </c>
      <c r="AR110" s="4">
        <f>L110+AC110</f>
        <v>0</v>
      </c>
      <c r="AS110" t="str">
        <f>AQ110&amp;AR110</f>
        <v>00</v>
      </c>
      <c r="AT110" s="49">
        <f>AQ110-AR110</f>
        <v>0</v>
      </c>
      <c r="AU110">
        <v>1</v>
      </c>
      <c r="AV110" s="29" t="s">
        <v>548</v>
      </c>
      <c r="AW110" s="29">
        <v>1</v>
      </c>
      <c r="AX110" s="29" t="s">
        <v>548</v>
      </c>
      <c r="AY110" s="29">
        <v>2</v>
      </c>
      <c r="AZ110" s="29">
        <v>4.5</v>
      </c>
      <c r="BA110" s="29" t="s">
        <v>546</v>
      </c>
      <c r="BB110" s="29" t="s">
        <v>547</v>
      </c>
      <c r="BD110" s="29">
        <f>AW110+AZ110</f>
        <v>5.5</v>
      </c>
      <c r="BE110" s="29">
        <f>BD110+BC110</f>
        <v>5.5</v>
      </c>
      <c r="BF110" s="29" t="s">
        <v>548</v>
      </c>
      <c r="BG110" s="29" t="s">
        <v>548</v>
      </c>
      <c r="BH110" s="29" t="s">
        <v>548</v>
      </c>
      <c r="BI110" s="29" t="s">
        <v>548</v>
      </c>
      <c r="BJ110" s="29" t="s">
        <v>546</v>
      </c>
      <c r="BK110" s="29" t="s">
        <v>546</v>
      </c>
      <c r="BL110" s="29">
        <v>4</v>
      </c>
      <c r="BM110" s="29" t="s">
        <v>549</v>
      </c>
      <c r="BN110" s="29">
        <v>4</v>
      </c>
      <c r="BO110" s="29" t="s">
        <v>549</v>
      </c>
      <c r="BP110" s="29">
        <v>10</v>
      </c>
      <c r="BQ110" s="29" t="s">
        <v>549</v>
      </c>
      <c r="BR110" s="29">
        <v>6</v>
      </c>
      <c r="BS110" s="29" t="s">
        <v>549</v>
      </c>
      <c r="BU110" s="29" t="s">
        <v>547</v>
      </c>
      <c r="BW110" s="29">
        <f>(BL110*1)+(BN110*0.1)+(BP110*0.01)+(BR110*0.1)+(BT110*0.3)+(BV110*0.4)</f>
        <v>5.0999999999999996</v>
      </c>
      <c r="BX110" s="29" t="s">
        <v>2219</v>
      </c>
      <c r="BY110" s="29">
        <v>2</v>
      </c>
      <c r="BZ110" s="29">
        <v>1</v>
      </c>
      <c r="CA110" s="29">
        <v>1</v>
      </c>
      <c r="CB110" s="29">
        <v>4</v>
      </c>
      <c r="CC110" s="29">
        <v>0</v>
      </c>
      <c r="CD110" s="29">
        <v>0</v>
      </c>
      <c r="CE110" s="29">
        <v>1</v>
      </c>
      <c r="CF110" s="29" t="s">
        <v>547</v>
      </c>
      <c r="CG110" s="29">
        <f>(CC110*15)+(CD110*0.8)+(CE110*0.3)+((AW110+AZ110)*15)</f>
        <v>82.8</v>
      </c>
      <c r="CH110" s="29" t="s">
        <v>2221</v>
      </c>
      <c r="CI110" s="29">
        <f>(BL110*1)+(BN110*0.1)+(BP110*0.01)+(BR110*0.1)+(BT110*0.3)+(BV110*0.4)+(CC110*15)+(CD110*0.8)+(CE110*0.3)+((AW110+AZ110)*15)</f>
        <v>87.9</v>
      </c>
      <c r="CJ110" s="29" t="s">
        <v>546</v>
      </c>
      <c r="CK110" s="29" t="s">
        <v>547</v>
      </c>
      <c r="CL110" s="29" t="s">
        <v>548</v>
      </c>
      <c r="CM110" s="29" t="s">
        <v>550</v>
      </c>
      <c r="CN110" s="29">
        <v>0.25</v>
      </c>
      <c r="CO110" s="29">
        <v>0.5</v>
      </c>
      <c r="CQ110" s="29" t="s">
        <v>546</v>
      </c>
      <c r="CR110" s="29">
        <v>999</v>
      </c>
      <c r="CS110" s="29">
        <v>999</v>
      </c>
      <c r="CT110" s="29" t="s">
        <v>551</v>
      </c>
      <c r="CV110" s="29">
        <v>0.5</v>
      </c>
      <c r="CW110" s="29">
        <v>3</v>
      </c>
      <c r="CX110" s="29" t="s">
        <v>551</v>
      </c>
      <c r="CY110" s="62">
        <v>1.44</v>
      </c>
      <c r="CZ110" s="29">
        <v>999</v>
      </c>
      <c r="DA110" s="29">
        <v>999</v>
      </c>
      <c r="DB110" s="29" t="s">
        <v>551</v>
      </c>
      <c r="DC110" s="62"/>
      <c r="DD110" s="29" t="s">
        <v>546</v>
      </c>
      <c r="DE110" s="29" t="s">
        <v>546</v>
      </c>
      <c r="DF110" s="29" t="s">
        <v>546</v>
      </c>
      <c r="DG110" s="29" t="s">
        <v>548</v>
      </c>
      <c r="DH110" s="29" t="s">
        <v>546</v>
      </c>
      <c r="DI110" s="29">
        <v>1</v>
      </c>
      <c r="DJ110" s="29">
        <v>3</v>
      </c>
      <c r="DK110" s="29" t="s">
        <v>1358</v>
      </c>
      <c r="DL110" s="29" t="s">
        <v>1359</v>
      </c>
      <c r="DM110" s="29">
        <v>-4.3011412620544434</v>
      </c>
      <c r="DN110" s="29">
        <v>35.795352935791016</v>
      </c>
      <c r="DO110" s="29">
        <v>1368.699951171875</v>
      </c>
      <c r="DP110" s="29">
        <v>5</v>
      </c>
      <c r="DQ110" s="29">
        <v>1706031849</v>
      </c>
      <c r="DR110" s="29" t="s">
        <v>1360</v>
      </c>
      <c r="DS110" s="31">
        <v>42948.908587962964</v>
      </c>
      <c r="DT110" s="31">
        <v>42940.59002314815</v>
      </c>
      <c r="DU110" s="31">
        <v>42940.598090277781</v>
      </c>
      <c r="DV110" s="32">
        <v>42802</v>
      </c>
      <c r="DX110" s="44">
        <v>10.211666666666668</v>
      </c>
      <c r="DY110" s="44">
        <v>6.6305555555555555</v>
      </c>
      <c r="DZ110" s="44">
        <v>8.9415015015015022</v>
      </c>
      <c r="EA110" s="44">
        <v>6.9640540540540545</v>
      </c>
      <c r="EC110" s="29">
        <f>IF(EQ110&lt;EP110,"FALSEE",1)</f>
        <v>1</v>
      </c>
      <c r="EE110" s="29" t="s">
        <v>2179</v>
      </c>
      <c r="EF110" s="29">
        <v>3.7609581947300001</v>
      </c>
      <c r="EG110" s="29" t="str">
        <f>IF(EF110&lt;0.5,"Depression",IF(EF110&lt;2,"Very gentle",IF(EF110&lt;5,"Gentle",IF(EF110&lt;9,"Moderate",IF(EF110&lt;15,"Strong",IF(EF110&lt;30,"Steep",IF(EF110&lt;1,"Very steep")))))))</f>
        <v>Gentle</v>
      </c>
      <c r="EH110" s="29" t="s">
        <v>2173</v>
      </c>
      <c r="EI110" s="29">
        <v>-9.0633422136300004E-2</v>
      </c>
      <c r="EJ110" s="43">
        <v>9.4905805587799996</v>
      </c>
      <c r="EK110" s="43">
        <f>VLOOKUP(D110,[1]SoilData!$G$15:$K$237,5,FALSE)</f>
        <v>113.30630359179413</v>
      </c>
      <c r="EL110" s="43">
        <f>VLOOKUP(D110,[1]SoilData!$G$245:$K$451,5,FALSE)</f>
        <v>269.55942883693626</v>
      </c>
      <c r="EM110" s="43">
        <f>VLOOKUP(D110,[1]SoilData!$G$15:$M$238,7,FALSE)</f>
        <v>0.88600000000000001</v>
      </c>
      <c r="EN110" s="43">
        <f>VLOOKUP(D110,[1]SoilData!$G$245:$M$454,7,FALSE)</f>
        <v>0.98599999999999999</v>
      </c>
      <c r="EO110" s="60">
        <f>EM110-EN110</f>
        <v>-9.9999999999999978E-2</v>
      </c>
      <c r="EP110" s="44">
        <f>AVERAGE(DZ110:EA110)</f>
        <v>7.9527777777777784</v>
      </c>
      <c r="EQ110" s="44">
        <f>AVERAGE(DX110:DY110)</f>
        <v>8.4211111111111112</v>
      </c>
      <c r="ER110" s="43">
        <f>EQ110-EP110</f>
        <v>0.46833333333333282</v>
      </c>
      <c r="ES110" s="64">
        <f>IF(CU110&gt;0.000001,CU110*352,0)</f>
        <v>0</v>
      </c>
      <c r="ET110" s="64">
        <f>IF(DC110&gt;0.0001,DC110*682,0)</f>
        <v>0</v>
      </c>
      <c r="EU110" s="64">
        <f>CY110*795</f>
        <v>1144.8</v>
      </c>
      <c r="EV110" s="64">
        <f>ES110+ET110+EU110</f>
        <v>1144.8</v>
      </c>
      <c r="EW110" s="64">
        <f>IF(AA110="YES",3.5*18.2,0)</f>
        <v>63.699999999999996</v>
      </c>
      <c r="EX110" s="64">
        <f>EV110-EW110</f>
        <v>1081.0999999999999</v>
      </c>
    </row>
    <row r="111" spans="1:154" ht="15" x14ac:dyDescent="0.2">
      <c r="A111" s="29" t="s">
        <v>556</v>
      </c>
      <c r="B111" s="29">
        <v>159</v>
      </c>
      <c r="C111" s="29" t="s">
        <v>425</v>
      </c>
      <c r="D111" s="29" t="s">
        <v>425</v>
      </c>
      <c r="E111" s="29" t="str">
        <f>VLOOKUP(D111,Harvest_2017_Formulae!$C$2:$D$968,2,FALSE)</f>
        <v>HALLU</v>
      </c>
      <c r="F111" s="29" t="s">
        <v>938</v>
      </c>
      <c r="G111" s="29">
        <v>0</v>
      </c>
      <c r="H111" s="61" t="str">
        <f>IF(G111&lt;0.05,"Homefield",IF(G111&lt;0.5,"Midfield","outfield"))</f>
        <v>Homefield</v>
      </c>
      <c r="I111" s="29" t="s">
        <v>557</v>
      </c>
      <c r="J111" s="61" t="s">
        <v>2233</v>
      </c>
      <c r="K111" s="61" t="s">
        <v>2233</v>
      </c>
      <c r="L111" s="67">
        <v>0</v>
      </c>
      <c r="O111" s="29" t="s">
        <v>547</v>
      </c>
      <c r="Q111" s="67">
        <v>0</v>
      </c>
      <c r="R111" s="29" t="s">
        <v>547</v>
      </c>
      <c r="U111" s="29" t="s">
        <v>547</v>
      </c>
      <c r="W111" s="29" t="s">
        <v>547</v>
      </c>
      <c r="Z111" s="29" t="s">
        <v>547</v>
      </c>
      <c r="AA111" s="61" t="s">
        <v>548</v>
      </c>
      <c r="AB111" s="29" t="s">
        <v>568</v>
      </c>
      <c r="AC111" s="67">
        <v>0</v>
      </c>
      <c r="AD111" s="29" t="s">
        <v>547</v>
      </c>
      <c r="AF111" s="29" t="s">
        <v>547</v>
      </c>
      <c r="AG111" s="29" t="s">
        <v>547</v>
      </c>
      <c r="AH111" s="29" t="s">
        <v>546</v>
      </c>
      <c r="AI111" s="29" t="s">
        <v>546</v>
      </c>
      <c r="AJ111" s="29" t="s">
        <v>547</v>
      </c>
      <c r="AK111" s="67">
        <v>0</v>
      </c>
      <c r="AL111" s="29" t="s">
        <v>547</v>
      </c>
      <c r="AO111" s="29" t="s">
        <v>547</v>
      </c>
      <c r="AP111" s="29" t="s">
        <v>547</v>
      </c>
      <c r="AQ111" s="4">
        <f>Q111+AK111</f>
        <v>0</v>
      </c>
      <c r="AR111" s="4">
        <f>L111+AC111</f>
        <v>0</v>
      </c>
      <c r="AS111" t="str">
        <f>AQ111&amp;AR111</f>
        <v>00</v>
      </c>
      <c r="AT111" s="49">
        <f>AQ111-AR111</f>
        <v>0</v>
      </c>
      <c r="AU111">
        <v>1</v>
      </c>
      <c r="AV111" s="29" t="s">
        <v>548</v>
      </c>
      <c r="AW111" s="29">
        <v>1.25</v>
      </c>
      <c r="AX111" s="29" t="s">
        <v>548</v>
      </c>
      <c r="AY111" s="29">
        <v>1</v>
      </c>
      <c r="AZ111" s="29">
        <v>2</v>
      </c>
      <c r="BA111" s="29" t="s">
        <v>546</v>
      </c>
      <c r="BB111" s="29" t="s">
        <v>547</v>
      </c>
      <c r="BD111" s="29">
        <f>AW111+AZ111</f>
        <v>3.25</v>
      </c>
      <c r="BE111" s="29">
        <f>BD111+BC111</f>
        <v>3.25</v>
      </c>
      <c r="BF111" s="29" t="s">
        <v>548</v>
      </c>
      <c r="BG111" s="29" t="s">
        <v>548</v>
      </c>
      <c r="BH111" s="29" t="s">
        <v>548</v>
      </c>
      <c r="BI111" s="29" t="s">
        <v>548</v>
      </c>
      <c r="BJ111" s="29" t="s">
        <v>546</v>
      </c>
      <c r="BK111" s="29" t="s">
        <v>546</v>
      </c>
      <c r="BL111" s="29">
        <v>4</v>
      </c>
      <c r="BM111" s="29" t="s">
        <v>549</v>
      </c>
      <c r="BN111" s="29">
        <v>8</v>
      </c>
      <c r="BO111" s="29" t="s">
        <v>549</v>
      </c>
      <c r="BP111" s="29">
        <v>1</v>
      </c>
      <c r="BQ111" s="29" t="s">
        <v>562</v>
      </c>
      <c r="BR111" s="29">
        <v>3</v>
      </c>
      <c r="BS111" s="29" t="s">
        <v>562</v>
      </c>
      <c r="BU111" s="29" t="s">
        <v>547</v>
      </c>
      <c r="BW111" s="29">
        <f>(BL111*1)+(BN111*0.1)+(BP111*0.01)+(BR111*0.1)+(BT111*0.3)+(BV111*0.4)</f>
        <v>5.1099999999999994</v>
      </c>
      <c r="BX111" s="29" t="s">
        <v>2219</v>
      </c>
      <c r="BY111" s="29">
        <v>1</v>
      </c>
      <c r="BZ111" s="29">
        <v>4</v>
      </c>
      <c r="CA111" s="29">
        <v>1</v>
      </c>
      <c r="CB111" s="29">
        <v>6</v>
      </c>
      <c r="CC111" s="29">
        <v>0</v>
      </c>
      <c r="CD111" s="29">
        <v>0</v>
      </c>
      <c r="CE111" s="29">
        <v>0</v>
      </c>
      <c r="CF111" s="29" t="s">
        <v>547</v>
      </c>
      <c r="CG111" s="29">
        <f>(CC111*15)+(CD111*0.8)+(CE111*0.3)+((AW111+AZ111)*15)</f>
        <v>48.75</v>
      </c>
      <c r="CH111" s="29" t="s">
        <v>2220</v>
      </c>
      <c r="CI111" s="29">
        <f>(BL111*1)+(BN111*0.1)+(BP111*0.01)+(BR111*0.1)+(BT111*0.3)+(BV111*0.4)+(CC111*15)+(CD111*0.8)+(CE111*0.3)+((AW111+AZ111)*15)</f>
        <v>53.86</v>
      </c>
      <c r="CJ111" s="29" t="s">
        <v>546</v>
      </c>
      <c r="CK111" s="29" t="s">
        <v>547</v>
      </c>
      <c r="CL111" s="29" t="s">
        <v>548</v>
      </c>
      <c r="CM111" s="29" t="s">
        <v>550</v>
      </c>
      <c r="CN111" s="29">
        <v>0.25</v>
      </c>
      <c r="CO111" s="29">
        <v>0.25</v>
      </c>
      <c r="CQ111" s="29" t="s">
        <v>548</v>
      </c>
      <c r="CR111" s="29">
        <v>0.25</v>
      </c>
      <c r="CS111" s="29">
        <v>3</v>
      </c>
      <c r="CT111" s="29" t="s">
        <v>551</v>
      </c>
      <c r="CU111" s="30">
        <v>2.8800000000000003</v>
      </c>
      <c r="CW111" s="29">
        <v>999</v>
      </c>
      <c r="CX111" s="29" t="s">
        <v>551</v>
      </c>
      <c r="CY111" s="62"/>
      <c r="CZ111" s="29">
        <v>0.25</v>
      </c>
      <c r="DA111" s="29">
        <v>1</v>
      </c>
      <c r="DB111" s="29" t="s">
        <v>551</v>
      </c>
      <c r="DC111" s="62">
        <v>0.96</v>
      </c>
      <c r="DD111" s="29" t="s">
        <v>548</v>
      </c>
      <c r="DE111" s="29" t="s">
        <v>548</v>
      </c>
      <c r="DF111" s="29" t="s">
        <v>548</v>
      </c>
      <c r="DG111" s="29" t="s">
        <v>548</v>
      </c>
      <c r="DH111" s="29" t="s">
        <v>548</v>
      </c>
      <c r="DI111" s="29">
        <v>5</v>
      </c>
      <c r="DJ111" s="29">
        <v>3</v>
      </c>
      <c r="DK111" s="29" t="s">
        <v>975</v>
      </c>
      <c r="DL111" s="29" t="s">
        <v>976</v>
      </c>
      <c r="DM111" s="29">
        <v>-4.2848515510559082</v>
      </c>
      <c r="DN111" s="29">
        <v>35.895671844482422</v>
      </c>
      <c r="DO111" s="29">
        <v>1215.699951171875</v>
      </c>
      <c r="DP111" s="29">
        <v>5</v>
      </c>
      <c r="DQ111" s="29">
        <v>1706031849</v>
      </c>
      <c r="DR111" s="29" t="s">
        <v>977</v>
      </c>
      <c r="DS111" s="31">
        <v>42921.432430555556</v>
      </c>
      <c r="DT111" s="31">
        <v>42913.58729166667</v>
      </c>
      <c r="DU111" s="31">
        <v>42913.599988425922</v>
      </c>
      <c r="DV111" s="32">
        <v>42789</v>
      </c>
      <c r="DX111" s="44"/>
      <c r="DY111" s="44"/>
      <c r="DZ111" s="44"/>
      <c r="EA111" s="44"/>
      <c r="EC111" s="29">
        <f>IF(EQ111&lt;EP111,"FALSEE",1)</f>
        <v>1</v>
      </c>
      <c r="EE111" s="29" t="s">
        <v>2171</v>
      </c>
      <c r="EF111" s="29">
        <v>1.5749045610400001</v>
      </c>
      <c r="EG111" s="29" t="str">
        <f>IF(EF111&lt;0.5,"Depression",IF(EF111&lt;2,"Very gentle",IF(EF111&lt;5,"Gentle",IF(EF111&lt;9,"Moderate",IF(EF111&lt;15,"Strong",IF(EF111&lt;30,"Steep",IF(EF111&lt;1,"Very steep")))))))</f>
        <v>Very gentle</v>
      </c>
      <c r="EH111" s="29" t="s">
        <v>2173</v>
      </c>
      <c r="EI111" s="29">
        <v>-0.362559139729</v>
      </c>
      <c r="EJ111" s="43">
        <v>9.9196262359599991</v>
      </c>
      <c r="EK111" s="43">
        <f>VLOOKUP(D111,[1]SoilData!$G$15:$K$237,5,FALSE)</f>
        <v>261.80792280765667</v>
      </c>
      <c r="EL111" s="43">
        <f>VLOOKUP(D111,[1]SoilData!$G$245:$K$451,5,FALSE)</f>
        <v>332.60712790744435</v>
      </c>
      <c r="EM111" s="43">
        <f>VLOOKUP(D111,[1]SoilData!$G$15:$M$238,7,FALSE)</f>
        <v>0.98199999999999998</v>
      </c>
      <c r="EN111" s="43">
        <f>VLOOKUP(D111,[1]SoilData!$G$245:$M$454,7,FALSE)</f>
        <v>1.2250000000000001</v>
      </c>
      <c r="EO111" s="60">
        <f>EM111-EN111</f>
        <v>-0.2430000000000001</v>
      </c>
      <c r="EP111" s="44"/>
      <c r="EQ111" s="44"/>
      <c r="ER111" s="43"/>
      <c r="ES111" s="64">
        <f>IF(CU111&gt;0.000001,CU111*352,0)</f>
        <v>1013.7600000000001</v>
      </c>
      <c r="ET111" s="64">
        <f>IF(DC111&gt;0.0001,DC111*682,0)</f>
        <v>654.72</v>
      </c>
      <c r="EU111" s="64">
        <f>CY111*795</f>
        <v>0</v>
      </c>
      <c r="EV111" s="64">
        <f>ES111+ET111+EU111</f>
        <v>1668.48</v>
      </c>
      <c r="EW111" s="64">
        <f>IF(AA111="YES",3.5*18.2,0)</f>
        <v>63.699999999999996</v>
      </c>
      <c r="EX111" s="64">
        <f>EV111-EW111</f>
        <v>1604.78</v>
      </c>
    </row>
    <row r="112" spans="1:154" ht="15" x14ac:dyDescent="0.2">
      <c r="A112" s="29" t="s">
        <v>841</v>
      </c>
      <c r="B112" s="29">
        <v>245</v>
      </c>
      <c r="C112" s="29" t="s">
        <v>884</v>
      </c>
      <c r="D112" s="33" t="s">
        <v>155</v>
      </c>
      <c r="E112" s="29" t="str">
        <f>VLOOKUP(D112,Harvest_2017_Formulae!$C$2:$D$968,2,FALSE)</f>
        <v>ENDANOGA</v>
      </c>
      <c r="F112" s="29" t="s">
        <v>843</v>
      </c>
      <c r="G112" s="29">
        <v>0</v>
      </c>
      <c r="H112" s="61" t="str">
        <f>IF(G112&lt;0.05,"Homefield",IF(G112&lt;0.5,"Midfield","outfield"))</f>
        <v>Homefield</v>
      </c>
      <c r="I112" s="29" t="s">
        <v>557</v>
      </c>
      <c r="J112" s="61" t="s">
        <v>2233</v>
      </c>
      <c r="K112" s="61" t="s">
        <v>2233</v>
      </c>
      <c r="L112" s="67">
        <v>0</v>
      </c>
      <c r="O112" s="29" t="s">
        <v>547</v>
      </c>
      <c r="Q112" s="67">
        <v>0</v>
      </c>
      <c r="R112" s="29" t="s">
        <v>547</v>
      </c>
      <c r="U112" s="29" t="s">
        <v>547</v>
      </c>
      <c r="W112" s="29" t="s">
        <v>547</v>
      </c>
      <c r="Z112" s="29" t="s">
        <v>547</v>
      </c>
      <c r="AA112" s="61" t="s">
        <v>548</v>
      </c>
      <c r="AB112" s="29" t="s">
        <v>568</v>
      </c>
      <c r="AC112" s="67">
        <v>0</v>
      </c>
      <c r="AD112" s="29" t="s">
        <v>547</v>
      </c>
      <c r="AF112" s="29" t="s">
        <v>547</v>
      </c>
      <c r="AG112" s="29" t="s">
        <v>547</v>
      </c>
      <c r="AH112" s="29" t="s">
        <v>548</v>
      </c>
      <c r="AI112" s="29" t="s">
        <v>546</v>
      </c>
      <c r="AJ112" s="29" t="s">
        <v>547</v>
      </c>
      <c r="AK112" s="67">
        <v>0</v>
      </c>
      <c r="AL112" s="29" t="s">
        <v>547</v>
      </c>
      <c r="AO112" s="29" t="s">
        <v>547</v>
      </c>
      <c r="AP112" s="29" t="s">
        <v>547</v>
      </c>
      <c r="AQ112" s="4">
        <f>Q112+AK112</f>
        <v>0</v>
      </c>
      <c r="AR112" s="4">
        <f>L112+AC112</f>
        <v>0</v>
      </c>
      <c r="AS112" t="str">
        <f>AQ112&amp;AR112</f>
        <v>00</v>
      </c>
      <c r="AT112" s="49">
        <f>AQ112-AR112</f>
        <v>0</v>
      </c>
      <c r="AU112">
        <v>1</v>
      </c>
      <c r="AV112" s="29" t="s">
        <v>548</v>
      </c>
      <c r="AW112" s="29">
        <v>1.75</v>
      </c>
      <c r="AX112" s="29" t="s">
        <v>546</v>
      </c>
      <c r="BA112" s="29" t="s">
        <v>548</v>
      </c>
      <c r="BB112" s="29" t="s">
        <v>569</v>
      </c>
      <c r="BC112" s="29">
        <v>1</v>
      </c>
      <c r="BD112" s="29">
        <f>AW112+AZ112</f>
        <v>1.75</v>
      </c>
      <c r="BE112" s="29">
        <f>BD112+BC112</f>
        <v>2.75</v>
      </c>
      <c r="BF112" s="29" t="s">
        <v>548</v>
      </c>
      <c r="BG112" s="29" t="s">
        <v>548</v>
      </c>
      <c r="BH112" s="29" t="s">
        <v>548</v>
      </c>
      <c r="BI112" s="29" t="s">
        <v>546</v>
      </c>
      <c r="BJ112" s="29" t="s">
        <v>546</v>
      </c>
      <c r="BK112" s="29" t="s">
        <v>546</v>
      </c>
      <c r="BL112" s="29">
        <v>5</v>
      </c>
      <c r="BM112" s="29" t="s">
        <v>562</v>
      </c>
      <c r="BN112" s="29">
        <v>2</v>
      </c>
      <c r="BO112" s="29" t="s">
        <v>562</v>
      </c>
      <c r="BP112" s="29">
        <v>10</v>
      </c>
      <c r="BQ112" s="29" t="s">
        <v>562</v>
      </c>
      <c r="BS112" s="29" t="s">
        <v>547</v>
      </c>
      <c r="BU112" s="29" t="s">
        <v>547</v>
      </c>
      <c r="BW112" s="29">
        <f>(BL112*1)+(BN112*0.1)+(BP112*0.01)+(BR112*0.1)+(BT112*0.3)+(BV112*0.4)</f>
        <v>5.3</v>
      </c>
      <c r="BX112" s="29" t="s">
        <v>2219</v>
      </c>
      <c r="BY112" s="29">
        <v>4</v>
      </c>
      <c r="BZ112" s="29">
        <v>3</v>
      </c>
      <c r="CA112" s="29">
        <v>5</v>
      </c>
      <c r="CB112" s="29">
        <v>12</v>
      </c>
      <c r="CC112" s="29">
        <v>0</v>
      </c>
      <c r="CD112" s="29">
        <v>0</v>
      </c>
      <c r="CE112" s="29">
        <v>0</v>
      </c>
      <c r="CF112" s="29" t="s">
        <v>547</v>
      </c>
      <c r="CG112" s="29">
        <f>(CC112*15)+(CD112*0.8)+(CE112*0.3)+((AW112+AZ112)*15)</f>
        <v>26.25</v>
      </c>
      <c r="CH112" s="29" t="s">
        <v>2220</v>
      </c>
      <c r="CI112" s="29">
        <f>(BL112*1)+(BN112*0.1)+(BP112*0.01)+(BR112*0.1)+(BT112*0.3)+(BV112*0.4)+(CC112*15)+(CD112*0.8)+(CE112*0.3)+((AW112+AZ112)*15)</f>
        <v>31.55</v>
      </c>
      <c r="CJ112" s="29" t="s">
        <v>548</v>
      </c>
      <c r="CK112" s="29" t="s">
        <v>885</v>
      </c>
      <c r="CL112" s="29" t="s">
        <v>548</v>
      </c>
      <c r="CM112" s="29" t="s">
        <v>550</v>
      </c>
      <c r="CN112" s="29">
        <v>0.25</v>
      </c>
      <c r="CO112" s="29">
        <v>0</v>
      </c>
      <c r="CP112" s="29">
        <v>2.5</v>
      </c>
      <c r="CQ112" s="29" t="s">
        <v>546</v>
      </c>
      <c r="CR112" s="29">
        <v>2.75</v>
      </c>
      <c r="CS112" s="29">
        <v>30</v>
      </c>
      <c r="CT112" s="29" t="s">
        <v>551</v>
      </c>
      <c r="CU112" s="30">
        <v>2.6181818181818182</v>
      </c>
      <c r="CV112" s="29">
        <v>0.25</v>
      </c>
      <c r="CW112" s="29">
        <v>1</v>
      </c>
      <c r="CX112" s="29" t="s">
        <v>551</v>
      </c>
      <c r="CY112" s="62">
        <v>0.96</v>
      </c>
      <c r="CZ112" s="29">
        <v>2.75</v>
      </c>
      <c r="DA112" s="29">
        <v>10</v>
      </c>
      <c r="DB112" s="29" t="s">
        <v>551</v>
      </c>
      <c r="DC112" s="62">
        <v>0.87272727272727268</v>
      </c>
      <c r="DD112" s="29" t="s">
        <v>548</v>
      </c>
      <c r="DE112" s="29" t="s">
        <v>548</v>
      </c>
      <c r="DF112" s="29" t="s">
        <v>548</v>
      </c>
      <c r="DG112" s="29" t="s">
        <v>548</v>
      </c>
      <c r="DH112" s="29" t="s">
        <v>548</v>
      </c>
      <c r="DI112" s="29">
        <v>5</v>
      </c>
      <c r="DJ112" s="29">
        <v>3</v>
      </c>
      <c r="DK112" s="29" t="s">
        <v>886</v>
      </c>
      <c r="DL112" s="29" t="s">
        <v>887</v>
      </c>
      <c r="DM112" s="29">
        <v>-4.265164852142334</v>
      </c>
      <c r="DN112" s="29">
        <v>35.841716766357422</v>
      </c>
      <c r="DO112" s="29">
        <v>1403.0999755859375</v>
      </c>
      <c r="DP112" s="29">
        <v>5</v>
      </c>
      <c r="DQ112" s="29">
        <v>1706031849</v>
      </c>
      <c r="DR112" s="29" t="s">
        <v>888</v>
      </c>
      <c r="DS112" s="31">
        <v>42978.591296296298</v>
      </c>
      <c r="DT112" s="31">
        <v>42895.563078703708</v>
      </c>
      <c r="DU112" s="31">
        <v>42978.588784722218</v>
      </c>
      <c r="DV112" s="32">
        <v>42779</v>
      </c>
      <c r="DX112" s="44">
        <v>5.3602854230377162</v>
      </c>
      <c r="DY112" s="44">
        <v>7.5602956167176352</v>
      </c>
      <c r="DZ112" s="44">
        <v>3.2380952380952377</v>
      </c>
      <c r="EA112" s="44">
        <v>2.4126984126984126</v>
      </c>
      <c r="EC112" s="29">
        <f>IF(EQ112&lt;EP112,"FALSEE",1)</f>
        <v>1</v>
      </c>
      <c r="EE112" s="29" t="s">
        <v>2171</v>
      </c>
      <c r="EF112" s="29">
        <v>3.8559429645500001</v>
      </c>
      <c r="EG112" s="29" t="str">
        <f>IF(EF112&lt;0.5,"Depression",IF(EF112&lt;2,"Very gentle",IF(EF112&lt;5,"Gentle",IF(EF112&lt;9,"Moderate",IF(EF112&lt;15,"Strong",IF(EF112&lt;30,"Steep",IF(EF112&lt;1,"Very steep")))))))</f>
        <v>Gentle</v>
      </c>
      <c r="EH112" s="29" t="s">
        <v>2177</v>
      </c>
      <c r="EI112" s="29">
        <v>0.63450175523800001</v>
      </c>
      <c r="EJ112" s="43">
        <v>10.945163726800001</v>
      </c>
      <c r="EK112" s="43">
        <f>VLOOKUP(D112,[1]SoilData!$G$15:$K$237,5,FALSE)</f>
        <v>522.23171518844038</v>
      </c>
      <c r="EL112" s="43">
        <f>VLOOKUP(D112,[1]SoilData!$G$245:$K$451,5,FALSE)</f>
        <v>466.79589874297653</v>
      </c>
      <c r="EM112" s="43">
        <f>VLOOKUP(D112,[1]SoilData!$G$15:$M$238,7,FALSE)</f>
        <v>2.1869999999999998</v>
      </c>
      <c r="EN112" s="43">
        <f>VLOOKUP(D112,[1]SoilData!$G$245:$M$454,7,FALSE)</f>
        <v>1.5609999999999999</v>
      </c>
      <c r="EO112" s="60">
        <f>EM112-EN112</f>
        <v>0.62599999999999989</v>
      </c>
      <c r="EP112" s="44">
        <f>AVERAGE(DZ112:EA112)</f>
        <v>2.8253968253968251</v>
      </c>
      <c r="EQ112" s="44">
        <f>AVERAGE(DX112:DY112)</f>
        <v>6.4602905198776757</v>
      </c>
      <c r="ER112" s="43">
        <f>EQ112-EP112</f>
        <v>3.6348936944808505</v>
      </c>
      <c r="ES112" s="64">
        <f>IF(CU112&gt;0.000001,CU112*352,0)</f>
        <v>921.6</v>
      </c>
      <c r="ET112" s="64">
        <f>IF(DC112&gt;0.0001,DC112*682,0)</f>
        <v>595.19999999999993</v>
      </c>
      <c r="EU112" s="64">
        <f>CY112*795</f>
        <v>763.19999999999993</v>
      </c>
      <c r="EV112" s="64">
        <f>ES112+ET112+EU112</f>
        <v>2280</v>
      </c>
      <c r="EW112" s="64">
        <f>IF(AA112="YES",3.5*18.2,0)</f>
        <v>63.699999999999996</v>
      </c>
      <c r="EX112" s="64">
        <f>EV112-EW112</f>
        <v>2216.3000000000002</v>
      </c>
    </row>
    <row r="113" spans="1:154" ht="15" x14ac:dyDescent="0.2">
      <c r="A113" s="29" t="s">
        <v>556</v>
      </c>
      <c r="B113" s="29">
        <v>231</v>
      </c>
      <c r="C113" s="29" t="s">
        <v>399</v>
      </c>
      <c r="D113" s="29" t="s">
        <v>399</v>
      </c>
      <c r="E113" s="29" t="str">
        <f>VLOOKUP(D113,Harvest_2017_Formulae!$C$2:$D$968,2,FALSE)</f>
        <v>TSAMASI</v>
      </c>
      <c r="F113" s="29" t="s">
        <v>1014</v>
      </c>
      <c r="G113" s="29">
        <v>1</v>
      </c>
      <c r="H113" s="61" t="str">
        <f>IF(G113&lt;0.05,"Homefield",IF(G113&lt;0.5,"Midfield","outfield"))</f>
        <v>outfield</v>
      </c>
      <c r="I113" s="29" t="s">
        <v>557</v>
      </c>
      <c r="J113" s="61" t="s">
        <v>2234</v>
      </c>
      <c r="K113" s="61" t="s">
        <v>2234</v>
      </c>
      <c r="L113" s="67">
        <v>0</v>
      </c>
      <c r="O113" s="29" t="s">
        <v>547</v>
      </c>
      <c r="Q113" s="67">
        <v>0</v>
      </c>
      <c r="R113" s="29" t="s">
        <v>547</v>
      </c>
      <c r="U113" s="29" t="s">
        <v>547</v>
      </c>
      <c r="W113" s="29" t="s">
        <v>547</v>
      </c>
      <c r="Z113" s="29" t="s">
        <v>547</v>
      </c>
      <c r="AA113" s="61" t="s">
        <v>546</v>
      </c>
      <c r="AB113" s="29" t="s">
        <v>547</v>
      </c>
      <c r="AC113" s="67">
        <v>0</v>
      </c>
      <c r="AD113" s="29" t="s">
        <v>547</v>
      </c>
      <c r="AF113" s="29" t="s">
        <v>547</v>
      </c>
      <c r="AG113" s="29" t="s">
        <v>547</v>
      </c>
      <c r="AH113" s="29" t="s">
        <v>546</v>
      </c>
      <c r="AI113" s="29" t="s">
        <v>546</v>
      </c>
      <c r="AJ113" s="29" t="s">
        <v>547</v>
      </c>
      <c r="AK113" s="67">
        <v>0</v>
      </c>
      <c r="AL113" s="29" t="s">
        <v>547</v>
      </c>
      <c r="AO113" s="29" t="s">
        <v>547</v>
      </c>
      <c r="AP113" s="29" t="s">
        <v>547</v>
      </c>
      <c r="AQ113" s="4">
        <f>Q113+AK113</f>
        <v>0</v>
      </c>
      <c r="AR113" s="4">
        <f>L113+AC113</f>
        <v>0</v>
      </c>
      <c r="AS113" t="str">
        <f>AQ113&amp;AR113</f>
        <v>00</v>
      </c>
      <c r="AT113" s="49">
        <f>AQ113-AR113</f>
        <v>0</v>
      </c>
      <c r="AU113">
        <v>1</v>
      </c>
      <c r="AV113" s="29" t="s">
        <v>548</v>
      </c>
      <c r="AW113" s="29">
        <v>3</v>
      </c>
      <c r="AX113" s="29" t="s">
        <v>548</v>
      </c>
      <c r="AY113" s="29">
        <v>1</v>
      </c>
      <c r="AZ113" s="29">
        <v>2</v>
      </c>
      <c r="BA113" s="29" t="s">
        <v>546</v>
      </c>
      <c r="BB113" s="29" t="s">
        <v>547</v>
      </c>
      <c r="BD113" s="29">
        <f>AW113+AZ113</f>
        <v>5</v>
      </c>
      <c r="BE113" s="29">
        <f>BD113+BC113</f>
        <v>5</v>
      </c>
      <c r="BF113" s="29" t="s">
        <v>548</v>
      </c>
      <c r="BG113" s="29" t="s">
        <v>548</v>
      </c>
      <c r="BH113" s="29" t="s">
        <v>548</v>
      </c>
      <c r="BI113" s="29" t="s">
        <v>546</v>
      </c>
      <c r="BJ113" s="29" t="s">
        <v>546</v>
      </c>
      <c r="BK113" s="29" t="s">
        <v>546</v>
      </c>
      <c r="BL113" s="29">
        <v>5</v>
      </c>
      <c r="BM113" s="29" t="s">
        <v>549</v>
      </c>
      <c r="BN113" s="29">
        <v>3</v>
      </c>
      <c r="BO113" s="29" t="s">
        <v>549</v>
      </c>
      <c r="BP113" s="29">
        <v>8</v>
      </c>
      <c r="BQ113" s="29" t="s">
        <v>549</v>
      </c>
      <c r="BS113" s="29" t="s">
        <v>547</v>
      </c>
      <c r="BU113" s="29" t="s">
        <v>547</v>
      </c>
      <c r="BW113" s="29">
        <f>(BL113*1)+(BN113*0.1)+(BP113*0.01)+(BR113*0.1)+(BT113*0.3)+(BV113*0.4)</f>
        <v>5.38</v>
      </c>
      <c r="BX113" s="29" t="s">
        <v>2219</v>
      </c>
      <c r="BY113" s="29">
        <v>2</v>
      </c>
      <c r="BZ113" s="29">
        <v>4</v>
      </c>
      <c r="CA113" s="29">
        <v>4</v>
      </c>
      <c r="CB113" s="29">
        <v>10</v>
      </c>
      <c r="CC113" s="29">
        <v>0</v>
      </c>
      <c r="CD113" s="29">
        <v>0</v>
      </c>
      <c r="CE113" s="29">
        <v>1</v>
      </c>
      <c r="CF113" s="29" t="s">
        <v>547</v>
      </c>
      <c r="CG113" s="29">
        <f>(CC113*15)+(CD113*0.8)+(CE113*0.3)+((AW113+AZ113)*15)</f>
        <v>75.3</v>
      </c>
      <c r="CH113" s="29" t="s">
        <v>2221</v>
      </c>
      <c r="CI113" s="29">
        <f>(BL113*1)+(BN113*0.1)+(BP113*0.01)+(BR113*0.1)+(BT113*0.3)+(BV113*0.4)+(CC113*15)+(CD113*0.8)+(CE113*0.3)+((AW113+AZ113)*15)</f>
        <v>80.680000000000007</v>
      </c>
      <c r="CJ113" s="29" t="s">
        <v>546</v>
      </c>
      <c r="CK113" s="29" t="s">
        <v>547</v>
      </c>
      <c r="CL113" s="29" t="s">
        <v>546</v>
      </c>
      <c r="CM113" s="29" t="s">
        <v>547</v>
      </c>
      <c r="CN113" s="29">
        <v>1</v>
      </c>
      <c r="CO113" s="29">
        <v>3</v>
      </c>
      <c r="CQ113" s="29" t="s">
        <v>548</v>
      </c>
      <c r="CR113" s="29">
        <v>4</v>
      </c>
      <c r="CS113" s="29">
        <v>32</v>
      </c>
      <c r="CT113" s="29" t="s">
        <v>551</v>
      </c>
      <c r="CU113" s="30">
        <v>1.92</v>
      </c>
      <c r="CW113" s="29">
        <v>999</v>
      </c>
      <c r="CX113" s="29" t="s">
        <v>551</v>
      </c>
      <c r="CY113" s="62"/>
      <c r="CZ113" s="29">
        <v>4</v>
      </c>
      <c r="DA113" s="29">
        <v>7</v>
      </c>
      <c r="DB113" s="29" t="s">
        <v>551</v>
      </c>
      <c r="DC113" s="62">
        <v>0.42</v>
      </c>
      <c r="DD113" s="29" t="s">
        <v>546</v>
      </c>
      <c r="DE113" s="29" t="s">
        <v>546</v>
      </c>
      <c r="DF113" s="29" t="s">
        <v>546</v>
      </c>
      <c r="DG113" s="29" t="s">
        <v>546</v>
      </c>
      <c r="DH113" s="29" t="s">
        <v>546</v>
      </c>
      <c r="DI113" s="29">
        <v>0</v>
      </c>
      <c r="DJ113" s="29">
        <v>3</v>
      </c>
      <c r="DK113" s="29" t="s">
        <v>1347</v>
      </c>
      <c r="DL113" s="29" t="s">
        <v>1348</v>
      </c>
      <c r="DM113" s="29">
        <v>-4.2986207008361816</v>
      </c>
      <c r="DN113" s="29">
        <v>35.798934936523438</v>
      </c>
      <c r="DO113" s="29">
        <v>1397.800048828125</v>
      </c>
      <c r="DP113" s="29">
        <v>5</v>
      </c>
      <c r="DQ113" s="29">
        <v>1706031849</v>
      </c>
      <c r="DR113" s="29" t="s">
        <v>1349</v>
      </c>
      <c r="DS113" s="31">
        <v>42951.014293981483</v>
      </c>
      <c r="DT113" s="31">
        <v>42940.542129629626</v>
      </c>
      <c r="DU113" s="31">
        <v>42951.000567129631</v>
      </c>
      <c r="DV113" s="32">
        <v>42788</v>
      </c>
      <c r="DX113" s="44">
        <v>3.5928065843621395</v>
      </c>
      <c r="DY113" s="44">
        <v>5.0664855967078184</v>
      </c>
      <c r="DZ113" s="44">
        <v>6.9449999999999994</v>
      </c>
      <c r="EA113" s="44">
        <v>5.64</v>
      </c>
      <c r="EC113" s="29" t="str">
        <f>IF(EQ113&lt;EP113,"FALSEE",1)</f>
        <v>FALSEE</v>
      </c>
      <c r="EE113" s="29" t="s">
        <v>2179</v>
      </c>
      <c r="EF113" s="29">
        <v>1.2062788009600001</v>
      </c>
      <c r="EG113" s="29" t="str">
        <f>IF(EF113&lt;0.5,"Depression",IF(EF113&lt;2,"Very gentle",IF(EF113&lt;5,"Gentle",IF(EF113&lt;9,"Moderate",IF(EF113&lt;15,"Strong",IF(EF113&lt;30,"Steep",IF(EF113&lt;1,"Very steep")))))))</f>
        <v>Very gentle</v>
      </c>
      <c r="EH113" s="29" t="s">
        <v>2172</v>
      </c>
      <c r="EI113" s="29">
        <v>-0.725126743317</v>
      </c>
      <c r="EJ113" s="43">
        <v>9.6621332168599992</v>
      </c>
      <c r="EK113" s="43">
        <f>VLOOKUP(D113,[1]SoilData!$G$15:$K$237,5,FALSE)</f>
        <v>538.96329641911655</v>
      </c>
      <c r="EL113" s="43">
        <f>VLOOKUP(D113,[1]SoilData!$G$245:$K$451,5,FALSE)</f>
        <v>589.15804011114483</v>
      </c>
      <c r="EM113" s="43">
        <f>VLOOKUP(D113,[1]SoilData!$G$15:$M$238,7,FALSE)</f>
        <v>2.1040000000000001</v>
      </c>
      <c r="EN113" s="43">
        <f>VLOOKUP(D113,[1]SoilData!$G$245:$M$454,7,FALSE)</f>
        <v>2.2130000000000001</v>
      </c>
      <c r="EO113" s="60">
        <f>EM113-EN113</f>
        <v>-0.10899999999999999</v>
      </c>
      <c r="EP113" s="44">
        <f>AVERAGE(DZ113:EA113)</f>
        <v>6.2924999999999995</v>
      </c>
      <c r="EQ113" s="44">
        <f>AVERAGE(DX113:DY113)</f>
        <v>4.329646090534979</v>
      </c>
      <c r="ER113" s="43">
        <f>EQ113-EP113</f>
        <v>-1.9628539094650206</v>
      </c>
      <c r="ES113" s="64">
        <f>IF(CU113&gt;0.000001,CU113*352,0)</f>
        <v>675.83999999999992</v>
      </c>
      <c r="ET113" s="64">
        <f>IF(DC113&gt;0.0001,DC113*682,0)</f>
        <v>286.44</v>
      </c>
      <c r="EU113" s="64">
        <f>CY113*795</f>
        <v>0</v>
      </c>
      <c r="EV113" s="64">
        <f>ES113+ET113+EU113</f>
        <v>962.28</v>
      </c>
      <c r="EW113" s="64">
        <f>IF(AA113="YES",3.5*18.2,0)</f>
        <v>0</v>
      </c>
      <c r="EX113" s="64">
        <f>EV113-EW113</f>
        <v>962.28</v>
      </c>
    </row>
    <row r="114" spans="1:154" ht="15" x14ac:dyDescent="0.2">
      <c r="A114" s="29" t="s">
        <v>789</v>
      </c>
      <c r="B114" s="29">
        <v>30</v>
      </c>
      <c r="C114" s="29" t="s">
        <v>386</v>
      </c>
      <c r="D114" s="29" t="s">
        <v>386</v>
      </c>
      <c r="E114" s="29" t="str">
        <f>VLOOKUP(D114,Harvest_2017_Formulae!$C$2:$D$968,2,FALSE)</f>
        <v>Sangara</v>
      </c>
      <c r="F114" s="29" t="s">
        <v>1014</v>
      </c>
      <c r="G114" s="29">
        <v>0</v>
      </c>
      <c r="H114" s="61" t="str">
        <f>IF(G114&lt;0.05,"Homefield",IF(G114&lt;0.5,"Midfield","outfield"))</f>
        <v>Homefield</v>
      </c>
      <c r="I114" s="29" t="s">
        <v>557</v>
      </c>
      <c r="J114" s="61" t="s">
        <v>2233</v>
      </c>
      <c r="K114" s="61" t="s">
        <v>2233</v>
      </c>
      <c r="L114" s="67">
        <v>0</v>
      </c>
      <c r="O114" s="29" t="s">
        <v>547</v>
      </c>
      <c r="Q114" s="67">
        <v>0</v>
      </c>
      <c r="R114" s="29" t="s">
        <v>547</v>
      </c>
      <c r="T114" s="29" t="s">
        <v>559</v>
      </c>
      <c r="U114" s="29" t="s">
        <v>560</v>
      </c>
      <c r="W114" s="29" t="s">
        <v>635</v>
      </c>
      <c r="Z114" s="29" t="s">
        <v>547</v>
      </c>
      <c r="AA114" s="61" t="s">
        <v>548</v>
      </c>
      <c r="AB114" s="29" t="s">
        <v>568</v>
      </c>
      <c r="AC114" s="67">
        <v>0</v>
      </c>
      <c r="AD114" s="29" t="s">
        <v>547</v>
      </c>
      <c r="AF114" s="29" t="s">
        <v>547</v>
      </c>
      <c r="AG114" s="29" t="s">
        <v>547</v>
      </c>
      <c r="AH114" s="29" t="s">
        <v>548</v>
      </c>
      <c r="AI114" s="29" t="s">
        <v>546</v>
      </c>
      <c r="AK114" s="67">
        <v>0</v>
      </c>
      <c r="AL114" s="29" t="s">
        <v>547</v>
      </c>
      <c r="AO114" s="29" t="s">
        <v>547</v>
      </c>
      <c r="AP114" s="29" t="s">
        <v>547</v>
      </c>
      <c r="AQ114" s="4">
        <f>Q114+AK114</f>
        <v>0</v>
      </c>
      <c r="AR114" s="4">
        <f>L114+AC114</f>
        <v>0</v>
      </c>
      <c r="AS114" t="str">
        <f>AQ114&amp;AR114</f>
        <v>00</v>
      </c>
      <c r="AT114" s="49">
        <f>AQ114-AR114</f>
        <v>0</v>
      </c>
      <c r="AU114">
        <v>1</v>
      </c>
      <c r="AV114" s="29" t="s">
        <v>548</v>
      </c>
      <c r="AW114" s="29">
        <v>2.75</v>
      </c>
      <c r="AX114" s="29" t="s">
        <v>546</v>
      </c>
      <c r="BA114" s="29" t="s">
        <v>546</v>
      </c>
      <c r="BB114" s="29" t="s">
        <v>547</v>
      </c>
      <c r="BD114" s="29">
        <f>AW114+AZ114</f>
        <v>2.75</v>
      </c>
      <c r="BE114" s="29">
        <f>BD114+BC114</f>
        <v>2.75</v>
      </c>
      <c r="BF114" s="29" t="s">
        <v>548</v>
      </c>
      <c r="BG114" s="29" t="s">
        <v>548</v>
      </c>
      <c r="BH114" s="29" t="s">
        <v>548</v>
      </c>
      <c r="BI114" s="29" t="s">
        <v>546</v>
      </c>
      <c r="BJ114" s="29" t="s">
        <v>548</v>
      </c>
      <c r="BK114" s="29" t="s">
        <v>546</v>
      </c>
      <c r="BL114" s="29">
        <v>4</v>
      </c>
      <c r="BM114" s="29" t="s">
        <v>580</v>
      </c>
      <c r="BN114" s="29">
        <v>8</v>
      </c>
      <c r="BO114" s="29" t="s">
        <v>580</v>
      </c>
      <c r="BP114" s="29">
        <v>5</v>
      </c>
      <c r="BQ114" s="29" t="s">
        <v>580</v>
      </c>
      <c r="BS114" s="29" t="s">
        <v>547</v>
      </c>
      <c r="BT114" s="29">
        <v>2</v>
      </c>
      <c r="BU114" s="29" t="s">
        <v>580</v>
      </c>
      <c r="BW114" s="29">
        <f>(BL114*1)+(BN114*0.1)+(BP114*0.01)+(BR114*0.1)+(BT114*0.3)+(BV114*0.4)</f>
        <v>5.4499999999999993</v>
      </c>
      <c r="BX114" s="29" t="s">
        <v>2219</v>
      </c>
      <c r="BY114" s="29">
        <v>3</v>
      </c>
      <c r="BZ114" s="29">
        <v>4</v>
      </c>
      <c r="CA114" s="29">
        <v>1</v>
      </c>
      <c r="CB114" s="29">
        <v>8</v>
      </c>
      <c r="CC114" s="29">
        <v>0</v>
      </c>
      <c r="CD114" s="29">
        <v>0</v>
      </c>
      <c r="CE114" s="29">
        <v>1</v>
      </c>
      <c r="CG114" s="29">
        <f>(CC114*15)+(CD114*0.8)+(CE114*0.3)+((AW114+AZ114)*15)</f>
        <v>41.55</v>
      </c>
      <c r="CH114" s="29" t="s">
        <v>2220</v>
      </c>
      <c r="CI114" s="29">
        <f>(BL114*1)+(BN114*0.1)+(BP114*0.01)+(BR114*0.1)+(BT114*0.3)+(BV114*0.4)+(CC114*15)+(CD114*0.8)+(CE114*0.3)+((AW114+AZ114)*15)</f>
        <v>47</v>
      </c>
      <c r="CJ114" s="29" t="s">
        <v>546</v>
      </c>
      <c r="CK114" s="29" t="s">
        <v>547</v>
      </c>
      <c r="CL114" s="29" t="s">
        <v>548</v>
      </c>
      <c r="CM114" s="29" t="s">
        <v>793</v>
      </c>
      <c r="CN114" s="29">
        <v>0.25</v>
      </c>
      <c r="CO114" s="29">
        <v>1.5</v>
      </c>
      <c r="CP114" s="29">
        <v>0</v>
      </c>
      <c r="CQ114" s="29" t="s">
        <v>548</v>
      </c>
      <c r="CR114" s="29">
        <v>1</v>
      </c>
      <c r="CS114" s="29">
        <v>15</v>
      </c>
      <c r="CT114" s="29" t="s">
        <v>551</v>
      </c>
      <c r="CU114" s="30">
        <v>3.5999999999999996</v>
      </c>
      <c r="CW114" s="29">
        <v>999</v>
      </c>
      <c r="CX114" s="29" t="s">
        <v>551</v>
      </c>
      <c r="CY114" s="62"/>
      <c r="CZ114" s="29">
        <v>1</v>
      </c>
      <c r="DA114" s="29">
        <v>1</v>
      </c>
      <c r="DB114" s="29" t="s">
        <v>551</v>
      </c>
      <c r="DC114" s="62">
        <v>0.24</v>
      </c>
      <c r="DD114" s="29" t="s">
        <v>546</v>
      </c>
      <c r="DE114" s="29" t="s">
        <v>548</v>
      </c>
      <c r="DF114" s="29" t="s">
        <v>546</v>
      </c>
      <c r="DG114" s="29" t="s">
        <v>546</v>
      </c>
      <c r="DH114" s="29" t="s">
        <v>546</v>
      </c>
      <c r="DI114" s="29">
        <v>1</v>
      </c>
      <c r="DJ114" s="29">
        <v>4</v>
      </c>
      <c r="DK114" s="29" t="s">
        <v>1274</v>
      </c>
      <c r="DL114" s="29" t="s">
        <v>1275</v>
      </c>
      <c r="DM114" s="29">
        <v>-4.2771849632263184</v>
      </c>
      <c r="DN114" s="29">
        <v>35.638599395751953</v>
      </c>
      <c r="DO114" s="29">
        <v>1412.4000244140625</v>
      </c>
      <c r="DP114" s="29">
        <v>15</v>
      </c>
      <c r="DQ114" s="29">
        <v>1705231439</v>
      </c>
      <c r="DR114" s="29" t="s">
        <v>1276</v>
      </c>
      <c r="DS114" s="31">
        <v>42908.292592592596</v>
      </c>
      <c r="DT114" s="31">
        <v>42898.573796296296</v>
      </c>
      <c r="DU114" s="31">
        <v>42908.288437499999</v>
      </c>
      <c r="DV114" s="32">
        <v>42763</v>
      </c>
      <c r="DX114" s="44">
        <v>6.0900119474313028</v>
      </c>
      <c r="DY114" s="44">
        <v>5.9020071684587814</v>
      </c>
      <c r="DZ114" s="44">
        <v>5.2796666666666656</v>
      </c>
      <c r="EA114" s="44">
        <v>4.2378333333333327</v>
      </c>
      <c r="EC114" s="29">
        <f>IF(EQ114&lt;EP114,"FALSEE",1)</f>
        <v>1</v>
      </c>
      <c r="EE114" s="29" t="s">
        <v>2179</v>
      </c>
      <c r="EF114" s="29">
        <v>3.4100914001499998</v>
      </c>
      <c r="EG114" s="29" t="str">
        <f>IF(EF114&lt;0.5,"Depression",IF(EF114&lt;2,"Very gentle",IF(EF114&lt;5,"Gentle",IF(EF114&lt;9,"Moderate",IF(EF114&lt;15,"Strong",IF(EF114&lt;30,"Steep",IF(EF114&lt;1,"Very steep")))))))</f>
        <v>Gentle</v>
      </c>
      <c r="EH114" s="29" t="s">
        <v>2173</v>
      </c>
      <c r="EI114" s="29">
        <v>-0.45320102572400001</v>
      </c>
      <c r="EJ114" s="43">
        <v>11.5620450974</v>
      </c>
      <c r="EK114" s="43">
        <f>VLOOKUP(D114,[1]SoilData!$G$15:$K$237,5,FALSE)</f>
        <v>493.95374885860213</v>
      </c>
      <c r="EL114" s="43">
        <f>VLOOKUP(D114,[1]SoilData!$G$245:$K$451,5,FALSE)</f>
        <v>308.96239085527617</v>
      </c>
      <c r="EM114" s="43">
        <f>VLOOKUP(D114,[1]SoilData!$G$15:$M$238,7,FALSE)</f>
        <v>1.387</v>
      </c>
      <c r="EN114" s="43">
        <f>VLOOKUP(D114,[1]SoilData!$G$245:$M$454,7,FALSE)</f>
        <v>1.216</v>
      </c>
      <c r="EO114" s="60">
        <f>EM114-EN114</f>
        <v>0.17100000000000004</v>
      </c>
      <c r="EP114" s="44">
        <f>AVERAGE(DZ114:EA114)</f>
        <v>4.7587499999999991</v>
      </c>
      <c r="EQ114" s="44">
        <f>AVERAGE(DX114:DY114)</f>
        <v>5.9960095579450421</v>
      </c>
      <c r="ER114" s="43">
        <f>EQ114-EP114</f>
        <v>1.2372595579450429</v>
      </c>
      <c r="ES114" s="64">
        <f>IF(CU114&gt;0.000001,CU114*352,0)</f>
        <v>1267.1999999999998</v>
      </c>
      <c r="ET114" s="64">
        <f>IF(DC114&gt;0.0001,DC114*682,0)</f>
        <v>163.68</v>
      </c>
      <c r="EU114" s="64">
        <f>CY114*795</f>
        <v>0</v>
      </c>
      <c r="EV114" s="64">
        <f>ES114+ET114+EU114</f>
        <v>1430.8799999999999</v>
      </c>
      <c r="EW114" s="64">
        <f>IF(AA114="YES",3.5*18.2,0)</f>
        <v>63.699999999999996</v>
      </c>
      <c r="EX114" s="64">
        <f>EV114-EW114</f>
        <v>1367.1799999999998</v>
      </c>
    </row>
    <row r="115" spans="1:154" ht="15" x14ac:dyDescent="0.2">
      <c r="A115" s="29" t="s">
        <v>556</v>
      </c>
      <c r="B115" s="29">
        <v>222</v>
      </c>
      <c r="C115" s="29" t="s">
        <v>1129</v>
      </c>
      <c r="D115" s="29" t="s">
        <v>372</v>
      </c>
      <c r="E115" s="29" t="str">
        <f>VLOOKUP(D115,Harvest_2017_Formulae!$C$2:$D$968,2,FALSE)</f>
        <v>ORNGADIDA</v>
      </c>
      <c r="F115" s="29" t="s">
        <v>777</v>
      </c>
      <c r="G115" s="29">
        <v>0</v>
      </c>
      <c r="H115" s="61" t="str">
        <f>IF(G115&lt;0.05,"Homefield",IF(G115&lt;0.5,"Midfield","outfield"))</f>
        <v>Homefield</v>
      </c>
      <c r="I115" s="29" t="s">
        <v>557</v>
      </c>
      <c r="J115" s="61" t="s">
        <v>2233</v>
      </c>
      <c r="K115" s="61" t="s">
        <v>2233</v>
      </c>
      <c r="L115" s="67">
        <v>0</v>
      </c>
      <c r="O115" s="29" t="s">
        <v>547</v>
      </c>
      <c r="Q115" s="67">
        <v>0</v>
      </c>
      <c r="R115" s="29" t="s">
        <v>547</v>
      </c>
      <c r="U115" s="29" t="s">
        <v>547</v>
      </c>
      <c r="W115" s="29" t="s">
        <v>547</v>
      </c>
      <c r="Z115" s="29" t="s">
        <v>547</v>
      </c>
      <c r="AA115" s="61" t="s">
        <v>548</v>
      </c>
      <c r="AB115" s="29" t="s">
        <v>568</v>
      </c>
      <c r="AC115" s="67">
        <v>0</v>
      </c>
      <c r="AD115" s="29" t="s">
        <v>547</v>
      </c>
      <c r="AF115" s="29" t="s">
        <v>547</v>
      </c>
      <c r="AG115" s="29" t="s">
        <v>547</v>
      </c>
      <c r="AH115" s="29" t="s">
        <v>548</v>
      </c>
      <c r="AI115" s="29" t="s">
        <v>546</v>
      </c>
      <c r="AJ115" s="29" t="s">
        <v>547</v>
      </c>
      <c r="AK115" s="67">
        <v>0</v>
      </c>
      <c r="AL115" s="29" t="s">
        <v>547</v>
      </c>
      <c r="AO115" s="29" t="s">
        <v>547</v>
      </c>
      <c r="AP115" s="29" t="s">
        <v>547</v>
      </c>
      <c r="AQ115" s="4">
        <f>Q115+AK115</f>
        <v>0</v>
      </c>
      <c r="AR115" s="4">
        <f>L115+AC115</f>
        <v>0</v>
      </c>
      <c r="AS115" t="str">
        <f>AQ115&amp;AR115</f>
        <v>00</v>
      </c>
      <c r="AT115" s="49">
        <f>AQ115-AR115</f>
        <v>0</v>
      </c>
      <c r="AU115">
        <v>1</v>
      </c>
      <c r="AV115" s="29" t="s">
        <v>548</v>
      </c>
      <c r="AW115" s="29">
        <v>1.5</v>
      </c>
      <c r="AX115" s="29" t="s">
        <v>548</v>
      </c>
      <c r="AY115" s="29">
        <v>2</v>
      </c>
      <c r="AZ115" s="29">
        <v>3</v>
      </c>
      <c r="BA115" s="29" t="s">
        <v>546</v>
      </c>
      <c r="BB115" s="29" t="s">
        <v>547</v>
      </c>
      <c r="BD115" s="29">
        <f>AW115+AZ115</f>
        <v>4.5</v>
      </c>
      <c r="BE115" s="29">
        <f>BD115+BC115</f>
        <v>4.5</v>
      </c>
      <c r="BF115" s="29" t="s">
        <v>548</v>
      </c>
      <c r="BG115" s="29" t="s">
        <v>548</v>
      </c>
      <c r="BH115" s="29" t="s">
        <v>548</v>
      </c>
      <c r="BI115" s="29" t="s">
        <v>546</v>
      </c>
      <c r="BJ115" s="29" t="s">
        <v>546</v>
      </c>
      <c r="BK115" s="29" t="s">
        <v>546</v>
      </c>
      <c r="BL115" s="29">
        <v>5</v>
      </c>
      <c r="BM115" s="29" t="s">
        <v>549</v>
      </c>
      <c r="BN115" s="29">
        <v>3</v>
      </c>
      <c r="BO115" s="29" t="s">
        <v>549</v>
      </c>
      <c r="BP115" s="29">
        <v>18</v>
      </c>
      <c r="BQ115" s="29" t="s">
        <v>549</v>
      </c>
      <c r="BS115" s="29" t="s">
        <v>547</v>
      </c>
      <c r="BU115" s="29" t="s">
        <v>547</v>
      </c>
      <c r="BW115" s="29">
        <f>(BL115*1)+(BN115*0.1)+(BP115*0.01)+(BR115*0.1)+(BT115*0.3)+(BV115*0.4)</f>
        <v>5.4799999999999995</v>
      </c>
      <c r="BX115" s="29" t="s">
        <v>2219</v>
      </c>
      <c r="BY115" s="29">
        <v>1</v>
      </c>
      <c r="BZ115" s="29">
        <v>3</v>
      </c>
      <c r="CA115" s="29">
        <v>3</v>
      </c>
      <c r="CB115" s="29">
        <v>7</v>
      </c>
      <c r="CC115" s="29">
        <v>0</v>
      </c>
      <c r="CD115" s="29">
        <v>0</v>
      </c>
      <c r="CE115" s="29">
        <v>1</v>
      </c>
      <c r="CF115" s="29" t="s">
        <v>547</v>
      </c>
      <c r="CG115" s="29">
        <f>(CC115*15)+(CD115*0.8)+(CE115*0.3)+((AW115+AZ115)*15)</f>
        <v>67.8</v>
      </c>
      <c r="CH115" s="29" t="s">
        <v>2221</v>
      </c>
      <c r="CI115" s="29">
        <f>(BL115*1)+(BN115*0.1)+(BP115*0.01)+(BR115*0.1)+(BT115*0.3)+(BV115*0.4)+(CC115*15)+(CD115*0.8)+(CE115*0.3)+((AW115+AZ115)*15)</f>
        <v>73.28</v>
      </c>
      <c r="CJ115" s="29" t="s">
        <v>548</v>
      </c>
      <c r="CK115" s="29" t="s">
        <v>563</v>
      </c>
      <c r="CL115" s="29" t="s">
        <v>548</v>
      </c>
      <c r="CM115" s="29" t="s">
        <v>550</v>
      </c>
      <c r="CN115" s="29">
        <v>0.25</v>
      </c>
      <c r="CO115" s="29">
        <v>0.25</v>
      </c>
      <c r="CQ115" s="29" t="s">
        <v>548</v>
      </c>
      <c r="CR115" s="29">
        <v>0.5</v>
      </c>
      <c r="CS115" s="29">
        <v>9</v>
      </c>
      <c r="CT115" s="29" t="s">
        <v>551</v>
      </c>
      <c r="CU115" s="30">
        <v>4.32</v>
      </c>
      <c r="CW115" s="29">
        <v>999</v>
      </c>
      <c r="CX115" s="29" t="s">
        <v>551</v>
      </c>
      <c r="CY115" s="62"/>
      <c r="CZ115" s="29">
        <v>0.5</v>
      </c>
      <c r="DA115" s="29">
        <v>1</v>
      </c>
      <c r="DB115" s="29" t="s">
        <v>551</v>
      </c>
      <c r="DC115" s="62">
        <v>0.48</v>
      </c>
      <c r="DD115" s="29" t="s">
        <v>546</v>
      </c>
      <c r="DE115" s="29" t="s">
        <v>548</v>
      </c>
      <c r="DF115" s="29" t="s">
        <v>546</v>
      </c>
      <c r="DG115" s="29" t="s">
        <v>548</v>
      </c>
      <c r="DH115" s="29" t="s">
        <v>546</v>
      </c>
      <c r="DI115" s="29">
        <v>2</v>
      </c>
      <c r="DJ115" s="29">
        <v>3</v>
      </c>
      <c r="DK115" s="29" t="s">
        <v>1130</v>
      </c>
      <c r="DL115" s="29" t="s">
        <v>1131</v>
      </c>
      <c r="DM115" s="29">
        <v>-4.3123254776000977</v>
      </c>
      <c r="DN115" s="29">
        <v>35.874874114990234</v>
      </c>
      <c r="DO115" s="29">
        <v>1228.9000244140625</v>
      </c>
      <c r="DP115" s="29">
        <v>5</v>
      </c>
      <c r="DQ115" s="29">
        <v>1706031849</v>
      </c>
      <c r="DR115" s="29" t="s">
        <v>1132</v>
      </c>
      <c r="DS115" s="31">
        <v>42950.967673611114</v>
      </c>
      <c r="DT115" s="31">
        <v>42949.590173611112</v>
      </c>
      <c r="DU115" s="31">
        <v>42950.842858796299</v>
      </c>
      <c r="DV115" s="32">
        <v>42787</v>
      </c>
      <c r="DX115" s="44">
        <v>3.8820430107526889</v>
      </c>
      <c r="DY115" s="44">
        <v>5.4381362007168468</v>
      </c>
      <c r="DZ115" s="44">
        <v>4.7089285714285714</v>
      </c>
      <c r="EA115" s="44">
        <v>3.1178571428571429</v>
      </c>
      <c r="EC115" s="29">
        <f>IF(EQ115&lt;EP115,"FALSEE",1)</f>
        <v>1</v>
      </c>
      <c r="EE115" s="29" t="s">
        <v>2171</v>
      </c>
      <c r="EF115" s="29">
        <v>0.10922735929500001</v>
      </c>
      <c r="EG115" s="29" t="str">
        <f>IF(EF115&lt;0.5,"Depression",IF(EF115&lt;2,"Very gentle",IF(EF115&lt;5,"Gentle",IF(EF115&lt;9,"Moderate",IF(EF115&lt;15,"Strong",IF(EF115&lt;30,"Steep",IF(EF115&lt;1,"Very steep")))))))</f>
        <v>Depression</v>
      </c>
      <c r="EH115" s="29" t="s">
        <v>2173</v>
      </c>
      <c r="EI115" s="29">
        <v>0.36257606744799997</v>
      </c>
      <c r="EJ115" s="43">
        <v>11.4374370575</v>
      </c>
      <c r="EK115" s="43">
        <f>VLOOKUP(D115,[1]SoilData!$G$15:$K$237,5,FALSE)</f>
        <v>402.13526203854667</v>
      </c>
      <c r="EL115" s="43">
        <f>VLOOKUP(D115,[1]SoilData!$G$245:$K$451,5,FALSE)</f>
        <v>417.66021711276636</v>
      </c>
      <c r="EM115" s="43">
        <f>VLOOKUP(D115,[1]SoilData!$G$15:$M$238,7,FALSE)</f>
        <v>2.1419999999999999</v>
      </c>
      <c r="EN115" s="43">
        <f>VLOOKUP(D115,[1]SoilData!$G$245:$M$454,7,FALSE)</f>
        <v>1.8759999999999999</v>
      </c>
      <c r="EO115" s="60">
        <f>EM115-EN115</f>
        <v>0.26600000000000001</v>
      </c>
      <c r="EP115" s="44">
        <f>AVERAGE(DZ115:EA115)</f>
        <v>3.9133928571428571</v>
      </c>
      <c r="EQ115" s="44">
        <f>AVERAGE(DX115:DY115)</f>
        <v>4.6600896057347683</v>
      </c>
      <c r="ER115" s="43">
        <f>EQ115-EP115</f>
        <v>0.74669674859191115</v>
      </c>
      <c r="ES115" s="64">
        <f>IF(CU115&gt;0.000001,CU115*352,0)</f>
        <v>1520.64</v>
      </c>
      <c r="ET115" s="64">
        <f>IF(DC115&gt;0.0001,DC115*682,0)</f>
        <v>327.36</v>
      </c>
      <c r="EU115" s="64">
        <f>CY115*795</f>
        <v>0</v>
      </c>
      <c r="EV115" s="64">
        <f>ES115+ET115+EU115</f>
        <v>1848</v>
      </c>
      <c r="EW115" s="64">
        <f>IF(AA115="YES",3.5*18.2,0)</f>
        <v>63.699999999999996</v>
      </c>
      <c r="EX115" s="64">
        <f>EV115-EW115</f>
        <v>1784.3</v>
      </c>
    </row>
    <row r="116" spans="1:154" ht="15" x14ac:dyDescent="0.2">
      <c r="A116" s="33" t="s">
        <v>556</v>
      </c>
      <c r="B116" s="33">
        <v>153</v>
      </c>
      <c r="C116" s="33" t="s">
        <v>1429</v>
      </c>
      <c r="D116" s="33" t="s">
        <v>1429</v>
      </c>
      <c r="E116" s="33" t="e">
        <f>VLOOKUP(D116,Harvest_2017_Formulae!$C$2:$D$968,2,FALSE)</f>
        <v>#N/A</v>
      </c>
      <c r="F116" s="33" t="s">
        <v>938</v>
      </c>
      <c r="G116" s="33">
        <v>0</v>
      </c>
      <c r="H116" s="61" t="str">
        <f>IF(G116&lt;0.05,"Homefield",IF(G116&lt;0.5,"Midfield","outfield"))</f>
        <v>Homefield</v>
      </c>
      <c r="I116" s="33" t="s">
        <v>557</v>
      </c>
      <c r="J116" s="61" t="s">
        <v>2233</v>
      </c>
      <c r="K116" s="61" t="s">
        <v>2233</v>
      </c>
      <c r="L116" s="67">
        <v>0</v>
      </c>
      <c r="M116" s="33"/>
      <c r="N116" s="33"/>
      <c r="O116" s="33" t="s">
        <v>547</v>
      </c>
      <c r="P116" s="33"/>
      <c r="Q116" s="67">
        <v>0</v>
      </c>
      <c r="R116" s="33" t="s">
        <v>547</v>
      </c>
      <c r="S116" s="33"/>
      <c r="T116" s="33"/>
      <c r="U116" s="33" t="s">
        <v>547</v>
      </c>
      <c r="V116" s="33"/>
      <c r="W116" s="33" t="s">
        <v>547</v>
      </c>
      <c r="X116" s="33"/>
      <c r="Y116" s="33"/>
      <c r="Z116" s="33" t="s">
        <v>547</v>
      </c>
      <c r="AA116" s="61" t="s">
        <v>548</v>
      </c>
      <c r="AB116" s="33" t="s">
        <v>568</v>
      </c>
      <c r="AC116" s="67">
        <v>0</v>
      </c>
      <c r="AD116" s="33" t="s">
        <v>547</v>
      </c>
      <c r="AE116" s="33"/>
      <c r="AF116" s="33" t="s">
        <v>547</v>
      </c>
      <c r="AG116" s="33" t="s">
        <v>547</v>
      </c>
      <c r="AH116" s="33" t="s">
        <v>546</v>
      </c>
      <c r="AI116" s="33" t="s">
        <v>546</v>
      </c>
      <c r="AJ116" s="33" t="s">
        <v>547</v>
      </c>
      <c r="AK116" s="67">
        <v>0</v>
      </c>
      <c r="AL116" s="33" t="s">
        <v>547</v>
      </c>
      <c r="AM116" s="33"/>
      <c r="AN116" s="33"/>
      <c r="AO116" s="33" t="s">
        <v>547</v>
      </c>
      <c r="AP116" s="33" t="s">
        <v>547</v>
      </c>
      <c r="AQ116" s="4">
        <f>Q116+AK116</f>
        <v>0</v>
      </c>
      <c r="AR116" s="4">
        <f>L116+AC116</f>
        <v>0</v>
      </c>
      <c r="AS116" t="str">
        <f>AQ116&amp;AR116</f>
        <v>00</v>
      </c>
      <c r="AT116" s="49">
        <f>AQ116-AR116</f>
        <v>0</v>
      </c>
      <c r="AU116">
        <v>1</v>
      </c>
      <c r="AV116" s="33" t="s">
        <v>548</v>
      </c>
      <c r="AW116" s="33">
        <v>0.25</v>
      </c>
      <c r="AX116" s="33" t="s">
        <v>548</v>
      </c>
      <c r="AY116" s="33">
        <v>3</v>
      </c>
      <c r="AZ116" s="33">
        <v>19</v>
      </c>
      <c r="BA116" s="33" t="s">
        <v>546</v>
      </c>
      <c r="BB116" s="33" t="s">
        <v>547</v>
      </c>
      <c r="BC116" s="33"/>
      <c r="BD116" s="29">
        <f>AW116+AZ116</f>
        <v>19.25</v>
      </c>
      <c r="BE116" s="29">
        <f>BD116+BC116</f>
        <v>19.25</v>
      </c>
      <c r="BF116" s="33" t="s">
        <v>548</v>
      </c>
      <c r="BG116" s="33" t="s">
        <v>548</v>
      </c>
      <c r="BH116" s="33" t="s">
        <v>548</v>
      </c>
      <c r="BI116" s="33" t="s">
        <v>546</v>
      </c>
      <c r="BJ116" s="33" t="s">
        <v>546</v>
      </c>
      <c r="BK116" s="33" t="s">
        <v>546</v>
      </c>
      <c r="BL116" s="33">
        <v>5</v>
      </c>
      <c r="BM116" s="33" t="s">
        <v>549</v>
      </c>
      <c r="BN116" s="33">
        <v>6</v>
      </c>
      <c r="BO116" s="33" t="s">
        <v>549</v>
      </c>
      <c r="BP116" s="33">
        <v>8</v>
      </c>
      <c r="BQ116" s="33" t="s">
        <v>549</v>
      </c>
      <c r="BR116" s="33"/>
      <c r="BS116" s="33" t="s">
        <v>547</v>
      </c>
      <c r="BT116" s="33"/>
      <c r="BU116" s="33" t="s">
        <v>547</v>
      </c>
      <c r="BV116" s="33"/>
      <c r="BW116" s="29">
        <f>(BL116*1)+(BN116*0.1)+(BP116*0.01)+(BR116*0.1)+(BT116*0.3)+(BV116*0.4)</f>
        <v>5.68</v>
      </c>
      <c r="BX116" s="29" t="s">
        <v>2219</v>
      </c>
      <c r="BY116" s="33">
        <v>3</v>
      </c>
      <c r="BZ116" s="33">
        <v>2</v>
      </c>
      <c r="CA116" s="33">
        <v>4</v>
      </c>
      <c r="CB116" s="33">
        <v>9</v>
      </c>
      <c r="CC116" s="33">
        <v>1</v>
      </c>
      <c r="CD116" s="33">
        <v>0</v>
      </c>
      <c r="CE116" s="33">
        <v>0</v>
      </c>
      <c r="CF116" s="33" t="s">
        <v>547</v>
      </c>
      <c r="CG116" s="29">
        <f>(CC116*15)+(CD116*0.8)+(CE116*0.3)+((AW116+AZ116)*15)</f>
        <v>303.75</v>
      </c>
      <c r="CH116" s="29" t="s">
        <v>2221</v>
      </c>
      <c r="CI116" s="29">
        <f>(BL116*1)+(BN116*0.1)+(BP116*0.01)+(BR116*0.1)+(BT116*0.3)+(BV116*0.4)+(CC116*15)+(CD116*0.8)+(CE116*0.3)+((AW116+AZ116)*15)</f>
        <v>309.43</v>
      </c>
      <c r="CJ116" s="33" t="s">
        <v>546</v>
      </c>
      <c r="CK116" s="33" t="s">
        <v>547</v>
      </c>
      <c r="CL116" s="33" t="s">
        <v>548</v>
      </c>
      <c r="CM116" s="33" t="s">
        <v>550</v>
      </c>
      <c r="CN116" s="33">
        <v>0.25</v>
      </c>
      <c r="CO116" s="33">
        <v>4.75</v>
      </c>
      <c r="CP116" s="33"/>
      <c r="CQ116" s="33" t="s">
        <v>548</v>
      </c>
      <c r="CR116" s="33">
        <v>5</v>
      </c>
      <c r="CS116" s="33">
        <v>25</v>
      </c>
      <c r="CT116" s="33" t="s">
        <v>551</v>
      </c>
      <c r="CU116" s="33">
        <v>1.2</v>
      </c>
      <c r="CV116" s="33"/>
      <c r="CW116" s="33">
        <v>999</v>
      </c>
      <c r="CX116" s="33" t="s">
        <v>551</v>
      </c>
      <c r="CY116" s="63"/>
      <c r="CZ116" s="33">
        <v>5</v>
      </c>
      <c r="DA116" s="33">
        <v>10</v>
      </c>
      <c r="DB116" s="33" t="s">
        <v>551</v>
      </c>
      <c r="DC116" s="63">
        <v>0.48</v>
      </c>
      <c r="DD116" s="33" t="s">
        <v>546</v>
      </c>
      <c r="DE116" s="33" t="s">
        <v>548</v>
      </c>
      <c r="DF116" s="33" t="s">
        <v>546</v>
      </c>
      <c r="DG116" s="33" t="s">
        <v>546</v>
      </c>
      <c r="DH116" s="33" t="s">
        <v>546</v>
      </c>
      <c r="DI116" s="33">
        <v>1</v>
      </c>
      <c r="DJ116" s="33">
        <v>3</v>
      </c>
      <c r="DK116" s="33" t="s">
        <v>1430</v>
      </c>
      <c r="DL116" s="33" t="s">
        <v>1431</v>
      </c>
      <c r="DM116" s="33">
        <v>-4.2844042778015137</v>
      </c>
      <c r="DN116" s="33">
        <v>35.891590118408203</v>
      </c>
      <c r="DO116" s="33">
        <v>1222.199951171875</v>
      </c>
      <c r="DP116" s="33">
        <v>5</v>
      </c>
      <c r="DQ116" s="33">
        <v>1706031849</v>
      </c>
      <c r="DR116" s="33" t="s">
        <v>1432</v>
      </c>
      <c r="DS116" s="37">
        <v>42913.638645833329</v>
      </c>
      <c r="DT116" s="37">
        <v>42913.626597222217</v>
      </c>
      <c r="DU116" s="37">
        <v>42913.634768518517</v>
      </c>
      <c r="DV116" s="38">
        <v>42774</v>
      </c>
      <c r="EC116" s="29">
        <f>IF(EQ116&lt;EP116,"FALSEE",1)</f>
        <v>1</v>
      </c>
      <c r="EE116" s="29" t="s">
        <v>2171</v>
      </c>
      <c r="EF116" s="29">
        <v>0.93315756320999999</v>
      </c>
      <c r="EG116" s="29" t="str">
        <f>IF(EF116&lt;0.5,"Depression",IF(EF116&lt;2,"Very gentle",IF(EF116&lt;5,"Gentle",IF(EF116&lt;9,"Moderate",IF(EF116&lt;15,"Strong",IF(EF116&lt;30,"Steep",IF(EF116&lt;1,"Very steep")))))))</f>
        <v>Very gentle</v>
      </c>
      <c r="EH116" s="29" t="s">
        <v>2173</v>
      </c>
      <c r="EI116" s="29">
        <v>0.27193418145199999</v>
      </c>
      <c r="EJ116" s="43">
        <v>9.0723009109500001</v>
      </c>
      <c r="EK116" s="43"/>
      <c r="EL116" s="43"/>
      <c r="EM116" s="43"/>
      <c r="EN116" s="43"/>
      <c r="EO116" s="60"/>
      <c r="EP116" s="43"/>
      <c r="EQ116" s="43"/>
      <c r="ER116" s="43"/>
      <c r="ES116" s="64">
        <f>IF(CU116&gt;0.000001,CU116*352,0)</f>
        <v>422.4</v>
      </c>
      <c r="ET116" s="64">
        <f>IF(DC116&gt;0.0001,DC116*682,0)</f>
        <v>327.36</v>
      </c>
      <c r="EU116" s="64">
        <f>CY116*795</f>
        <v>0</v>
      </c>
      <c r="EV116" s="64">
        <f>ES116+ET116+EU116</f>
        <v>749.76</v>
      </c>
      <c r="EW116" s="64">
        <f>IF(AA116="YES",3.5*18.2,0)</f>
        <v>63.699999999999996</v>
      </c>
      <c r="EX116" s="64">
        <f>EV116-EW116</f>
        <v>686.06</v>
      </c>
    </row>
    <row r="117" spans="1:154" ht="15" x14ac:dyDescent="0.2">
      <c r="A117" s="29" t="s">
        <v>556</v>
      </c>
      <c r="B117" s="29">
        <v>172</v>
      </c>
      <c r="C117" s="29" t="s">
        <v>335</v>
      </c>
      <c r="D117" s="29" t="s">
        <v>335</v>
      </c>
      <c r="E117" s="29" t="str">
        <f>VLOOKUP(D117,Harvest_2017_Formulae!$C$2:$D$968,2,FALSE)</f>
        <v>DURU</v>
      </c>
      <c r="F117" s="29" t="s">
        <v>645</v>
      </c>
      <c r="G117" s="29">
        <v>0</v>
      </c>
      <c r="H117" s="61" t="str">
        <f>IF(G117&lt;0.05,"Homefield",IF(G117&lt;0.5,"Midfield","outfield"))</f>
        <v>Homefield</v>
      </c>
      <c r="I117" s="29" t="s">
        <v>557</v>
      </c>
      <c r="J117" s="61" t="s">
        <v>2233</v>
      </c>
      <c r="K117" s="61" t="s">
        <v>2233</v>
      </c>
      <c r="L117" s="67">
        <v>0</v>
      </c>
      <c r="O117" s="29" t="s">
        <v>547</v>
      </c>
      <c r="Q117" s="67">
        <v>0</v>
      </c>
      <c r="R117" s="29" t="s">
        <v>547</v>
      </c>
      <c r="U117" s="29" t="s">
        <v>547</v>
      </c>
      <c r="W117" s="29" t="s">
        <v>547</v>
      </c>
      <c r="Z117" s="29" t="s">
        <v>547</v>
      </c>
      <c r="AA117" s="61" t="s">
        <v>548</v>
      </c>
      <c r="AB117" s="29" t="s">
        <v>568</v>
      </c>
      <c r="AC117" s="67">
        <v>0</v>
      </c>
      <c r="AD117" s="29" t="s">
        <v>547</v>
      </c>
      <c r="AF117" s="29" t="s">
        <v>547</v>
      </c>
      <c r="AG117" s="29" t="s">
        <v>547</v>
      </c>
      <c r="AH117" s="29" t="s">
        <v>546</v>
      </c>
      <c r="AI117" s="29" t="s">
        <v>546</v>
      </c>
      <c r="AJ117" s="29" t="s">
        <v>547</v>
      </c>
      <c r="AK117" s="67">
        <v>0</v>
      </c>
      <c r="AL117" s="29" t="s">
        <v>547</v>
      </c>
      <c r="AO117" s="29" t="s">
        <v>547</v>
      </c>
      <c r="AP117" s="29" t="s">
        <v>547</v>
      </c>
      <c r="AQ117" s="4">
        <f>Q117+AK117</f>
        <v>0</v>
      </c>
      <c r="AR117" s="4">
        <f>L117+AC117</f>
        <v>0</v>
      </c>
      <c r="AS117" t="str">
        <f>AQ117&amp;AR117</f>
        <v>00</v>
      </c>
      <c r="AT117" s="49">
        <f>AQ117-AR117</f>
        <v>0</v>
      </c>
      <c r="AU117">
        <v>1</v>
      </c>
      <c r="AV117" s="29" t="s">
        <v>548</v>
      </c>
      <c r="AW117" s="29">
        <v>3.75</v>
      </c>
      <c r="AX117" s="29" t="s">
        <v>548</v>
      </c>
      <c r="AY117" s="29">
        <v>2</v>
      </c>
      <c r="AZ117" s="29">
        <v>4</v>
      </c>
      <c r="BA117" s="29" t="s">
        <v>546</v>
      </c>
      <c r="BB117" s="29" t="s">
        <v>547</v>
      </c>
      <c r="BD117" s="29">
        <f>AW117+AZ117</f>
        <v>7.75</v>
      </c>
      <c r="BE117" s="29">
        <f>BD117+BC117</f>
        <v>7.75</v>
      </c>
      <c r="BF117" s="29" t="s">
        <v>548</v>
      </c>
      <c r="BG117" s="29" t="s">
        <v>546</v>
      </c>
      <c r="BH117" s="29" t="s">
        <v>548</v>
      </c>
      <c r="BI117" s="29" t="s">
        <v>546</v>
      </c>
      <c r="BJ117" s="29" t="s">
        <v>546</v>
      </c>
      <c r="BK117" s="29" t="s">
        <v>546</v>
      </c>
      <c r="BL117" s="29">
        <v>6</v>
      </c>
      <c r="BM117" s="29" t="s">
        <v>549</v>
      </c>
      <c r="BO117" s="29" t="s">
        <v>547</v>
      </c>
      <c r="BP117" s="29">
        <v>3</v>
      </c>
      <c r="BQ117" s="29" t="s">
        <v>549</v>
      </c>
      <c r="BS117" s="29" t="s">
        <v>547</v>
      </c>
      <c r="BU117" s="29" t="s">
        <v>547</v>
      </c>
      <c r="BW117" s="29">
        <f>(BL117*1)+(BN117*0.1)+(BP117*0.01)+(BR117*0.1)+(BT117*0.3)+(BV117*0.4)</f>
        <v>6.03</v>
      </c>
      <c r="BX117" s="29" t="s">
        <v>2219</v>
      </c>
      <c r="BY117" s="29">
        <v>1</v>
      </c>
      <c r="BZ117" s="29">
        <v>1</v>
      </c>
      <c r="CA117" s="29">
        <v>8</v>
      </c>
      <c r="CB117" s="29">
        <v>10</v>
      </c>
      <c r="CC117" s="29">
        <v>0</v>
      </c>
      <c r="CD117" s="29">
        <v>0</v>
      </c>
      <c r="CE117" s="29">
        <v>0</v>
      </c>
      <c r="CF117" s="29" t="s">
        <v>547</v>
      </c>
      <c r="CG117" s="29">
        <f>(CC117*15)+(CD117*0.8)+(CE117*0.3)+((AW117+AZ117)*15)</f>
        <v>116.25</v>
      </c>
      <c r="CH117" s="29" t="s">
        <v>2221</v>
      </c>
      <c r="CI117" s="29">
        <f>(BL117*1)+(BN117*0.1)+(BP117*0.01)+(BR117*0.1)+(BT117*0.3)+(BV117*0.4)+(CC117*15)+(CD117*0.8)+(CE117*0.3)+((AW117+AZ117)*15)</f>
        <v>122.28</v>
      </c>
      <c r="CJ117" s="29" t="s">
        <v>546</v>
      </c>
      <c r="CK117" s="29" t="s">
        <v>547</v>
      </c>
      <c r="CL117" s="29" t="s">
        <v>548</v>
      </c>
      <c r="CM117" s="29" t="s">
        <v>550</v>
      </c>
      <c r="CN117" s="29">
        <v>0.25</v>
      </c>
      <c r="CO117" s="29">
        <v>2.75</v>
      </c>
      <c r="CQ117" s="29" t="s">
        <v>546</v>
      </c>
      <c r="CR117" s="29">
        <v>3.5</v>
      </c>
      <c r="CS117" s="29">
        <v>35</v>
      </c>
      <c r="CT117" s="29" t="s">
        <v>551</v>
      </c>
      <c r="CU117" s="30">
        <v>2.4</v>
      </c>
      <c r="CW117" s="29">
        <v>999</v>
      </c>
      <c r="CX117" s="29" t="s">
        <v>551</v>
      </c>
      <c r="CY117" s="62"/>
      <c r="CZ117" s="29">
        <v>3.5</v>
      </c>
      <c r="DA117" s="29">
        <v>2</v>
      </c>
      <c r="DB117" s="29" t="s">
        <v>551</v>
      </c>
      <c r="DC117" s="62">
        <v>0.13714285714285715</v>
      </c>
      <c r="DD117" s="29" t="s">
        <v>546</v>
      </c>
      <c r="DE117" s="29" t="s">
        <v>548</v>
      </c>
      <c r="DF117" s="29" t="s">
        <v>546</v>
      </c>
      <c r="DG117" s="29" t="s">
        <v>548</v>
      </c>
      <c r="DH117" s="29" t="s">
        <v>546</v>
      </c>
      <c r="DI117" s="29">
        <v>2</v>
      </c>
      <c r="DJ117" s="29">
        <v>4</v>
      </c>
      <c r="DK117" s="29" t="s">
        <v>695</v>
      </c>
      <c r="DL117" s="29" t="s">
        <v>696</v>
      </c>
      <c r="DM117" s="29">
        <v>-4.3725309371948242</v>
      </c>
      <c r="DN117" s="29">
        <v>35.595748901367188</v>
      </c>
      <c r="DO117" s="29">
        <v>1536.5999755859375</v>
      </c>
      <c r="DP117" s="29">
        <v>5</v>
      </c>
      <c r="DQ117" s="29">
        <v>1706031849</v>
      </c>
      <c r="DR117" s="29" t="s">
        <v>697</v>
      </c>
      <c r="DS117" s="31">
        <v>42921.432708333334</v>
      </c>
      <c r="DT117" s="31">
        <v>42920.46601851852</v>
      </c>
      <c r="DU117" s="31">
        <v>42920.554143518515</v>
      </c>
      <c r="DV117" s="32">
        <v>42761</v>
      </c>
      <c r="DX117" s="44">
        <v>4.5354878048780485</v>
      </c>
      <c r="DY117" s="44">
        <v>3.4836585365853656</v>
      </c>
      <c r="DZ117" s="44">
        <v>3.2498974358974357</v>
      </c>
      <c r="EA117" s="44">
        <v>1.6292136752136752</v>
      </c>
      <c r="EC117" s="29">
        <f>IF(EQ117&lt;EP117,"FALSEE",1)</f>
        <v>1</v>
      </c>
      <c r="EE117" s="29" t="s">
        <v>2171</v>
      </c>
      <c r="EF117" s="29">
        <v>1.85621762276</v>
      </c>
      <c r="EG117" s="29" t="str">
        <f>IF(EF117&lt;0.5,"Depression",IF(EF117&lt;2,"Very gentle",IF(EF117&lt;5,"Gentle",IF(EF117&lt;9,"Moderate",IF(EF117&lt;15,"Strong",IF(EF117&lt;30,"Steep",IF(EF117&lt;1,"Very steep")))))))</f>
        <v>Very gentle</v>
      </c>
      <c r="EH117" s="29" t="s">
        <v>2172</v>
      </c>
      <c r="EI117" s="29">
        <v>-0.54384291171999999</v>
      </c>
      <c r="EJ117" s="43">
        <v>12.278872489899999</v>
      </c>
      <c r="EK117" s="43">
        <f>VLOOKUP(D117,[1]SoilData!$G$15:$K$237,5,FALSE)</f>
        <v>157.25029749836568</v>
      </c>
      <c r="EL117" s="43">
        <f>VLOOKUP(D117,[1]SoilData!$G$245:$K$451,5,FALSE)</f>
        <v>54.88122197839354</v>
      </c>
      <c r="EM117" s="43">
        <f>VLOOKUP(D117,[1]SoilData!$G$15:$M$238,7,FALSE)</f>
        <v>0.75600000000000001</v>
      </c>
      <c r="EN117" s="43">
        <f>VLOOKUP(D117,[1]SoilData!$G$245:$M$454,7,FALSE)</f>
        <v>0.624</v>
      </c>
      <c r="EO117" s="60">
        <f>EM117-EN117</f>
        <v>0.13200000000000001</v>
      </c>
      <c r="EP117" s="44">
        <f>AVERAGE(DZ117:EA117)</f>
        <v>2.4395555555555557</v>
      </c>
      <c r="EQ117" s="44">
        <f>AVERAGE(DX117:DY117)</f>
        <v>4.0095731707317075</v>
      </c>
      <c r="ER117" s="43">
        <f>EQ117-EP117</f>
        <v>1.5700176151761518</v>
      </c>
      <c r="ES117" s="64">
        <f>IF(CU117&gt;0.000001,CU117*352,0)</f>
        <v>844.8</v>
      </c>
      <c r="ET117" s="64">
        <f>IF(DC117&gt;0.0001,DC117*682,0)</f>
        <v>93.531428571428577</v>
      </c>
      <c r="EU117" s="64">
        <f>CY117*795</f>
        <v>0</v>
      </c>
      <c r="EV117" s="64">
        <f>ES117+ET117+EU117</f>
        <v>938.33142857142855</v>
      </c>
      <c r="EW117" s="64">
        <f>IF(AA117="YES",3.5*18.2,0)</f>
        <v>63.699999999999996</v>
      </c>
      <c r="EX117" s="64">
        <f>EV117-EW117</f>
        <v>874.6314285714285</v>
      </c>
    </row>
    <row r="118" spans="1:154" ht="15" x14ac:dyDescent="0.2">
      <c r="A118" s="29" t="s">
        <v>556</v>
      </c>
      <c r="B118" s="29">
        <v>171</v>
      </c>
      <c r="C118" s="29" t="s">
        <v>337</v>
      </c>
      <c r="D118" s="29" t="s">
        <v>337</v>
      </c>
      <c r="E118" s="29" t="str">
        <f>VLOOKUP(D118,Harvest_2017_Formulae!$C$2:$D$968,2,FALSE)</f>
        <v>DURU</v>
      </c>
      <c r="F118" s="29" t="s">
        <v>645</v>
      </c>
      <c r="G118" s="29">
        <v>0</v>
      </c>
      <c r="H118" s="61" t="str">
        <f>IF(G118&lt;0.05,"Homefield",IF(G118&lt;0.5,"Midfield","outfield"))</f>
        <v>Homefield</v>
      </c>
      <c r="I118" s="29" t="s">
        <v>557</v>
      </c>
      <c r="J118" s="61" t="s">
        <v>2233</v>
      </c>
      <c r="K118" s="61" t="s">
        <v>2233</v>
      </c>
      <c r="L118" s="67">
        <v>0</v>
      </c>
      <c r="O118" s="29" t="s">
        <v>547</v>
      </c>
      <c r="Q118" s="67">
        <v>0</v>
      </c>
      <c r="R118" s="29" t="s">
        <v>547</v>
      </c>
      <c r="U118" s="29" t="s">
        <v>547</v>
      </c>
      <c r="W118" s="29" t="s">
        <v>547</v>
      </c>
      <c r="Z118" s="29" t="s">
        <v>547</v>
      </c>
      <c r="AA118" s="61" t="s">
        <v>548</v>
      </c>
      <c r="AB118" s="29" t="s">
        <v>568</v>
      </c>
      <c r="AC118" s="67">
        <v>0</v>
      </c>
      <c r="AD118" s="29" t="s">
        <v>547</v>
      </c>
      <c r="AF118" s="29" t="s">
        <v>547</v>
      </c>
      <c r="AG118" s="29" t="s">
        <v>547</v>
      </c>
      <c r="AH118" s="29" t="s">
        <v>546</v>
      </c>
      <c r="AI118" s="29" t="s">
        <v>546</v>
      </c>
      <c r="AJ118" s="29" t="s">
        <v>547</v>
      </c>
      <c r="AK118" s="67">
        <v>0</v>
      </c>
      <c r="AL118" s="29" t="s">
        <v>547</v>
      </c>
      <c r="AO118" s="29" t="s">
        <v>547</v>
      </c>
      <c r="AP118" s="29" t="s">
        <v>547</v>
      </c>
      <c r="AQ118" s="4">
        <f>Q118+AK118</f>
        <v>0</v>
      </c>
      <c r="AR118" s="4">
        <f>L118+AC118</f>
        <v>0</v>
      </c>
      <c r="AS118" t="str">
        <f>AQ118&amp;AR118</f>
        <v>00</v>
      </c>
      <c r="AT118" s="49">
        <f>AQ118-AR118</f>
        <v>0</v>
      </c>
      <c r="AU118">
        <v>1</v>
      </c>
      <c r="AV118" s="29" t="s">
        <v>548</v>
      </c>
      <c r="AW118" s="29">
        <v>3.75</v>
      </c>
      <c r="AX118" s="29" t="s">
        <v>548</v>
      </c>
      <c r="AY118" s="29">
        <v>2</v>
      </c>
      <c r="AZ118" s="29">
        <v>4</v>
      </c>
      <c r="BA118" s="29" t="s">
        <v>546</v>
      </c>
      <c r="BB118" s="29" t="s">
        <v>547</v>
      </c>
      <c r="BD118" s="29">
        <f>AW118+AZ118</f>
        <v>7.75</v>
      </c>
      <c r="BE118" s="29">
        <f>BD118+BC118</f>
        <v>7.75</v>
      </c>
      <c r="BF118" s="29" t="s">
        <v>548</v>
      </c>
      <c r="BG118" s="29" t="s">
        <v>546</v>
      </c>
      <c r="BH118" s="29" t="s">
        <v>548</v>
      </c>
      <c r="BI118" s="29" t="s">
        <v>546</v>
      </c>
      <c r="BJ118" s="29" t="s">
        <v>546</v>
      </c>
      <c r="BK118" s="29" t="s">
        <v>546</v>
      </c>
      <c r="BL118" s="29">
        <v>6</v>
      </c>
      <c r="BM118" s="29" t="s">
        <v>549</v>
      </c>
      <c r="BO118" s="29" t="s">
        <v>547</v>
      </c>
      <c r="BP118" s="29">
        <v>3</v>
      </c>
      <c r="BQ118" s="29" t="s">
        <v>549</v>
      </c>
      <c r="BS118" s="29" t="s">
        <v>547</v>
      </c>
      <c r="BU118" s="29" t="s">
        <v>547</v>
      </c>
      <c r="BW118" s="29">
        <f>(BL118*1)+(BN118*0.1)+(BP118*0.01)+(BR118*0.1)+(BT118*0.3)+(BV118*0.4)</f>
        <v>6.03</v>
      </c>
      <c r="BX118" s="29" t="s">
        <v>2219</v>
      </c>
      <c r="BY118" s="29">
        <v>1</v>
      </c>
      <c r="BZ118" s="29">
        <v>1</v>
      </c>
      <c r="CA118" s="29">
        <v>8</v>
      </c>
      <c r="CB118" s="29">
        <v>10</v>
      </c>
      <c r="CC118" s="29">
        <v>0</v>
      </c>
      <c r="CD118" s="29">
        <v>0</v>
      </c>
      <c r="CE118" s="29">
        <v>1</v>
      </c>
      <c r="CF118" s="29" t="s">
        <v>547</v>
      </c>
      <c r="CG118" s="29">
        <f>(CC118*15)+(CD118*0.8)+(CE118*0.3)+((AW118+AZ118)*15)</f>
        <v>116.55</v>
      </c>
      <c r="CH118" s="29" t="s">
        <v>2221</v>
      </c>
      <c r="CI118" s="29">
        <f>(BL118*1)+(BN118*0.1)+(BP118*0.01)+(BR118*0.1)+(BT118*0.3)+(BV118*0.4)+(CC118*15)+(CD118*0.8)+(CE118*0.3)+((AW118+AZ118)*15)</f>
        <v>122.58</v>
      </c>
      <c r="CJ118" s="29" t="s">
        <v>546</v>
      </c>
      <c r="CK118" s="29" t="s">
        <v>547</v>
      </c>
      <c r="CL118" s="29" t="s">
        <v>548</v>
      </c>
      <c r="CM118" s="29" t="s">
        <v>550</v>
      </c>
      <c r="CN118" s="29">
        <v>0.25</v>
      </c>
      <c r="CO118" s="29">
        <v>3.25</v>
      </c>
      <c r="CQ118" s="29" t="s">
        <v>546</v>
      </c>
      <c r="CR118" s="29">
        <v>3.5</v>
      </c>
      <c r="CS118" s="29">
        <v>30</v>
      </c>
      <c r="CT118" s="29" t="s">
        <v>551</v>
      </c>
      <c r="CU118" s="30">
        <v>2.0571428571428569</v>
      </c>
      <c r="CW118" s="29">
        <v>999</v>
      </c>
      <c r="CX118" s="29" t="s">
        <v>551</v>
      </c>
      <c r="CY118" s="62"/>
      <c r="CZ118" s="29">
        <v>3.5</v>
      </c>
      <c r="DA118" s="29">
        <v>6</v>
      </c>
      <c r="DB118" s="29" t="s">
        <v>551</v>
      </c>
      <c r="DC118" s="62">
        <v>0.41142857142857142</v>
      </c>
      <c r="DD118" s="29" t="s">
        <v>546</v>
      </c>
      <c r="DE118" s="29" t="s">
        <v>548</v>
      </c>
      <c r="DF118" s="29" t="s">
        <v>546</v>
      </c>
      <c r="DG118" s="29" t="s">
        <v>548</v>
      </c>
      <c r="DH118" s="29" t="s">
        <v>546</v>
      </c>
      <c r="DI118" s="29">
        <v>2</v>
      </c>
      <c r="DJ118" s="29">
        <v>4</v>
      </c>
      <c r="DK118" s="29" t="s">
        <v>702</v>
      </c>
      <c r="DL118" s="29" t="s">
        <v>703</v>
      </c>
      <c r="DM118" s="29">
        <v>-4.3727331161499023</v>
      </c>
      <c r="DN118" s="29">
        <v>35.595802307128906</v>
      </c>
      <c r="DO118" s="29">
        <v>1517.9000244140625</v>
      </c>
      <c r="DP118" s="29">
        <v>5</v>
      </c>
      <c r="DQ118" s="29">
        <v>1706031849</v>
      </c>
      <c r="DR118" s="29" t="s">
        <v>704</v>
      </c>
      <c r="DS118" s="31">
        <v>42921.43268518518</v>
      </c>
      <c r="DT118" s="31">
        <v>42920.441817129627</v>
      </c>
      <c r="DU118" s="31">
        <v>42920.465925925921</v>
      </c>
      <c r="DV118" s="32">
        <v>42761</v>
      </c>
      <c r="DX118" s="44">
        <v>2.3739898989898993</v>
      </c>
      <c r="DY118" s="44">
        <v>2.9954166666666668</v>
      </c>
      <c r="DZ118" s="44">
        <v>1.5058479532163744</v>
      </c>
      <c r="EA118" s="44">
        <v>2.7558479532163749</v>
      </c>
      <c r="EC118" s="29">
        <f>IF(EQ118&lt;EP118,"FALSEE",1)</f>
        <v>1</v>
      </c>
      <c r="EE118" s="29" t="s">
        <v>2171</v>
      </c>
      <c r="EF118" s="29">
        <v>1.85621762276</v>
      </c>
      <c r="EG118" s="29" t="str">
        <f>IF(EF118&lt;0.5,"Depression",IF(EF118&lt;2,"Very gentle",IF(EF118&lt;5,"Gentle",IF(EF118&lt;9,"Moderate",IF(EF118&lt;15,"Strong",IF(EF118&lt;30,"Steep",IF(EF118&lt;1,"Very steep")))))))</f>
        <v>Very gentle</v>
      </c>
      <c r="EH118" s="29" t="s">
        <v>2172</v>
      </c>
      <c r="EI118" s="29">
        <v>-0.54384291171999999</v>
      </c>
      <c r="EJ118" s="43">
        <v>12.278872489899999</v>
      </c>
      <c r="EK118" s="43">
        <f>VLOOKUP(D118,[1]SoilData!$G$15:$K$237,5,FALSE)</f>
        <v>224.66245065830302</v>
      </c>
      <c r="EL118" s="43"/>
      <c r="EM118" s="43">
        <f>VLOOKUP(D118,[1]SoilData!$G$15:$M$238,7,FALSE)</f>
        <v>0.81</v>
      </c>
      <c r="EN118" s="43"/>
      <c r="EO118" s="60"/>
      <c r="EP118" s="44">
        <f>AVERAGE(DZ118:EA118)</f>
        <v>2.1308479532163744</v>
      </c>
      <c r="EQ118" s="44">
        <f>AVERAGE(DX118:DY118)</f>
        <v>2.6847032828282833</v>
      </c>
      <c r="ER118" s="43">
        <f>EQ118-EP118</f>
        <v>0.55385532961190886</v>
      </c>
      <c r="ES118" s="64">
        <f>IF(CU118&gt;0.000001,CU118*352,0)</f>
        <v>724.11428571428564</v>
      </c>
      <c r="ET118" s="64">
        <f>IF(DC118&gt;0.0001,DC118*682,0)</f>
        <v>280.59428571428572</v>
      </c>
      <c r="EU118" s="64">
        <f>CY118*795</f>
        <v>0</v>
      </c>
      <c r="EV118" s="64">
        <f>ES118+ET118+EU118</f>
        <v>1004.7085714285713</v>
      </c>
      <c r="EW118" s="64">
        <f>IF(AA118="YES",3.5*18.2,0)</f>
        <v>63.699999999999996</v>
      </c>
      <c r="EX118" s="64">
        <f>EV118-EW118</f>
        <v>941.00857142857126</v>
      </c>
    </row>
    <row r="119" spans="1:154" ht="15" x14ac:dyDescent="0.2">
      <c r="A119" s="29" t="s">
        <v>789</v>
      </c>
      <c r="B119" s="29">
        <v>49</v>
      </c>
      <c r="C119" s="29" t="s">
        <v>210</v>
      </c>
      <c r="D119" s="29" t="s">
        <v>210</v>
      </c>
      <c r="E119" s="29" t="str">
        <f>VLOOKUP(D119,Harvest_2017_Formulae!$C$2:$D$968,2,FALSE)</f>
        <v>MANDI</v>
      </c>
      <c r="F119" s="29" t="s">
        <v>1014</v>
      </c>
      <c r="G119" s="29">
        <v>1</v>
      </c>
      <c r="H119" s="61" t="str">
        <f>IF(G119&lt;0.05,"Homefield",IF(G119&lt;0.5,"Midfield","outfield"))</f>
        <v>outfield</v>
      </c>
      <c r="I119" s="29" t="s">
        <v>557</v>
      </c>
      <c r="J119" s="61" t="s">
        <v>2233</v>
      </c>
      <c r="K119" s="61" t="s">
        <v>2233</v>
      </c>
      <c r="L119" s="67">
        <v>0</v>
      </c>
      <c r="O119" s="29" t="s">
        <v>547</v>
      </c>
      <c r="Q119" s="67">
        <v>0</v>
      </c>
      <c r="R119" s="29" t="s">
        <v>547</v>
      </c>
      <c r="T119" s="29" t="s">
        <v>559</v>
      </c>
      <c r="U119" s="29" t="s">
        <v>560</v>
      </c>
      <c r="W119" s="41" t="s">
        <v>635</v>
      </c>
      <c r="Z119" s="29" t="s">
        <v>547</v>
      </c>
      <c r="AA119" s="61" t="s">
        <v>548</v>
      </c>
      <c r="AB119" s="29" t="s">
        <v>568</v>
      </c>
      <c r="AC119" s="67">
        <v>0</v>
      </c>
      <c r="AD119" s="29" t="s">
        <v>547</v>
      </c>
      <c r="AF119" s="29" t="s">
        <v>547</v>
      </c>
      <c r="AG119" s="29" t="s">
        <v>547</v>
      </c>
      <c r="AH119" s="29" t="s">
        <v>548</v>
      </c>
      <c r="AI119" s="29" t="s">
        <v>546</v>
      </c>
      <c r="AK119" s="67">
        <v>0</v>
      </c>
      <c r="AL119" s="29" t="s">
        <v>547</v>
      </c>
      <c r="AO119" s="29" t="s">
        <v>547</v>
      </c>
      <c r="AP119" s="29" t="s">
        <v>547</v>
      </c>
      <c r="AQ119" s="4">
        <f>Q119+AK119</f>
        <v>0</v>
      </c>
      <c r="AR119" s="4">
        <f>L119+AC119</f>
        <v>0</v>
      </c>
      <c r="AS119" t="str">
        <f>AQ119&amp;AR119</f>
        <v>00</v>
      </c>
      <c r="AT119" s="49">
        <f>AQ119-AR119</f>
        <v>0</v>
      </c>
      <c r="AU119">
        <v>1</v>
      </c>
      <c r="AV119" s="29" t="s">
        <v>548</v>
      </c>
      <c r="AW119" s="29">
        <v>0.5</v>
      </c>
      <c r="AX119" s="29" t="s">
        <v>548</v>
      </c>
      <c r="AY119" s="29">
        <v>3</v>
      </c>
      <c r="AZ119" s="29">
        <v>3</v>
      </c>
      <c r="BA119" s="29" t="s">
        <v>546</v>
      </c>
      <c r="BB119" s="29" t="s">
        <v>547</v>
      </c>
      <c r="BD119" s="29">
        <f>AW119+AZ119</f>
        <v>3.5</v>
      </c>
      <c r="BE119" s="29">
        <f>BD119+BC119</f>
        <v>3.5</v>
      </c>
      <c r="BF119" s="29" t="s">
        <v>548</v>
      </c>
      <c r="BG119" s="29" t="s">
        <v>548</v>
      </c>
      <c r="BH119" s="29" t="s">
        <v>548</v>
      </c>
      <c r="BI119" s="29" t="s">
        <v>548</v>
      </c>
      <c r="BJ119" s="29" t="s">
        <v>548</v>
      </c>
      <c r="BK119" s="29" t="s">
        <v>546</v>
      </c>
      <c r="BL119" s="29">
        <v>5</v>
      </c>
      <c r="BM119" s="29" t="s">
        <v>580</v>
      </c>
      <c r="BN119" s="29">
        <v>5</v>
      </c>
      <c r="BO119" s="29" t="s">
        <v>580</v>
      </c>
      <c r="BP119" s="29">
        <v>5</v>
      </c>
      <c r="BQ119" s="29" t="s">
        <v>580</v>
      </c>
      <c r="BR119" s="29">
        <v>2</v>
      </c>
      <c r="BS119" s="29" t="s">
        <v>580</v>
      </c>
      <c r="BT119" s="29">
        <v>1</v>
      </c>
      <c r="BU119" s="29" t="s">
        <v>580</v>
      </c>
      <c r="BW119" s="29">
        <f>(BL119*1)+(BN119*0.1)+(BP119*0.01)+(BR119*0.1)+(BT119*0.3)+(BV119*0.4)</f>
        <v>6.05</v>
      </c>
      <c r="BX119" s="29" t="s">
        <v>2219</v>
      </c>
      <c r="BY119" s="29">
        <v>1</v>
      </c>
      <c r="BZ119" s="29">
        <v>1</v>
      </c>
      <c r="CA119" s="29">
        <v>3</v>
      </c>
      <c r="CB119" s="29">
        <v>5</v>
      </c>
      <c r="CC119" s="29">
        <v>0</v>
      </c>
      <c r="CD119" s="29">
        <v>0</v>
      </c>
      <c r="CE119" s="29">
        <v>1</v>
      </c>
      <c r="CG119" s="29">
        <f>(CC119*15)+(CD119*0.8)+(CE119*0.3)+((AW119+AZ119)*15)</f>
        <v>52.8</v>
      </c>
      <c r="CH119" s="29" t="s">
        <v>2220</v>
      </c>
      <c r="CI119" s="29">
        <f>(BL119*1)+(BN119*0.1)+(BP119*0.01)+(BR119*0.1)+(BT119*0.3)+(BV119*0.4)+(CC119*15)+(CD119*0.8)+(CE119*0.3)+((AW119+AZ119)*15)</f>
        <v>58.85</v>
      </c>
      <c r="CJ119" s="29" t="s">
        <v>548</v>
      </c>
      <c r="CK119" s="29" t="s">
        <v>1070</v>
      </c>
      <c r="CL119" s="29" t="s">
        <v>546</v>
      </c>
      <c r="CM119" s="29" t="s">
        <v>547</v>
      </c>
      <c r="CN119" s="29">
        <v>0.25</v>
      </c>
      <c r="CO119" s="29">
        <v>2.75</v>
      </c>
      <c r="CP119" s="29">
        <v>0</v>
      </c>
      <c r="CQ119" s="29" t="s">
        <v>548</v>
      </c>
      <c r="CR119" s="29">
        <v>1</v>
      </c>
      <c r="CS119" s="29">
        <v>8</v>
      </c>
      <c r="CT119" s="29" t="s">
        <v>551</v>
      </c>
      <c r="CU119" s="30">
        <v>1.92</v>
      </c>
      <c r="CV119" s="29">
        <v>1</v>
      </c>
      <c r="CW119" s="29">
        <v>1</v>
      </c>
      <c r="CX119" s="29" t="s">
        <v>551</v>
      </c>
      <c r="CY119" s="62">
        <v>0.24</v>
      </c>
      <c r="DA119" s="29">
        <v>999</v>
      </c>
      <c r="DB119" s="29" t="s">
        <v>551</v>
      </c>
      <c r="DC119" s="62"/>
      <c r="DD119" s="29" t="s">
        <v>546</v>
      </c>
      <c r="DE119" s="29" t="s">
        <v>548</v>
      </c>
      <c r="DF119" s="29" t="s">
        <v>546</v>
      </c>
      <c r="DG119" s="29" t="s">
        <v>546</v>
      </c>
      <c r="DH119" s="29" t="s">
        <v>548</v>
      </c>
      <c r="DI119" s="29">
        <v>2</v>
      </c>
      <c r="DJ119" s="29">
        <v>2</v>
      </c>
      <c r="DK119" s="29" t="s">
        <v>1071</v>
      </c>
      <c r="DL119" s="29" t="s">
        <v>1072</v>
      </c>
      <c r="DM119" s="29">
        <v>-4.3409576416015625</v>
      </c>
      <c r="DN119" s="29">
        <v>35.425041198730469</v>
      </c>
      <c r="DO119" s="29">
        <v>1617.699951171875</v>
      </c>
      <c r="DP119" s="29">
        <v>5</v>
      </c>
      <c r="DQ119" s="29">
        <v>1705231439</v>
      </c>
      <c r="DR119" s="29" t="s">
        <v>1073</v>
      </c>
      <c r="DS119" s="31">
        <v>42923.381701388891</v>
      </c>
      <c r="DT119" s="31">
        <v>42907.659097222218</v>
      </c>
      <c r="DU119" s="31">
        <v>42923.379745370374</v>
      </c>
      <c r="DV119" s="32">
        <v>42769</v>
      </c>
      <c r="DX119" s="44">
        <v>1.5526851851851851</v>
      </c>
      <c r="DY119" s="44">
        <v>0.79527777777777786</v>
      </c>
      <c r="DZ119" s="44">
        <v>0.67272727272727262</v>
      </c>
      <c r="EA119" s="44">
        <v>2.0555555555555554</v>
      </c>
      <c r="EC119" s="29" t="str">
        <f>IF(EQ119&lt;EP119,"FALSEE",1)</f>
        <v>FALSEE</v>
      </c>
      <c r="EE119" s="29" t="s">
        <v>2171</v>
      </c>
      <c r="EF119" s="29">
        <v>4.1733207702600001</v>
      </c>
      <c r="EG119" s="29" t="str">
        <f>IF(EF119&lt;0.5,"Depression",IF(EF119&lt;2,"Very gentle",IF(EF119&lt;5,"Gentle",IF(EF119&lt;9,"Moderate",IF(EF119&lt;15,"Strong",IF(EF119&lt;30,"Steep",IF(EF119&lt;1,"Very steep")))))))</f>
        <v>Gentle</v>
      </c>
      <c r="EH119" s="29" t="s">
        <v>2173</v>
      </c>
      <c r="EI119" s="29">
        <v>-0.27191722393000001</v>
      </c>
      <c r="EJ119" s="43">
        <v>9.3243646621699998</v>
      </c>
      <c r="EK119" s="43"/>
      <c r="EL119" s="43">
        <f>VLOOKUP(D119,[1]SoilData!$G$245:$K$451,5,FALSE)</f>
        <v>339.84101699812226</v>
      </c>
      <c r="EM119" s="43"/>
      <c r="EN119" s="43">
        <f>VLOOKUP(D119,[1]SoilData!$G$245:$M$454,7,FALSE)</f>
        <v>1.33</v>
      </c>
      <c r="EO119" s="60"/>
      <c r="EP119" s="44">
        <f>AVERAGE(DZ119:EA119)</f>
        <v>1.3641414141414141</v>
      </c>
      <c r="EQ119" s="44">
        <f>AVERAGE(DX119:DY119)</f>
        <v>1.1739814814814815</v>
      </c>
      <c r="ER119" s="43">
        <f>EQ119-EP119</f>
        <v>-0.19015993265993258</v>
      </c>
      <c r="ES119" s="64">
        <f>IF(CU119&gt;0.000001,CU119*352,0)</f>
        <v>675.83999999999992</v>
      </c>
      <c r="ET119" s="64">
        <f>IF(DC119&gt;0.0001,DC119*682,0)</f>
        <v>0</v>
      </c>
      <c r="EU119" s="64">
        <f>CY119*795</f>
        <v>190.79999999999998</v>
      </c>
      <c r="EV119" s="64">
        <f>ES119+ET119+EU119</f>
        <v>866.63999999999987</v>
      </c>
      <c r="EW119" s="64">
        <f>IF(AA119="YES",3.5*18.2,0)</f>
        <v>63.699999999999996</v>
      </c>
      <c r="EX119" s="64">
        <f>EV119-EW119</f>
        <v>802.93999999999983</v>
      </c>
    </row>
    <row r="120" spans="1:154" s="57" customFormat="1" ht="15" x14ac:dyDescent="0.2">
      <c r="A120" s="29" t="s">
        <v>556</v>
      </c>
      <c r="B120" s="29">
        <v>206</v>
      </c>
      <c r="C120" s="29" t="s">
        <v>400</v>
      </c>
      <c r="D120" s="29" t="s">
        <v>400</v>
      </c>
      <c r="E120" s="29" t="str">
        <f>VLOOKUP(D120,Harvest_2017_Formulae!$C$2:$D$968,2,FALSE)</f>
        <v>TSAMASI</v>
      </c>
      <c r="F120" s="29" t="s">
        <v>1014</v>
      </c>
      <c r="G120" s="29">
        <v>0</v>
      </c>
      <c r="H120" s="61" t="str">
        <f>IF(G120&lt;0.05,"Homefield",IF(G120&lt;0.5,"Midfield","outfield"))</f>
        <v>Homefield</v>
      </c>
      <c r="I120" s="29" t="s">
        <v>557</v>
      </c>
      <c r="J120" s="61" t="s">
        <v>2233</v>
      </c>
      <c r="K120" s="61" t="s">
        <v>2233</v>
      </c>
      <c r="L120" s="67">
        <v>0</v>
      </c>
      <c r="M120" s="29"/>
      <c r="N120" s="29"/>
      <c r="O120" s="29" t="s">
        <v>547</v>
      </c>
      <c r="P120" s="29"/>
      <c r="Q120" s="67">
        <v>0</v>
      </c>
      <c r="R120" s="29" t="s">
        <v>547</v>
      </c>
      <c r="S120" s="29"/>
      <c r="T120" s="29"/>
      <c r="U120" s="29" t="s">
        <v>547</v>
      </c>
      <c r="V120" s="29"/>
      <c r="W120" s="29" t="s">
        <v>547</v>
      </c>
      <c r="X120" s="29"/>
      <c r="Y120" s="29"/>
      <c r="Z120" s="29" t="s">
        <v>547</v>
      </c>
      <c r="AA120" s="61" t="s">
        <v>548</v>
      </c>
      <c r="AB120" s="29" t="s">
        <v>568</v>
      </c>
      <c r="AC120" s="67">
        <v>0</v>
      </c>
      <c r="AD120" s="29" t="s">
        <v>547</v>
      </c>
      <c r="AE120" s="29"/>
      <c r="AF120" s="29" t="s">
        <v>547</v>
      </c>
      <c r="AG120" s="29" t="s">
        <v>547</v>
      </c>
      <c r="AH120" s="29" t="s">
        <v>548</v>
      </c>
      <c r="AI120" s="29" t="s">
        <v>546</v>
      </c>
      <c r="AJ120" s="29" t="s">
        <v>547</v>
      </c>
      <c r="AK120" s="67">
        <v>0</v>
      </c>
      <c r="AL120" s="29" t="s">
        <v>547</v>
      </c>
      <c r="AM120" s="29"/>
      <c r="AN120" s="29"/>
      <c r="AO120" s="29" t="s">
        <v>547</v>
      </c>
      <c r="AP120" s="29" t="s">
        <v>547</v>
      </c>
      <c r="AQ120" s="4">
        <f>Q120+AK120</f>
        <v>0</v>
      </c>
      <c r="AR120" s="4">
        <f>L120+AC120</f>
        <v>0</v>
      </c>
      <c r="AS120" t="str">
        <f>AQ120&amp;AR120</f>
        <v>00</v>
      </c>
      <c r="AT120" s="49">
        <f>AQ120-AR120</f>
        <v>0</v>
      </c>
      <c r="AU120">
        <v>1</v>
      </c>
      <c r="AV120" s="29" t="s">
        <v>548</v>
      </c>
      <c r="AW120" s="29">
        <v>2</v>
      </c>
      <c r="AX120" s="29" t="s">
        <v>548</v>
      </c>
      <c r="AY120" s="29">
        <v>2</v>
      </c>
      <c r="AZ120" s="29">
        <v>2</v>
      </c>
      <c r="BA120" s="29" t="s">
        <v>546</v>
      </c>
      <c r="BB120" s="29" t="s">
        <v>547</v>
      </c>
      <c r="BC120" s="29"/>
      <c r="BD120" s="29">
        <f>AW120+AZ120</f>
        <v>4</v>
      </c>
      <c r="BE120" s="29">
        <f>BD120+BC120</f>
        <v>4</v>
      </c>
      <c r="BF120" s="29" t="s">
        <v>548</v>
      </c>
      <c r="BG120" s="29" t="s">
        <v>548</v>
      </c>
      <c r="BH120" s="29" t="s">
        <v>548</v>
      </c>
      <c r="BI120" s="29" t="s">
        <v>548</v>
      </c>
      <c r="BJ120" s="29" t="s">
        <v>546</v>
      </c>
      <c r="BK120" s="29" t="s">
        <v>546</v>
      </c>
      <c r="BL120" s="29">
        <v>6</v>
      </c>
      <c r="BM120" s="29" t="s">
        <v>549</v>
      </c>
      <c r="BN120" s="29">
        <v>4</v>
      </c>
      <c r="BO120" s="29" t="s">
        <v>549</v>
      </c>
      <c r="BP120" s="29">
        <v>3</v>
      </c>
      <c r="BQ120" s="29" t="s">
        <v>549</v>
      </c>
      <c r="BR120" s="29">
        <v>1</v>
      </c>
      <c r="BS120" s="29" t="s">
        <v>549</v>
      </c>
      <c r="BT120" s="29"/>
      <c r="BU120" s="29" t="s">
        <v>547</v>
      </c>
      <c r="BV120" s="29"/>
      <c r="BW120" s="29">
        <f>(BL120*1)+(BN120*0.1)+(BP120*0.01)+(BR120*0.1)+(BT120*0.3)+(BV120*0.4)</f>
        <v>6.53</v>
      </c>
      <c r="BX120" s="29" t="s">
        <v>2220</v>
      </c>
      <c r="BY120" s="29">
        <v>5</v>
      </c>
      <c r="BZ120" s="29">
        <v>4</v>
      </c>
      <c r="CA120" s="29">
        <v>1</v>
      </c>
      <c r="CB120" s="29">
        <v>10</v>
      </c>
      <c r="CC120" s="29">
        <v>0</v>
      </c>
      <c r="CD120" s="29">
        <v>0</v>
      </c>
      <c r="CE120" s="29">
        <v>1</v>
      </c>
      <c r="CF120" s="29" t="s">
        <v>547</v>
      </c>
      <c r="CG120" s="29">
        <f>(CC120*15)+(CD120*0.8)+(CE120*0.3)+((AW120+AZ120)*15)</f>
        <v>60.3</v>
      </c>
      <c r="CH120" s="29" t="s">
        <v>2221</v>
      </c>
      <c r="CI120" s="29">
        <f>(BL120*1)+(BN120*0.1)+(BP120*0.01)+(BR120*0.1)+(BT120*0.3)+(BV120*0.4)+(CC120*15)+(CD120*0.8)+(CE120*0.3)+((AW120+AZ120)*15)</f>
        <v>66.83</v>
      </c>
      <c r="CJ120" s="29" t="s">
        <v>546</v>
      </c>
      <c r="CK120" s="29" t="s">
        <v>547</v>
      </c>
      <c r="CL120" s="29" t="s">
        <v>548</v>
      </c>
      <c r="CM120" s="29" t="s">
        <v>550</v>
      </c>
      <c r="CN120" s="29">
        <v>1</v>
      </c>
      <c r="CO120" s="29"/>
      <c r="CP120" s="29"/>
      <c r="CQ120" s="29" t="s">
        <v>546</v>
      </c>
      <c r="CR120" s="29">
        <v>1</v>
      </c>
      <c r="CS120" s="29">
        <v>5</v>
      </c>
      <c r="CT120" s="29" t="s">
        <v>551</v>
      </c>
      <c r="CU120" s="30">
        <v>1.2</v>
      </c>
      <c r="CV120" s="29"/>
      <c r="CW120" s="29">
        <v>999</v>
      </c>
      <c r="CX120" s="29" t="s">
        <v>551</v>
      </c>
      <c r="CY120" s="62"/>
      <c r="CZ120" s="29">
        <v>1</v>
      </c>
      <c r="DA120" s="29">
        <v>1</v>
      </c>
      <c r="DB120" s="29" t="s">
        <v>551</v>
      </c>
      <c r="DC120" s="62">
        <v>0.24</v>
      </c>
      <c r="DD120" s="29" t="s">
        <v>546</v>
      </c>
      <c r="DE120" s="29" t="s">
        <v>546</v>
      </c>
      <c r="DF120" s="29" t="s">
        <v>546</v>
      </c>
      <c r="DG120" s="29" t="s">
        <v>546</v>
      </c>
      <c r="DH120" s="29" t="s">
        <v>546</v>
      </c>
      <c r="DI120" s="29">
        <v>0</v>
      </c>
      <c r="DJ120" s="29">
        <v>3</v>
      </c>
      <c r="DK120" s="29" t="s">
        <v>1350</v>
      </c>
      <c r="DL120" s="29" t="s">
        <v>1351</v>
      </c>
      <c r="DM120" s="29">
        <v>-4.2992243766784668</v>
      </c>
      <c r="DN120" s="29">
        <v>35.799945831298828</v>
      </c>
      <c r="DO120" s="29">
        <v>1384.199951171875</v>
      </c>
      <c r="DP120" s="29">
        <v>5</v>
      </c>
      <c r="DQ120" s="29">
        <v>1706031849</v>
      </c>
      <c r="DR120" s="29" t="s">
        <v>1352</v>
      </c>
      <c r="DS120" s="31">
        <v>42948.908576388887</v>
      </c>
      <c r="DT120" s="31">
        <v>42940.564583333333</v>
      </c>
      <c r="DU120" s="31">
        <v>42940.575578703705</v>
      </c>
      <c r="DV120" s="32">
        <v>42791</v>
      </c>
      <c r="DW120" s="29"/>
      <c r="DX120" s="44">
        <v>6.8713333333333324</v>
      </c>
      <c r="DY120" s="44">
        <v>6.5339999999999998</v>
      </c>
      <c r="DZ120" s="44">
        <v>4.1790579710144922</v>
      </c>
      <c r="EA120" s="44">
        <v>3.600869565217391</v>
      </c>
      <c r="EB120" s="29"/>
      <c r="EC120" s="29">
        <f>IF(EQ120&lt;EP120,"FALSEE",1)</f>
        <v>1</v>
      </c>
      <c r="ED120" s="29"/>
      <c r="EE120" s="29" t="s">
        <v>2179</v>
      </c>
      <c r="EF120" s="29">
        <v>6.0023140907299997</v>
      </c>
      <c r="EG120" s="29" t="str">
        <f>IF(EF120&lt;0.5,"Depression",IF(EF120&lt;2,"Very gentle",IF(EF120&lt;5,"Gentle",IF(EF120&lt;9,"Moderate",IF(EF120&lt;15,"Strong",IF(EF120&lt;30,"Steep",IF(EF120&lt;1,"Very steep")))))))</f>
        <v>Moderate</v>
      </c>
      <c r="EH120" s="29" t="s">
        <v>2172</v>
      </c>
      <c r="EI120" s="29">
        <v>-0.81576859951000003</v>
      </c>
      <c r="EJ120" s="43">
        <v>9.39083576202</v>
      </c>
      <c r="EK120" s="43">
        <f>VLOOKUP(D120,[1]SoilData!$G$15:$K$237,5,FALSE)</f>
        <v>466.45977775285326</v>
      </c>
      <c r="EL120" s="43">
        <f>VLOOKUP(D120,[1]SoilData!$G$245:$K$451,5,FALSE)</f>
        <v>513.86592457310235</v>
      </c>
      <c r="EM120" s="43">
        <f>VLOOKUP(D120,[1]SoilData!$G$15:$M$238,7,FALSE)</f>
        <v>1.8160000000000001</v>
      </c>
      <c r="EN120" s="43">
        <f>VLOOKUP(D120,[1]SoilData!$G$245:$M$454,7,FALSE)</f>
        <v>2.2240000000000002</v>
      </c>
      <c r="EO120" s="60">
        <f>EM120-EN120</f>
        <v>-0.40800000000000014</v>
      </c>
      <c r="EP120" s="44">
        <f>AVERAGE(DZ120:EA120)</f>
        <v>3.8899637681159414</v>
      </c>
      <c r="EQ120" s="44">
        <f>AVERAGE(DX120:DY120)</f>
        <v>6.7026666666666657</v>
      </c>
      <c r="ER120" s="43">
        <f>EQ120-EP120</f>
        <v>2.8127028985507243</v>
      </c>
      <c r="ES120" s="64">
        <f>IF(CU120&gt;0.000001,CU120*352,0)</f>
        <v>422.4</v>
      </c>
      <c r="ET120" s="64">
        <f>IF(DC120&gt;0.0001,DC120*682,0)</f>
        <v>163.68</v>
      </c>
      <c r="EU120" s="64">
        <f>CY120*795</f>
        <v>0</v>
      </c>
      <c r="EV120" s="64">
        <f>ES120+ET120+EU120</f>
        <v>586.07999999999993</v>
      </c>
      <c r="EW120" s="64">
        <f>IF(AA120="YES",3.5*18.2,0)</f>
        <v>63.699999999999996</v>
      </c>
      <c r="EX120" s="64">
        <f>EV120-EW120</f>
        <v>522.37999999999988</v>
      </c>
    </row>
    <row r="121" spans="1:154" s="57" customFormat="1" ht="15" x14ac:dyDescent="0.2">
      <c r="A121" s="29" t="s">
        <v>556</v>
      </c>
      <c r="B121" s="29">
        <v>158</v>
      </c>
      <c r="C121" s="29" t="s">
        <v>1001</v>
      </c>
      <c r="D121" s="29" t="s">
        <v>360</v>
      </c>
      <c r="E121" s="29" t="str">
        <f>VLOOKUP(D121,Harvest_2017_Formulae!$C$2:$D$968,2,FALSE)</f>
        <v>HALLU</v>
      </c>
      <c r="F121" s="29" t="s">
        <v>938</v>
      </c>
      <c r="G121" s="29">
        <v>0</v>
      </c>
      <c r="H121" s="61" t="str">
        <f>IF(G121&lt;0.05,"Homefield",IF(G121&lt;0.5,"Midfield","outfield"))</f>
        <v>Homefield</v>
      </c>
      <c r="I121" s="29" t="s">
        <v>557</v>
      </c>
      <c r="J121" s="61" t="s">
        <v>2234</v>
      </c>
      <c r="K121" s="61" t="s">
        <v>2234</v>
      </c>
      <c r="L121" s="67">
        <v>0</v>
      </c>
      <c r="M121" s="29"/>
      <c r="N121" s="29"/>
      <c r="O121" s="29" t="s">
        <v>547</v>
      </c>
      <c r="P121" s="29"/>
      <c r="Q121" s="67">
        <v>0</v>
      </c>
      <c r="R121" s="29" t="s">
        <v>547</v>
      </c>
      <c r="S121" s="29"/>
      <c r="T121" s="29"/>
      <c r="U121" s="29" t="s">
        <v>547</v>
      </c>
      <c r="V121" s="29"/>
      <c r="W121" s="29" t="s">
        <v>547</v>
      </c>
      <c r="X121" s="29"/>
      <c r="Y121" s="29"/>
      <c r="Z121" s="29" t="s">
        <v>547</v>
      </c>
      <c r="AA121" s="61" t="s">
        <v>548</v>
      </c>
      <c r="AB121" s="29" t="s">
        <v>568</v>
      </c>
      <c r="AC121" s="67">
        <v>0</v>
      </c>
      <c r="AD121" s="29" t="s">
        <v>547</v>
      </c>
      <c r="AE121" s="29"/>
      <c r="AF121" s="29" t="s">
        <v>547</v>
      </c>
      <c r="AG121" s="29" t="s">
        <v>547</v>
      </c>
      <c r="AH121" s="29" t="s">
        <v>546</v>
      </c>
      <c r="AI121" s="29" t="s">
        <v>546</v>
      </c>
      <c r="AJ121" s="29" t="s">
        <v>547</v>
      </c>
      <c r="AK121" s="67">
        <v>0</v>
      </c>
      <c r="AL121" s="29" t="s">
        <v>547</v>
      </c>
      <c r="AM121" s="29"/>
      <c r="AN121" s="29"/>
      <c r="AO121" s="29" t="s">
        <v>547</v>
      </c>
      <c r="AP121" s="29" t="s">
        <v>547</v>
      </c>
      <c r="AQ121" s="4">
        <f>Q121+AK121</f>
        <v>0</v>
      </c>
      <c r="AR121" s="4">
        <f>L121+AC121</f>
        <v>0</v>
      </c>
      <c r="AS121" t="str">
        <f>AQ121&amp;AR121</f>
        <v>00</v>
      </c>
      <c r="AT121" s="49">
        <f>AQ121-AR121</f>
        <v>0</v>
      </c>
      <c r="AU121">
        <v>1</v>
      </c>
      <c r="AV121" s="29" t="s">
        <v>548</v>
      </c>
      <c r="AW121" s="29">
        <v>1</v>
      </c>
      <c r="AX121" s="29" t="s">
        <v>548</v>
      </c>
      <c r="AY121" s="29">
        <v>1</v>
      </c>
      <c r="AZ121" s="29">
        <v>10</v>
      </c>
      <c r="BA121" s="29" t="s">
        <v>546</v>
      </c>
      <c r="BB121" s="29" t="s">
        <v>547</v>
      </c>
      <c r="BC121" s="29"/>
      <c r="BD121" s="29">
        <f>AW121+AZ121</f>
        <v>11</v>
      </c>
      <c r="BE121" s="29">
        <f>BD121+BC121</f>
        <v>11</v>
      </c>
      <c r="BF121" s="29" t="s">
        <v>548</v>
      </c>
      <c r="BG121" s="29" t="s">
        <v>548</v>
      </c>
      <c r="BH121" s="29" t="s">
        <v>548</v>
      </c>
      <c r="BI121" s="29" t="s">
        <v>548</v>
      </c>
      <c r="BJ121" s="29" t="s">
        <v>546</v>
      </c>
      <c r="BK121" s="29" t="s">
        <v>546</v>
      </c>
      <c r="BL121" s="29">
        <v>5</v>
      </c>
      <c r="BM121" s="29" t="s">
        <v>549</v>
      </c>
      <c r="BN121" s="29">
        <v>7</v>
      </c>
      <c r="BO121" s="29" t="s">
        <v>549</v>
      </c>
      <c r="BP121" s="29">
        <v>8</v>
      </c>
      <c r="BQ121" s="29" t="s">
        <v>549</v>
      </c>
      <c r="BR121" s="29">
        <v>8</v>
      </c>
      <c r="BS121" s="29" t="s">
        <v>549</v>
      </c>
      <c r="BT121" s="29"/>
      <c r="BU121" s="29" t="s">
        <v>547</v>
      </c>
      <c r="BV121" s="29"/>
      <c r="BW121" s="29">
        <f>(BL121*1)+(BN121*0.1)+(BP121*0.01)+(BR121*0.1)+(BT121*0.3)+(BV121*0.4)</f>
        <v>6.58</v>
      </c>
      <c r="BX121" s="29" t="s">
        <v>2220</v>
      </c>
      <c r="BY121" s="29">
        <v>1</v>
      </c>
      <c r="BZ121" s="29">
        <v>1</v>
      </c>
      <c r="CA121" s="29">
        <v>4</v>
      </c>
      <c r="CB121" s="29">
        <v>6</v>
      </c>
      <c r="CC121" s="29">
        <v>0</v>
      </c>
      <c r="CD121" s="29">
        <v>1</v>
      </c>
      <c r="CE121" s="29">
        <v>1</v>
      </c>
      <c r="CF121" s="29" t="s">
        <v>547</v>
      </c>
      <c r="CG121" s="29">
        <f>(CC121*15)+(CD121*0.8)+(CE121*0.3)+((AW121+AZ121)*15)</f>
        <v>166.1</v>
      </c>
      <c r="CH121" s="29" t="s">
        <v>2221</v>
      </c>
      <c r="CI121" s="29">
        <f>(BL121*1)+(BN121*0.1)+(BP121*0.01)+(BR121*0.1)+(BT121*0.3)+(BV121*0.4)+(CC121*15)+(CD121*0.8)+(CE121*0.3)+((AW121+AZ121)*15)</f>
        <v>172.68</v>
      </c>
      <c r="CJ121" s="29" t="s">
        <v>546</v>
      </c>
      <c r="CK121" s="29" t="s">
        <v>547</v>
      </c>
      <c r="CL121" s="29" t="s">
        <v>548</v>
      </c>
      <c r="CM121" s="29" t="s">
        <v>550</v>
      </c>
      <c r="CN121" s="29">
        <v>0.25</v>
      </c>
      <c r="CO121" s="29">
        <v>0.5</v>
      </c>
      <c r="CP121" s="29"/>
      <c r="CQ121" s="29" t="s">
        <v>548</v>
      </c>
      <c r="CR121" s="29">
        <v>0.75</v>
      </c>
      <c r="CS121" s="29">
        <v>5</v>
      </c>
      <c r="CT121" s="29" t="s">
        <v>551</v>
      </c>
      <c r="CU121" s="30">
        <v>1.5999999999999999</v>
      </c>
      <c r="CV121" s="29"/>
      <c r="CW121" s="29">
        <v>999</v>
      </c>
      <c r="CX121" s="29" t="s">
        <v>551</v>
      </c>
      <c r="CY121" s="62"/>
      <c r="CZ121" s="29">
        <v>0.75</v>
      </c>
      <c r="DA121" s="29">
        <v>1</v>
      </c>
      <c r="DB121" s="29" t="s">
        <v>551</v>
      </c>
      <c r="DC121" s="62">
        <v>0.32</v>
      </c>
      <c r="DD121" s="29" t="s">
        <v>546</v>
      </c>
      <c r="DE121" s="29" t="s">
        <v>546</v>
      </c>
      <c r="DF121" s="29" t="s">
        <v>546</v>
      </c>
      <c r="DG121" s="29" t="s">
        <v>546</v>
      </c>
      <c r="DH121" s="29" t="s">
        <v>546</v>
      </c>
      <c r="DI121" s="29">
        <v>0</v>
      </c>
      <c r="DJ121" s="29">
        <v>3</v>
      </c>
      <c r="DK121" s="29" t="s">
        <v>1002</v>
      </c>
      <c r="DL121" s="29" t="s">
        <v>1003</v>
      </c>
      <c r="DM121" s="29">
        <v>-4.2881665229797363</v>
      </c>
      <c r="DN121" s="29">
        <v>35.896720886230469</v>
      </c>
      <c r="DO121" s="29">
        <v>1215.4000244140625</v>
      </c>
      <c r="DP121" s="29">
        <v>5</v>
      </c>
      <c r="DQ121" s="29">
        <v>1706031849</v>
      </c>
      <c r="DR121" s="29" t="s">
        <v>1004</v>
      </c>
      <c r="DS121" s="31">
        <v>42921.43240740741</v>
      </c>
      <c r="DT121" s="31">
        <v>42913.555555555555</v>
      </c>
      <c r="DU121" s="31">
        <v>42913.568715277783</v>
      </c>
      <c r="DV121" s="32">
        <v>42789</v>
      </c>
      <c r="DW121" s="29"/>
      <c r="DX121" s="44">
        <v>6.9337448559670776</v>
      </c>
      <c r="DY121" s="44">
        <v>10.883950617283949</v>
      </c>
      <c r="DZ121" s="44">
        <v>4.9519354838709679</v>
      </c>
      <c r="EA121" s="44">
        <v>4.7983870967741939</v>
      </c>
      <c r="EB121" s="29"/>
      <c r="EC121" s="29">
        <f>IF(EQ121&lt;EP121,"FALSEE",1)</f>
        <v>1</v>
      </c>
      <c r="ED121" s="29"/>
      <c r="EE121" s="29" t="s">
        <v>2171</v>
      </c>
      <c r="EF121" s="29">
        <v>1.9347803592699999</v>
      </c>
      <c r="EG121" s="29" t="str">
        <f>IF(EF121&lt;0.5,"Depression",IF(EF121&lt;2,"Very gentle",IF(EF121&lt;5,"Gentle",IF(EF121&lt;9,"Moderate",IF(EF121&lt;15,"Strong",IF(EF121&lt;30,"Steep",IF(EF121&lt;1,"Very steep")))))))</f>
        <v>Very gentle</v>
      </c>
      <c r="EH121" s="29" t="s">
        <v>2173</v>
      </c>
      <c r="EI121" s="29">
        <v>0.36257606744799997</v>
      </c>
      <c r="EJ121" s="43">
        <v>8.62525939941</v>
      </c>
      <c r="EK121" s="43">
        <f>VLOOKUP(D121,[1]SoilData!$G$15:$K$237,5,FALSE)</f>
        <v>322.84703885621667</v>
      </c>
      <c r="EL121" s="43">
        <f>VLOOKUP(D121,[1]SoilData!$G$245:$K$451,5,FALSE)</f>
        <v>318.66414354854766</v>
      </c>
      <c r="EM121" s="43">
        <f>VLOOKUP(D121,[1]SoilData!$G$15:$M$238,7,FALSE)</f>
        <v>1.464</v>
      </c>
      <c r="EN121" s="43">
        <f>VLOOKUP(D121,[1]SoilData!$G$245:$M$454,7,FALSE)</f>
        <v>1.71</v>
      </c>
      <c r="EO121" s="60">
        <f>EM121-EN121</f>
        <v>-0.246</v>
      </c>
      <c r="EP121" s="44">
        <f>AVERAGE(DZ121:EA121)</f>
        <v>4.8751612903225805</v>
      </c>
      <c r="EQ121" s="44">
        <f>AVERAGE(DX121:DY121)</f>
        <v>8.9088477366255141</v>
      </c>
      <c r="ER121" s="43">
        <f>EQ121-EP121</f>
        <v>4.0336864463029336</v>
      </c>
      <c r="ES121" s="64">
        <f>IF(CU121&gt;0.000001,CU121*352,0)</f>
        <v>563.19999999999993</v>
      </c>
      <c r="ET121" s="64">
        <f>IF(DC121&gt;0.0001,DC121*682,0)</f>
        <v>218.24</v>
      </c>
      <c r="EU121" s="64">
        <f>CY121*795</f>
        <v>0</v>
      </c>
      <c r="EV121" s="64">
        <f>ES121+ET121+EU121</f>
        <v>781.43999999999994</v>
      </c>
      <c r="EW121" s="64">
        <f>IF(AA121="YES",3.5*18.2,0)</f>
        <v>63.699999999999996</v>
      </c>
      <c r="EX121" s="64">
        <f>EV121-EW121</f>
        <v>717.7399999999999</v>
      </c>
    </row>
    <row r="122" spans="1:154" ht="15" x14ac:dyDescent="0.2">
      <c r="A122" s="29" t="s">
        <v>789</v>
      </c>
      <c r="B122" s="29">
        <v>27</v>
      </c>
      <c r="C122" s="29" t="s">
        <v>1418</v>
      </c>
      <c r="D122" s="29" t="s">
        <v>1418</v>
      </c>
      <c r="E122" s="29" t="e">
        <f>VLOOKUP(D122,Harvest_2017_Formulae!$C$2:$D$968,2,FALSE)</f>
        <v>#N/A</v>
      </c>
      <c r="F122" s="29" t="s">
        <v>1175</v>
      </c>
      <c r="G122" s="29">
        <v>0</v>
      </c>
      <c r="H122" s="61" t="str">
        <f>IF(G122&lt;0.05,"Homefield",IF(G122&lt;0.5,"Midfield","outfield"))</f>
        <v>Homefield</v>
      </c>
      <c r="I122" s="29" t="s">
        <v>557</v>
      </c>
      <c r="J122" s="61" t="s">
        <v>2233</v>
      </c>
      <c r="K122" s="61" t="s">
        <v>2233</v>
      </c>
      <c r="L122" s="67">
        <v>0</v>
      </c>
      <c r="O122" s="29" t="s">
        <v>547</v>
      </c>
      <c r="Q122" s="67">
        <v>0</v>
      </c>
      <c r="R122" s="29" t="s">
        <v>547</v>
      </c>
      <c r="T122" s="29" t="s">
        <v>559</v>
      </c>
      <c r="U122" s="29" t="s">
        <v>560</v>
      </c>
      <c r="W122" s="29" t="s">
        <v>635</v>
      </c>
      <c r="Z122" s="29" t="s">
        <v>547</v>
      </c>
      <c r="AA122" s="61" t="s">
        <v>548</v>
      </c>
      <c r="AB122" s="29" t="s">
        <v>568</v>
      </c>
      <c r="AC122" s="67">
        <v>0</v>
      </c>
      <c r="AD122" s="29" t="s">
        <v>547</v>
      </c>
      <c r="AF122" s="29" t="s">
        <v>547</v>
      </c>
      <c r="AG122" s="29" t="s">
        <v>547</v>
      </c>
      <c r="AH122" s="29" t="s">
        <v>548</v>
      </c>
      <c r="AI122" s="29" t="s">
        <v>546</v>
      </c>
      <c r="AK122" s="67">
        <v>0</v>
      </c>
      <c r="AL122" s="29" t="s">
        <v>547</v>
      </c>
      <c r="AO122" s="29" t="s">
        <v>547</v>
      </c>
      <c r="AP122" s="29" t="s">
        <v>547</v>
      </c>
      <c r="AQ122" s="4">
        <f>Q122+AK122</f>
        <v>0</v>
      </c>
      <c r="AR122" s="4">
        <f>L122+AC122</f>
        <v>0</v>
      </c>
      <c r="AS122" t="str">
        <f>AQ122&amp;AR122</f>
        <v>00</v>
      </c>
      <c r="AT122" s="49">
        <f>AQ122-AR122</f>
        <v>0</v>
      </c>
      <c r="AU122">
        <v>1</v>
      </c>
      <c r="AV122" s="29" t="s">
        <v>548</v>
      </c>
      <c r="AW122" s="29">
        <v>1</v>
      </c>
      <c r="AX122" s="29" t="s">
        <v>548</v>
      </c>
      <c r="AY122" s="29">
        <v>1</v>
      </c>
      <c r="AZ122" s="29">
        <v>2</v>
      </c>
      <c r="BA122" s="29" t="s">
        <v>546</v>
      </c>
      <c r="BB122" s="29" t="s">
        <v>547</v>
      </c>
      <c r="BD122" s="29">
        <f>AW122+AZ122</f>
        <v>3</v>
      </c>
      <c r="BE122" s="29">
        <f>BD122+BC122</f>
        <v>3</v>
      </c>
      <c r="BF122" s="29" t="s">
        <v>548</v>
      </c>
      <c r="BG122" s="29" t="s">
        <v>548</v>
      </c>
      <c r="BH122" s="29" t="s">
        <v>548</v>
      </c>
      <c r="BI122" s="29" t="s">
        <v>548</v>
      </c>
      <c r="BJ122" s="29" t="s">
        <v>546</v>
      </c>
      <c r="BK122" s="29" t="s">
        <v>548</v>
      </c>
      <c r="BL122" s="29">
        <v>6</v>
      </c>
      <c r="BM122" s="29" t="s">
        <v>580</v>
      </c>
      <c r="BN122" s="29">
        <v>4</v>
      </c>
      <c r="BO122" s="29" t="s">
        <v>580</v>
      </c>
      <c r="BP122" s="29">
        <v>4</v>
      </c>
      <c r="BQ122" s="29" t="s">
        <v>580</v>
      </c>
      <c r="BR122" s="29">
        <v>8</v>
      </c>
      <c r="BS122" s="29" t="s">
        <v>580</v>
      </c>
      <c r="BU122" s="29" t="s">
        <v>547</v>
      </c>
      <c r="BV122" s="29">
        <v>1</v>
      </c>
      <c r="BW122" s="29">
        <f>(BL122*1)+(BN122*0.1)+(BP122*0.01)+(BR122*0.1)+(BT122*0.3)+(BV122*0.4)</f>
        <v>7.6400000000000006</v>
      </c>
      <c r="BX122" s="29" t="s">
        <v>2220</v>
      </c>
      <c r="BY122" s="29">
        <v>4</v>
      </c>
      <c r="BZ122" s="29">
        <v>2</v>
      </c>
      <c r="CA122" s="29">
        <v>2</v>
      </c>
      <c r="CB122" s="29">
        <v>8</v>
      </c>
      <c r="CC122" s="29">
        <v>0</v>
      </c>
      <c r="CD122" s="29">
        <v>0</v>
      </c>
      <c r="CE122" s="29">
        <v>1</v>
      </c>
      <c r="CG122" s="29">
        <f>(CC122*15)+(CD122*0.8)+(CE122*0.3)+((AW122+AZ122)*15)</f>
        <v>45.3</v>
      </c>
      <c r="CH122" s="29" t="s">
        <v>2220</v>
      </c>
      <c r="CI122" s="29">
        <f>(BL122*1)+(BN122*0.1)+(BP122*0.01)+(BR122*0.1)+(BT122*0.3)+(BV122*0.4)+(CC122*15)+(CD122*0.8)+(CE122*0.3)+((AW122+AZ122)*15)</f>
        <v>52.94</v>
      </c>
      <c r="CJ122" s="29" t="s">
        <v>548</v>
      </c>
      <c r="CK122" s="29" t="s">
        <v>797</v>
      </c>
      <c r="CL122" s="29" t="s">
        <v>548</v>
      </c>
      <c r="CM122" s="29" t="s">
        <v>827</v>
      </c>
      <c r="CN122" s="29">
        <v>0.25</v>
      </c>
      <c r="CO122" s="29">
        <v>2.75</v>
      </c>
      <c r="CP122" s="29">
        <v>0</v>
      </c>
      <c r="CQ122" s="29" t="s">
        <v>546</v>
      </c>
      <c r="CR122" s="29">
        <v>1</v>
      </c>
      <c r="CS122" s="29">
        <v>0.5</v>
      </c>
      <c r="CT122" s="29" t="s">
        <v>551</v>
      </c>
      <c r="CU122" s="30">
        <v>0.12</v>
      </c>
      <c r="CV122" s="29">
        <v>1</v>
      </c>
      <c r="CW122" s="29">
        <v>0.10000000149011612</v>
      </c>
      <c r="CX122" s="29" t="s">
        <v>551</v>
      </c>
      <c r="CY122" s="62">
        <v>2.4000000357627869E-2</v>
      </c>
      <c r="CZ122" s="29">
        <v>1</v>
      </c>
      <c r="DA122" s="29">
        <v>0</v>
      </c>
      <c r="DB122" s="29" t="s">
        <v>551</v>
      </c>
      <c r="DC122" s="62">
        <v>0</v>
      </c>
      <c r="DD122" s="29" t="s">
        <v>548</v>
      </c>
      <c r="DE122" s="29" t="s">
        <v>548</v>
      </c>
      <c r="DF122" s="29" t="s">
        <v>546</v>
      </c>
      <c r="DG122" s="29" t="s">
        <v>548</v>
      </c>
      <c r="DH122" s="29" t="s">
        <v>546</v>
      </c>
      <c r="DI122" s="29">
        <v>3</v>
      </c>
      <c r="DJ122" s="29">
        <v>3</v>
      </c>
      <c r="DK122" s="29" t="s">
        <v>1419</v>
      </c>
      <c r="DL122" s="29" t="s">
        <v>1420</v>
      </c>
      <c r="DM122" s="29">
        <v>-4.3597235679626465</v>
      </c>
      <c r="DN122" s="29">
        <v>35.488140106201172</v>
      </c>
      <c r="DO122" s="29">
        <v>1706.800048828125</v>
      </c>
      <c r="DP122" s="29">
        <v>15</v>
      </c>
      <c r="DQ122" s="29">
        <v>1705231439</v>
      </c>
      <c r="DR122" s="29" t="s">
        <v>1421</v>
      </c>
      <c r="DS122" s="31">
        <v>42908.292569444442</v>
      </c>
      <c r="DT122" s="31">
        <v>42895.569097222222</v>
      </c>
      <c r="DU122" s="31">
        <v>42908.288564814815</v>
      </c>
      <c r="DV122" s="32">
        <v>42796</v>
      </c>
      <c r="EC122" s="29">
        <f>IF(EQ122&lt;EP122,"FALSEE",1)</f>
        <v>1</v>
      </c>
      <c r="EE122" s="29" t="s">
        <v>2171</v>
      </c>
      <c r="EF122" s="29">
        <v>2.6377365589099999</v>
      </c>
      <c r="EG122" s="29" t="str">
        <f>IF(EF122&lt;0.5,"Depression",IF(EF122&lt;2,"Very gentle",IF(EF122&lt;5,"Gentle",IF(EF122&lt;9,"Moderate",IF(EF122&lt;15,"Strong",IF(EF122&lt;30,"Steep",IF(EF122&lt;1,"Very steep")))))))</f>
        <v>Gentle</v>
      </c>
      <c r="EH122" s="29" t="s">
        <v>2173</v>
      </c>
      <c r="EI122" s="29">
        <v>0.27193418145199999</v>
      </c>
      <c r="EJ122" s="43">
        <v>8.3488903045700003</v>
      </c>
      <c r="EK122" s="43"/>
      <c r="EL122" s="43"/>
      <c r="EM122" s="43"/>
      <c r="EN122" s="43"/>
      <c r="EO122" s="60"/>
      <c r="EP122" s="43"/>
      <c r="EQ122" s="43"/>
      <c r="ER122" s="43"/>
      <c r="ES122" s="64">
        <f>IF(CU122&gt;0.000001,CU122*352,0)</f>
        <v>42.239999999999995</v>
      </c>
      <c r="ET122" s="64">
        <f>IF(DC122&gt;0.0001,DC122*682,0)</f>
        <v>0</v>
      </c>
      <c r="EU122" s="64">
        <f>CY122*795</f>
        <v>19.080000284314156</v>
      </c>
      <c r="EV122" s="64">
        <f>ES122+ET122+EU122</f>
        <v>61.320000284314148</v>
      </c>
      <c r="EW122" s="64">
        <f>IF(AA122="YES",3.5*18.2,0)</f>
        <v>63.699999999999996</v>
      </c>
      <c r="EX122" s="64">
        <f>EV122-EW122</f>
        <v>-2.3799997156858481</v>
      </c>
    </row>
    <row r="123" spans="1:154" ht="15" x14ac:dyDescent="0.2">
      <c r="A123" s="29" t="s">
        <v>556</v>
      </c>
      <c r="B123" s="29">
        <v>183</v>
      </c>
      <c r="C123" s="29" t="s">
        <v>330</v>
      </c>
      <c r="D123" s="29" t="s">
        <v>330</v>
      </c>
      <c r="E123" s="29" t="str">
        <f>VLOOKUP(D123,Harvest_2017_Formulae!$C$2:$D$968,2,FALSE)</f>
        <v>DURU</v>
      </c>
      <c r="F123" s="29" t="s">
        <v>645</v>
      </c>
      <c r="G123" s="29">
        <v>0</v>
      </c>
      <c r="H123" s="61" t="str">
        <f>IF(G123&lt;0.05,"Homefield",IF(G123&lt;0.5,"Midfield","outfield"))</f>
        <v>Homefield</v>
      </c>
      <c r="I123" s="29" t="s">
        <v>557</v>
      </c>
      <c r="J123" s="61" t="s">
        <v>2233</v>
      </c>
      <c r="K123" s="61" t="s">
        <v>2233</v>
      </c>
      <c r="L123" s="67">
        <v>0</v>
      </c>
      <c r="O123" s="29" t="s">
        <v>547</v>
      </c>
      <c r="Q123" s="67">
        <v>0</v>
      </c>
      <c r="R123" s="29" t="s">
        <v>547</v>
      </c>
      <c r="U123" s="29" t="s">
        <v>547</v>
      </c>
      <c r="W123" s="29" t="s">
        <v>547</v>
      </c>
      <c r="Z123" s="29" t="s">
        <v>547</v>
      </c>
      <c r="AA123" s="61" t="s">
        <v>548</v>
      </c>
      <c r="AB123" s="29" t="s">
        <v>568</v>
      </c>
      <c r="AC123" s="67">
        <v>0</v>
      </c>
      <c r="AD123" s="29" t="s">
        <v>547</v>
      </c>
      <c r="AF123" s="29" t="s">
        <v>547</v>
      </c>
      <c r="AG123" s="29" t="s">
        <v>547</v>
      </c>
      <c r="AH123" s="29" t="s">
        <v>546</v>
      </c>
      <c r="AI123" s="29" t="s">
        <v>546</v>
      </c>
      <c r="AJ123" s="29" t="s">
        <v>547</v>
      </c>
      <c r="AK123" s="67">
        <v>0</v>
      </c>
      <c r="AL123" s="29" t="s">
        <v>547</v>
      </c>
      <c r="AO123" s="29" t="s">
        <v>547</v>
      </c>
      <c r="AP123" s="29" t="s">
        <v>547</v>
      </c>
      <c r="AQ123" s="4">
        <f>Q123+AK123</f>
        <v>0</v>
      </c>
      <c r="AR123" s="4">
        <f>L123+AC123</f>
        <v>0</v>
      </c>
      <c r="AS123" t="str">
        <f>AQ123&amp;AR123</f>
        <v>00</v>
      </c>
      <c r="AT123" s="49">
        <f>AQ123-AR123</f>
        <v>0</v>
      </c>
      <c r="AU123">
        <v>1</v>
      </c>
      <c r="AV123" s="29" t="s">
        <v>548</v>
      </c>
      <c r="AW123" s="29">
        <v>4</v>
      </c>
      <c r="AX123" s="29" t="s">
        <v>548</v>
      </c>
      <c r="AY123" s="29">
        <v>1</v>
      </c>
      <c r="AZ123" s="29">
        <v>3</v>
      </c>
      <c r="BA123" s="29" t="s">
        <v>548</v>
      </c>
      <c r="BB123" s="29" t="s">
        <v>569</v>
      </c>
      <c r="BC123" s="29">
        <v>2</v>
      </c>
      <c r="BD123" s="29">
        <f>AW123+AZ123</f>
        <v>7</v>
      </c>
      <c r="BE123" s="29">
        <f>BD123+BC123</f>
        <v>9</v>
      </c>
      <c r="BF123" s="29" t="s">
        <v>548</v>
      </c>
      <c r="BG123" s="29" t="s">
        <v>548</v>
      </c>
      <c r="BH123" s="29" t="s">
        <v>548</v>
      </c>
      <c r="BI123" s="29" t="s">
        <v>546</v>
      </c>
      <c r="BJ123" s="29" t="s">
        <v>546</v>
      </c>
      <c r="BK123" s="29" t="s">
        <v>546</v>
      </c>
      <c r="BL123" s="29">
        <v>7</v>
      </c>
      <c r="BM123" s="29" t="s">
        <v>549</v>
      </c>
      <c r="BN123" s="29">
        <v>8</v>
      </c>
      <c r="BO123" s="29" t="s">
        <v>549</v>
      </c>
      <c r="BP123" s="29">
        <v>1</v>
      </c>
      <c r="BQ123" s="29" t="s">
        <v>549</v>
      </c>
      <c r="BS123" s="29" t="s">
        <v>547</v>
      </c>
      <c r="BU123" s="29" t="s">
        <v>547</v>
      </c>
      <c r="BW123" s="29">
        <f>(BL123*1)+(BN123*0.1)+(BP123*0.01)+(BR123*0.1)+(BT123*0.3)+(BV123*0.4)</f>
        <v>7.81</v>
      </c>
      <c r="BX123" s="29" t="s">
        <v>2220</v>
      </c>
      <c r="BY123" s="29">
        <v>2</v>
      </c>
      <c r="BZ123" s="29">
        <v>3</v>
      </c>
      <c r="CA123" s="29">
        <v>0</v>
      </c>
      <c r="CB123" s="29">
        <v>5</v>
      </c>
      <c r="CC123" s="29">
        <v>0</v>
      </c>
      <c r="CD123" s="29">
        <v>0</v>
      </c>
      <c r="CE123" s="29">
        <v>1</v>
      </c>
      <c r="CF123" s="29" t="s">
        <v>547</v>
      </c>
      <c r="CG123" s="29">
        <f>(CC123*15)+(CD123*0.8)+(CE123*0.3)+((AW123+AZ123)*15)</f>
        <v>105.3</v>
      </c>
      <c r="CH123" s="29" t="s">
        <v>2221</v>
      </c>
      <c r="CI123" s="29">
        <f>(BL123*1)+(BN123*0.1)+(BP123*0.01)+(BR123*0.1)+(BT123*0.3)+(BV123*0.4)+(CC123*15)+(CD123*0.8)+(CE123*0.3)+((AW123+AZ123)*15)</f>
        <v>113.11</v>
      </c>
      <c r="CJ123" s="29" t="s">
        <v>546</v>
      </c>
      <c r="CK123" s="29" t="s">
        <v>547</v>
      </c>
      <c r="CL123" s="29" t="s">
        <v>548</v>
      </c>
      <c r="CM123" s="29" t="s">
        <v>550</v>
      </c>
      <c r="CN123" s="29">
        <v>0.25</v>
      </c>
      <c r="CO123" s="29">
        <v>0.25</v>
      </c>
      <c r="CP123" s="29">
        <v>0.75</v>
      </c>
      <c r="CQ123" s="29" t="s">
        <v>548</v>
      </c>
      <c r="CR123" s="29">
        <v>1</v>
      </c>
      <c r="CS123" s="29">
        <v>7</v>
      </c>
      <c r="CT123" s="29" t="s">
        <v>551</v>
      </c>
      <c r="CU123" s="30">
        <v>1.6800000000000002</v>
      </c>
      <c r="CW123" s="29">
        <v>999</v>
      </c>
      <c r="CX123" s="29" t="s">
        <v>551</v>
      </c>
      <c r="CY123" s="62"/>
      <c r="CZ123" s="29">
        <v>1</v>
      </c>
      <c r="DA123" s="29">
        <v>7</v>
      </c>
      <c r="DB123" s="29" t="s">
        <v>551</v>
      </c>
      <c r="DC123" s="62">
        <v>1.68</v>
      </c>
      <c r="DD123" s="29" t="s">
        <v>548</v>
      </c>
      <c r="DE123" s="29" t="s">
        <v>546</v>
      </c>
      <c r="DF123" s="29" t="s">
        <v>546</v>
      </c>
      <c r="DG123" s="29" t="s">
        <v>546</v>
      </c>
      <c r="DH123" s="29" t="s">
        <v>546</v>
      </c>
      <c r="DI123" s="29">
        <v>1</v>
      </c>
      <c r="DJ123" s="29">
        <v>2</v>
      </c>
      <c r="DK123" s="29" t="s">
        <v>670</v>
      </c>
      <c r="DL123" s="29" t="s">
        <v>671</v>
      </c>
      <c r="DM123" s="29">
        <v>-4.3584175109863281</v>
      </c>
      <c r="DN123" s="29">
        <v>35.589954376220703</v>
      </c>
      <c r="DO123" s="29">
        <v>1514.5999755859375</v>
      </c>
      <c r="DP123" s="29">
        <v>5</v>
      </c>
      <c r="DQ123" s="29">
        <v>1706031849</v>
      </c>
      <c r="DR123" s="29" t="s">
        <v>672</v>
      </c>
      <c r="DS123" s="31">
        <v>42926.575949074075</v>
      </c>
      <c r="DT123" s="31">
        <v>42921.601701388892</v>
      </c>
      <c r="DU123" s="31">
        <v>42921.622037037036</v>
      </c>
      <c r="DV123" s="32">
        <v>43072</v>
      </c>
      <c r="DX123" s="44">
        <v>5.8612149532710278</v>
      </c>
      <c r="DY123" s="44">
        <v>4.1597611630321909</v>
      </c>
      <c r="DZ123" s="44">
        <v>2.9100114547537226</v>
      </c>
      <c r="EA123" s="44">
        <v>3.2822222222222224</v>
      </c>
      <c r="EC123" s="29">
        <f>IF(EQ123&lt;EP123,"FALSEE",1)</f>
        <v>1</v>
      </c>
      <c r="EE123" s="29" t="s">
        <v>2179</v>
      </c>
      <c r="EF123" s="29">
        <v>0.10922735929500001</v>
      </c>
      <c r="EG123" s="29" t="str">
        <f>IF(EF123&lt;0.5,"Depression",IF(EF123&lt;2,"Very gentle",IF(EF123&lt;5,"Gentle",IF(EF123&lt;9,"Moderate",IF(EF123&lt;15,"Strong",IF(EF123&lt;30,"Steep",IF(EF123&lt;1,"Very steep")))))))</f>
        <v>Depression</v>
      </c>
      <c r="EH123" s="29" t="s">
        <v>2173</v>
      </c>
      <c r="EI123" s="29">
        <v>8.4776775111099995E-6</v>
      </c>
      <c r="EJ123" s="43">
        <v>12.6122112274</v>
      </c>
      <c r="EK123" s="43">
        <f>VLOOKUP(D123,[1]SoilData!$G$15:$K$237,5,FALSE)</f>
        <v>215.03214306402631</v>
      </c>
      <c r="EL123" s="43">
        <f>VLOOKUP(D123,[1]SoilData!$G$245:$K$451,5,FALSE)</f>
        <v>465.42014051522273</v>
      </c>
      <c r="EM123" s="43">
        <f>VLOOKUP(D123,[1]SoilData!$G$15:$M$238,7,FALSE)</f>
        <v>1.2470000000000001</v>
      </c>
      <c r="EN123" s="43">
        <f>VLOOKUP(D123,[1]SoilData!$G$245:$M$454,7,FALSE)</f>
        <v>1.599</v>
      </c>
      <c r="EO123" s="60">
        <f>EM123-EN123</f>
        <v>-0.35199999999999987</v>
      </c>
      <c r="EP123" s="44">
        <f>AVERAGE(DZ123:EA123)</f>
        <v>3.0961168384879727</v>
      </c>
      <c r="EQ123" s="44">
        <f>AVERAGE(DX123:DY123)</f>
        <v>5.0104880581516094</v>
      </c>
      <c r="ER123" s="43">
        <f>EQ123-EP123</f>
        <v>1.9143712196636367</v>
      </c>
      <c r="ES123" s="64">
        <f>IF(CU123&gt;0.000001,CU123*352,0)</f>
        <v>591.36</v>
      </c>
      <c r="ET123" s="64">
        <f>IF(DC123&gt;0.0001,DC123*682,0)</f>
        <v>1145.76</v>
      </c>
      <c r="EU123" s="64">
        <f>CY123*795</f>
        <v>0</v>
      </c>
      <c r="EV123" s="64">
        <f>ES123+ET123+EU123</f>
        <v>1737.12</v>
      </c>
      <c r="EW123" s="64">
        <f>IF(AA123="YES",3.5*18.2,0)</f>
        <v>63.699999999999996</v>
      </c>
      <c r="EX123" s="64">
        <f>EV123-EW123</f>
        <v>1673.4199999999998</v>
      </c>
    </row>
    <row r="124" spans="1:154" s="57" customFormat="1" ht="15" x14ac:dyDescent="0.2">
      <c r="A124" s="29" t="s">
        <v>556</v>
      </c>
      <c r="B124" s="29">
        <v>141</v>
      </c>
      <c r="C124" s="29" t="s">
        <v>592</v>
      </c>
      <c r="D124" s="29" t="s">
        <v>429</v>
      </c>
      <c r="E124" s="29" t="str">
        <f>VLOOKUP(D124,Harvest_2017_Formulae!$C$2:$D$968,2,FALSE)</f>
        <v>AYAMANGO</v>
      </c>
      <c r="F124" s="29" t="s">
        <v>196</v>
      </c>
      <c r="G124" s="29">
        <v>0.5</v>
      </c>
      <c r="H124" s="61" t="str">
        <f>IF(G124&lt;0.05,"Homefield",IF(G124&lt;0.5,"Midfield","outfield"))</f>
        <v>outfield</v>
      </c>
      <c r="I124" s="29" t="s">
        <v>557</v>
      </c>
      <c r="J124" s="61" t="s">
        <v>2233</v>
      </c>
      <c r="K124" s="61" t="s">
        <v>2233</v>
      </c>
      <c r="L124" s="67">
        <v>0</v>
      </c>
      <c r="M124" s="29"/>
      <c r="N124" s="29"/>
      <c r="O124" s="29" t="s">
        <v>547</v>
      </c>
      <c r="P124" s="29"/>
      <c r="Q124" s="67">
        <v>0</v>
      </c>
      <c r="R124" s="29" t="s">
        <v>547</v>
      </c>
      <c r="S124" s="29"/>
      <c r="T124" s="29"/>
      <c r="U124" s="29" t="s">
        <v>547</v>
      </c>
      <c r="V124" s="29"/>
      <c r="W124" s="29" t="s">
        <v>547</v>
      </c>
      <c r="X124" s="29"/>
      <c r="Y124" s="29"/>
      <c r="Z124" s="29" t="s">
        <v>547</v>
      </c>
      <c r="AA124" s="61" t="s">
        <v>548</v>
      </c>
      <c r="AB124" s="29" t="s">
        <v>568</v>
      </c>
      <c r="AC124" s="67">
        <v>0</v>
      </c>
      <c r="AD124" s="29" t="s">
        <v>547</v>
      </c>
      <c r="AE124" s="29"/>
      <c r="AF124" s="29" t="s">
        <v>547</v>
      </c>
      <c r="AG124" s="29" t="s">
        <v>547</v>
      </c>
      <c r="AH124" s="29" t="s">
        <v>548</v>
      </c>
      <c r="AI124" s="29" t="s">
        <v>546</v>
      </c>
      <c r="AJ124" s="29" t="s">
        <v>547</v>
      </c>
      <c r="AK124" s="67">
        <v>0</v>
      </c>
      <c r="AL124" s="29" t="s">
        <v>547</v>
      </c>
      <c r="AM124" s="29"/>
      <c r="AN124" s="29"/>
      <c r="AO124" s="29" t="s">
        <v>547</v>
      </c>
      <c r="AP124" s="29" t="s">
        <v>547</v>
      </c>
      <c r="AQ124" s="4">
        <f>Q124+AK124</f>
        <v>0</v>
      </c>
      <c r="AR124" s="4">
        <f>L124+AC124</f>
        <v>0</v>
      </c>
      <c r="AS124" t="str">
        <f>AQ124&amp;AR124</f>
        <v>00</v>
      </c>
      <c r="AT124" s="49">
        <f>AQ124-AR124</f>
        <v>0</v>
      </c>
      <c r="AU124">
        <v>1</v>
      </c>
      <c r="AV124" s="29" t="s">
        <v>548</v>
      </c>
      <c r="AW124" s="29">
        <v>1</v>
      </c>
      <c r="AX124" s="29" t="s">
        <v>548</v>
      </c>
      <c r="AY124" s="29">
        <v>3</v>
      </c>
      <c r="AZ124" s="29">
        <v>7</v>
      </c>
      <c r="BA124" s="29" t="s">
        <v>546</v>
      </c>
      <c r="BB124" s="29" t="s">
        <v>547</v>
      </c>
      <c r="BC124" s="29"/>
      <c r="BD124" s="29">
        <f>AW124+AZ124</f>
        <v>8</v>
      </c>
      <c r="BE124" s="29">
        <f>BD124+BC124</f>
        <v>8</v>
      </c>
      <c r="BF124" s="29" t="s">
        <v>548</v>
      </c>
      <c r="BG124" s="29" t="s">
        <v>548</v>
      </c>
      <c r="BH124" s="29" t="s">
        <v>548</v>
      </c>
      <c r="BI124" s="29" t="s">
        <v>548</v>
      </c>
      <c r="BJ124" s="29" t="s">
        <v>546</v>
      </c>
      <c r="BK124" s="29" t="s">
        <v>546</v>
      </c>
      <c r="BL124" s="29">
        <v>6</v>
      </c>
      <c r="BM124" s="29" t="s">
        <v>549</v>
      </c>
      <c r="BN124" s="29">
        <v>12</v>
      </c>
      <c r="BO124" s="29" t="s">
        <v>549</v>
      </c>
      <c r="BP124" s="29">
        <v>10</v>
      </c>
      <c r="BQ124" s="29" t="s">
        <v>549</v>
      </c>
      <c r="BR124" s="29">
        <v>8</v>
      </c>
      <c r="BS124" s="29" t="s">
        <v>549</v>
      </c>
      <c r="BT124" s="29"/>
      <c r="BU124" s="29" t="s">
        <v>547</v>
      </c>
      <c r="BV124" s="29"/>
      <c r="BW124" s="29">
        <f>(BL124*1)+(BN124*0.1)+(BP124*0.01)+(BR124*0.1)+(BT124*0.3)+(BV124*0.4)</f>
        <v>8.1</v>
      </c>
      <c r="BX124" s="29" t="s">
        <v>2220</v>
      </c>
      <c r="BY124" s="29">
        <v>2</v>
      </c>
      <c r="BZ124" s="29">
        <v>3</v>
      </c>
      <c r="CA124" s="29">
        <v>5</v>
      </c>
      <c r="CB124" s="29">
        <v>10</v>
      </c>
      <c r="CC124" s="29">
        <v>0</v>
      </c>
      <c r="CD124" s="29">
        <v>0</v>
      </c>
      <c r="CE124" s="29">
        <v>1</v>
      </c>
      <c r="CF124" s="29" t="s">
        <v>547</v>
      </c>
      <c r="CG124" s="29">
        <f>(CC124*15)+(CD124*0.8)+(CE124*0.3)+((AW124+AZ124)*15)</f>
        <v>120.3</v>
      </c>
      <c r="CH124" s="29" t="s">
        <v>2221</v>
      </c>
      <c r="CI124" s="29">
        <f>(BL124*1)+(BN124*0.1)+(BP124*0.01)+(BR124*0.1)+(BT124*0.3)+(BV124*0.4)+(CC124*15)+(CD124*0.8)+(CE124*0.3)+((AW124+AZ124)*15)</f>
        <v>128.4</v>
      </c>
      <c r="CJ124" s="29" t="s">
        <v>548</v>
      </c>
      <c r="CK124" s="29" t="s">
        <v>593</v>
      </c>
      <c r="CL124" s="29" t="s">
        <v>548</v>
      </c>
      <c r="CM124" s="29" t="s">
        <v>550</v>
      </c>
      <c r="CN124" s="29">
        <v>1</v>
      </c>
      <c r="CO124" s="29">
        <v>1</v>
      </c>
      <c r="CP124" s="29"/>
      <c r="CQ124" s="29" t="s">
        <v>548</v>
      </c>
      <c r="CR124" s="29">
        <v>2</v>
      </c>
      <c r="CS124" s="29">
        <v>40</v>
      </c>
      <c r="CT124" s="29" t="s">
        <v>551</v>
      </c>
      <c r="CU124" s="30">
        <v>4.8</v>
      </c>
      <c r="CV124" s="29"/>
      <c r="CW124" s="29">
        <v>999</v>
      </c>
      <c r="CX124" s="29" t="s">
        <v>551</v>
      </c>
      <c r="CY124" s="62"/>
      <c r="CZ124" s="29">
        <v>2</v>
      </c>
      <c r="DA124" s="29">
        <v>7</v>
      </c>
      <c r="DB124" s="29" t="s">
        <v>551</v>
      </c>
      <c r="DC124" s="62">
        <v>0.84</v>
      </c>
      <c r="DD124" s="29" t="s">
        <v>546</v>
      </c>
      <c r="DE124" s="29" t="s">
        <v>546</v>
      </c>
      <c r="DF124" s="29" t="s">
        <v>546</v>
      </c>
      <c r="DG124" s="29" t="s">
        <v>546</v>
      </c>
      <c r="DH124" s="29" t="s">
        <v>548</v>
      </c>
      <c r="DI124" s="29">
        <v>1</v>
      </c>
      <c r="DJ124" s="29">
        <v>3</v>
      </c>
      <c r="DK124" s="29" t="s">
        <v>594</v>
      </c>
      <c r="DL124" s="29" t="s">
        <v>595</v>
      </c>
      <c r="DM124" s="29">
        <v>-4.2444863319396973</v>
      </c>
      <c r="DN124" s="29">
        <v>35.892360687255859</v>
      </c>
      <c r="DO124" s="29">
        <v>1236.800048828125</v>
      </c>
      <c r="DP124" s="29">
        <v>5</v>
      </c>
      <c r="DQ124" s="29">
        <v>1706031849</v>
      </c>
      <c r="DR124" s="29" t="s">
        <v>596</v>
      </c>
      <c r="DS124" s="31">
        <v>42909.495486111111</v>
      </c>
      <c r="DT124" s="31">
        <v>42908.430115740739</v>
      </c>
      <c r="DU124" s="31">
        <v>42908.44395833333</v>
      </c>
      <c r="DV124" s="32">
        <v>42775</v>
      </c>
      <c r="DW124" s="29"/>
      <c r="DX124" s="44">
        <v>6.6190412186379932</v>
      </c>
      <c r="DY124" s="44">
        <v>6.3587813620071687</v>
      </c>
      <c r="DZ124" s="44">
        <v>6.261868686868687</v>
      </c>
      <c r="EA124" s="44">
        <v>5.3831313131313134</v>
      </c>
      <c r="EB124" s="29">
        <v>7</v>
      </c>
      <c r="EC124" s="29">
        <f>IF(EQ124&lt;EP124,"FALSEE",1)</f>
        <v>1</v>
      </c>
      <c r="ED124" s="29"/>
      <c r="EE124" s="29" t="s">
        <v>2171</v>
      </c>
      <c r="EF124" s="29">
        <v>0.92674517631499997</v>
      </c>
      <c r="EG124" s="29" t="str">
        <f>IF(EF124&lt;0.5,"Depression",IF(EF124&lt;2,"Very gentle",IF(EF124&lt;5,"Gentle",IF(EF124&lt;9,"Moderate",IF(EF124&lt;15,"Strong",IF(EF124&lt;30,"Steep",IF(EF124&lt;1,"Very steep")))))))</f>
        <v>Very gentle</v>
      </c>
      <c r="EH124" s="29" t="s">
        <v>2173</v>
      </c>
      <c r="EI124" s="29">
        <v>-0.45320102572400001</v>
      </c>
      <c r="EJ124" s="43">
        <v>11.6241054535</v>
      </c>
      <c r="EK124" s="43">
        <f>VLOOKUP(D124,[1]SoilData!$G$15:$K$237,5,FALSE)</f>
        <v>470.2676992796512</v>
      </c>
      <c r="EL124" s="43">
        <f>VLOOKUP(D124,[1]SoilData!$G$245:$K$451,5,FALSE)</f>
        <v>439.61516453042049</v>
      </c>
      <c r="EM124" s="43">
        <f>VLOOKUP(D124,[1]SoilData!$G$15:$M$238,7,FALSE)</f>
        <v>2.2480000000000002</v>
      </c>
      <c r="EN124" s="43">
        <f>VLOOKUP(D124,[1]SoilData!$G$245:$M$454,7,FALSE)</f>
        <v>1.8280000000000001</v>
      </c>
      <c r="EO124" s="60">
        <f>EM124-EN124</f>
        <v>0.42000000000000015</v>
      </c>
      <c r="EP124" s="44">
        <f>AVERAGE(DZ124:EA124)</f>
        <v>5.8224999999999998</v>
      </c>
      <c r="EQ124" s="44">
        <f>AVERAGE(DX124:DY124)</f>
        <v>6.488911290322581</v>
      </c>
      <c r="ER124" s="43">
        <f>EQ124-EP124</f>
        <v>0.66641129032258117</v>
      </c>
      <c r="ES124" s="64">
        <f>IF(CU124&gt;0.000001,CU124*352,0)</f>
        <v>1689.6</v>
      </c>
      <c r="ET124" s="64">
        <f>IF(DC124&gt;0.0001,DC124*682,0)</f>
        <v>572.88</v>
      </c>
      <c r="EU124" s="64">
        <f>CY124*795</f>
        <v>0</v>
      </c>
      <c r="EV124" s="64">
        <f>ES124+ET124+EU124</f>
        <v>2262.48</v>
      </c>
      <c r="EW124" s="64">
        <f>IF(AA124="YES",3.5*18.2,0)</f>
        <v>63.699999999999996</v>
      </c>
      <c r="EX124" s="64">
        <f>EV124-EW124</f>
        <v>2198.7800000000002</v>
      </c>
    </row>
    <row r="125" spans="1:154" ht="15" x14ac:dyDescent="0.2">
      <c r="A125" s="29" t="s">
        <v>556</v>
      </c>
      <c r="B125" s="29">
        <v>220</v>
      </c>
      <c r="C125" s="29" t="s">
        <v>1158</v>
      </c>
      <c r="D125" s="29" t="s">
        <v>413</v>
      </c>
      <c r="E125" s="29" t="str">
        <f>VLOOKUP(D125,Harvest_2017_Formulae!$C$2:$D$968,2,FALSE)</f>
        <v>ORNGADIDA</v>
      </c>
      <c r="F125" s="29" t="s">
        <v>777</v>
      </c>
      <c r="G125" s="29">
        <v>0.5</v>
      </c>
      <c r="H125" s="61" t="str">
        <f>IF(G125&lt;0.05,"Homefield",IF(G125&lt;0.5,"Midfield","outfield"))</f>
        <v>outfield</v>
      </c>
      <c r="I125" s="29" t="s">
        <v>557</v>
      </c>
      <c r="J125" s="61" t="s">
        <v>2233</v>
      </c>
      <c r="K125" s="61" t="s">
        <v>2233</v>
      </c>
      <c r="L125" s="67">
        <v>0</v>
      </c>
      <c r="O125" s="29" t="s">
        <v>547</v>
      </c>
      <c r="Q125" s="67">
        <v>0</v>
      </c>
      <c r="R125" s="29" t="s">
        <v>547</v>
      </c>
      <c r="U125" s="29" t="s">
        <v>547</v>
      </c>
      <c r="W125" s="29" t="s">
        <v>547</v>
      </c>
      <c r="Z125" s="29" t="s">
        <v>547</v>
      </c>
      <c r="AA125" s="61" t="s">
        <v>548</v>
      </c>
      <c r="AB125" s="29" t="s">
        <v>568</v>
      </c>
      <c r="AC125" s="67">
        <v>0</v>
      </c>
      <c r="AD125" s="29" t="s">
        <v>547</v>
      </c>
      <c r="AF125" s="29" t="s">
        <v>547</v>
      </c>
      <c r="AG125" s="29" t="s">
        <v>547</v>
      </c>
      <c r="AH125" s="29" t="s">
        <v>548</v>
      </c>
      <c r="AI125" s="29" t="s">
        <v>546</v>
      </c>
      <c r="AJ125" s="29" t="s">
        <v>547</v>
      </c>
      <c r="AK125" s="67">
        <v>0</v>
      </c>
      <c r="AL125" s="29" t="s">
        <v>547</v>
      </c>
      <c r="AO125" s="29" t="s">
        <v>547</v>
      </c>
      <c r="AP125" s="29" t="s">
        <v>547</v>
      </c>
      <c r="AQ125" s="4">
        <f>Q125+AK125</f>
        <v>0</v>
      </c>
      <c r="AR125" s="4">
        <f>L125+AC125</f>
        <v>0</v>
      </c>
      <c r="AS125" t="str">
        <f>AQ125&amp;AR125</f>
        <v>00</v>
      </c>
      <c r="AT125" s="49">
        <f>AQ125-AR125</f>
        <v>0</v>
      </c>
      <c r="AU125">
        <v>1</v>
      </c>
      <c r="AV125" s="29" t="s">
        <v>548</v>
      </c>
      <c r="AW125" s="29">
        <v>2</v>
      </c>
      <c r="AX125" s="29" t="s">
        <v>548</v>
      </c>
      <c r="AY125" s="29">
        <v>3</v>
      </c>
      <c r="AZ125" s="29">
        <v>6.5</v>
      </c>
      <c r="BA125" s="29" t="s">
        <v>546</v>
      </c>
      <c r="BB125" s="29" t="s">
        <v>547</v>
      </c>
      <c r="BD125" s="29">
        <f>AW125+AZ125</f>
        <v>8.5</v>
      </c>
      <c r="BE125" s="29">
        <f>BD125+BC125</f>
        <v>8.5</v>
      </c>
      <c r="BF125" s="29" t="s">
        <v>548</v>
      </c>
      <c r="BG125" s="29" t="s">
        <v>548</v>
      </c>
      <c r="BH125" s="29" t="s">
        <v>548</v>
      </c>
      <c r="BI125" s="29" t="s">
        <v>546</v>
      </c>
      <c r="BJ125" s="29" t="s">
        <v>546</v>
      </c>
      <c r="BK125" s="29" t="s">
        <v>546</v>
      </c>
      <c r="BL125" s="29">
        <v>7</v>
      </c>
      <c r="BM125" s="29" t="s">
        <v>549</v>
      </c>
      <c r="BN125" s="29">
        <v>9</v>
      </c>
      <c r="BO125" s="29" t="s">
        <v>549</v>
      </c>
      <c r="BP125" s="29">
        <v>25</v>
      </c>
      <c r="BQ125" s="29" t="s">
        <v>549</v>
      </c>
      <c r="BS125" s="29" t="s">
        <v>547</v>
      </c>
      <c r="BU125" s="29" t="s">
        <v>547</v>
      </c>
      <c r="BW125" s="29">
        <f>(BL125*1)+(BN125*0.1)+(BP125*0.01)+(BR125*0.1)+(BT125*0.3)+(BV125*0.4)</f>
        <v>8.15</v>
      </c>
      <c r="BX125" s="29" t="s">
        <v>2220</v>
      </c>
      <c r="BY125" s="29">
        <v>3</v>
      </c>
      <c r="BZ125" s="29">
        <v>2</v>
      </c>
      <c r="CA125" s="29">
        <v>5</v>
      </c>
      <c r="CB125" s="29">
        <v>10</v>
      </c>
      <c r="CC125" s="29">
        <v>0</v>
      </c>
      <c r="CD125" s="29">
        <v>0</v>
      </c>
      <c r="CE125" s="29">
        <v>2</v>
      </c>
      <c r="CF125" s="29" t="s">
        <v>547</v>
      </c>
      <c r="CG125" s="29">
        <f>(CC125*15)+(CD125*0.8)+(CE125*0.3)+((AW125+AZ125)*15)</f>
        <v>128.1</v>
      </c>
      <c r="CH125" s="29" t="s">
        <v>2221</v>
      </c>
      <c r="CI125" s="29">
        <f>(BL125*1)+(BN125*0.1)+(BP125*0.01)+(BR125*0.1)+(BT125*0.3)+(BV125*0.4)+(CC125*15)+(CD125*0.8)+(CE125*0.3)+((AW125+AZ125)*15)</f>
        <v>136.25</v>
      </c>
      <c r="CJ125" s="29" t="s">
        <v>548</v>
      </c>
      <c r="CK125" s="29" t="s">
        <v>1159</v>
      </c>
      <c r="CL125" s="29" t="s">
        <v>548</v>
      </c>
      <c r="CM125" s="29" t="s">
        <v>550</v>
      </c>
      <c r="CN125" s="29">
        <v>0.25</v>
      </c>
      <c r="CO125" s="29">
        <v>2.25</v>
      </c>
      <c r="CQ125" s="29" t="s">
        <v>548</v>
      </c>
      <c r="CR125" s="29">
        <v>2.25</v>
      </c>
      <c r="CS125" s="29">
        <v>24</v>
      </c>
      <c r="CT125" s="29" t="s">
        <v>551</v>
      </c>
      <c r="CU125" s="30">
        <v>2.5600000000000005</v>
      </c>
      <c r="CW125" s="29">
        <v>999</v>
      </c>
      <c r="CX125" s="29" t="s">
        <v>551</v>
      </c>
      <c r="CY125" s="62"/>
      <c r="CZ125" s="29">
        <v>2.25</v>
      </c>
      <c r="DA125" s="29">
        <v>5</v>
      </c>
      <c r="DB125" s="29" t="s">
        <v>551</v>
      </c>
      <c r="DC125" s="62">
        <v>0.53333333333333333</v>
      </c>
      <c r="DD125" s="29" t="s">
        <v>546</v>
      </c>
      <c r="DE125" s="29" t="s">
        <v>546</v>
      </c>
      <c r="DF125" s="29" t="s">
        <v>546</v>
      </c>
      <c r="DG125" s="29" t="s">
        <v>546</v>
      </c>
      <c r="DH125" s="29" t="s">
        <v>546</v>
      </c>
      <c r="DI125" s="29">
        <v>0</v>
      </c>
      <c r="DJ125" s="29">
        <v>4</v>
      </c>
      <c r="DK125" s="29" t="s">
        <v>1160</v>
      </c>
      <c r="DL125" s="29" t="s">
        <v>1161</v>
      </c>
      <c r="DM125" s="29">
        <v>-4.3019556999206543</v>
      </c>
      <c r="DN125" s="29">
        <v>35.868911743164062</v>
      </c>
      <c r="DO125" s="29">
        <v>1252.300048828125</v>
      </c>
      <c r="DP125" s="29">
        <v>5</v>
      </c>
      <c r="DQ125" s="29">
        <v>1706031849</v>
      </c>
      <c r="DR125" s="29" t="s">
        <v>1162</v>
      </c>
      <c r="DS125" s="31">
        <v>42950.967662037037</v>
      </c>
      <c r="DT125" s="31">
        <v>42949.582858796297</v>
      </c>
      <c r="DU125" s="31">
        <v>42950.848761574074</v>
      </c>
      <c r="DV125" s="32">
        <v>42790</v>
      </c>
      <c r="DX125" s="44">
        <v>2.8538181818181818</v>
      </c>
      <c r="DY125" s="44">
        <v>2.1139393939393942</v>
      </c>
      <c r="DZ125" s="44">
        <v>7.5257478632478634</v>
      </c>
      <c r="EA125" s="44">
        <v>6.8955128205128213</v>
      </c>
      <c r="EC125" s="29" t="str">
        <f>IF(EQ125&lt;EP125,"FALSEE",1)</f>
        <v>FALSEE</v>
      </c>
      <c r="EE125" s="29" t="s">
        <v>2171</v>
      </c>
      <c r="EF125" s="29">
        <v>0.699362456799</v>
      </c>
      <c r="EG125" s="29" t="str">
        <f>IF(EF125&lt;0.5,"Depression",IF(EF125&lt;2,"Very gentle",IF(EF125&lt;5,"Gentle",IF(EF125&lt;9,"Moderate",IF(EF125&lt;15,"Strong",IF(EF125&lt;30,"Steep",IF(EF125&lt;1,"Very steep")))))))</f>
        <v>Very gentle</v>
      </c>
      <c r="EH125" s="29" t="s">
        <v>2173</v>
      </c>
      <c r="EI125" s="29">
        <v>0.36257606744799997</v>
      </c>
      <c r="EJ125" s="43">
        <v>9.0593633651700003</v>
      </c>
      <c r="EK125" s="43"/>
      <c r="EL125" s="43"/>
      <c r="EM125" s="43"/>
      <c r="EN125" s="43"/>
      <c r="EO125" s="60"/>
      <c r="EP125" s="44">
        <f>AVERAGE(DZ125:EA125)</f>
        <v>7.2106303418803428</v>
      </c>
      <c r="EQ125" s="44">
        <f>AVERAGE(DX125:DY125)</f>
        <v>2.4838787878787878</v>
      </c>
      <c r="ER125" s="43">
        <f>EQ125-EP125</f>
        <v>-4.726751554001555</v>
      </c>
      <c r="ES125" s="64">
        <f>IF(CU125&gt;0.000001,CU125*352,0)</f>
        <v>901.12000000000012</v>
      </c>
      <c r="ET125" s="64">
        <f>IF(DC125&gt;0.0001,DC125*682,0)</f>
        <v>363.73333333333335</v>
      </c>
      <c r="EU125" s="64">
        <f>CY125*795</f>
        <v>0</v>
      </c>
      <c r="EV125" s="64">
        <f>ES125+ET125+EU125</f>
        <v>1264.8533333333335</v>
      </c>
      <c r="EW125" s="64">
        <f>IF(AA125="YES",3.5*18.2,0)</f>
        <v>63.699999999999996</v>
      </c>
      <c r="EX125" s="64">
        <f>EV125-EW125</f>
        <v>1201.1533333333334</v>
      </c>
    </row>
    <row r="126" spans="1:154" ht="15" x14ac:dyDescent="0.2">
      <c r="A126" s="29" t="s">
        <v>789</v>
      </c>
      <c r="B126" s="29">
        <v>51</v>
      </c>
      <c r="C126" s="29" t="s">
        <v>201</v>
      </c>
      <c r="D126" s="29" t="s">
        <v>201</v>
      </c>
      <c r="E126" s="29" t="str">
        <f>VLOOKUP(D126,Harvest_2017_Formulae!$C$2:$D$968,2,FALSE)</f>
        <v>MANDI</v>
      </c>
      <c r="F126" s="29" t="s">
        <v>1014</v>
      </c>
      <c r="G126" s="29">
        <v>0.30000001192092896</v>
      </c>
      <c r="H126" s="61" t="str">
        <f>IF(G126&lt;0.05,"Homefield",IF(G126&lt;0.5,"Midfield","outfield"))</f>
        <v>Midfield</v>
      </c>
      <c r="I126" s="29" t="s">
        <v>557</v>
      </c>
      <c r="J126" s="61" t="s">
        <v>2233</v>
      </c>
      <c r="K126" s="61" t="s">
        <v>2233</v>
      </c>
      <c r="L126" s="67">
        <v>0</v>
      </c>
      <c r="O126" s="29" t="s">
        <v>547</v>
      </c>
      <c r="Q126" s="67">
        <v>0</v>
      </c>
      <c r="R126" s="29" t="s">
        <v>547</v>
      </c>
      <c r="T126" s="29" t="s">
        <v>559</v>
      </c>
      <c r="U126" s="29" t="s">
        <v>560</v>
      </c>
      <c r="W126" s="41" t="s">
        <v>635</v>
      </c>
      <c r="Z126" s="29" t="s">
        <v>547</v>
      </c>
      <c r="AA126" s="61" t="s">
        <v>548</v>
      </c>
      <c r="AB126" s="29" t="s">
        <v>568</v>
      </c>
      <c r="AC126" s="67">
        <v>0</v>
      </c>
      <c r="AD126" s="29" t="s">
        <v>547</v>
      </c>
      <c r="AF126" s="29" t="s">
        <v>547</v>
      </c>
      <c r="AG126" s="29" t="s">
        <v>547</v>
      </c>
      <c r="AH126" s="29" t="s">
        <v>548</v>
      </c>
      <c r="AI126" s="29" t="s">
        <v>546</v>
      </c>
      <c r="AK126" s="67">
        <v>0</v>
      </c>
      <c r="AL126" s="29" t="s">
        <v>547</v>
      </c>
      <c r="AO126" s="29" t="s">
        <v>547</v>
      </c>
      <c r="AP126" s="29" t="s">
        <v>547</v>
      </c>
      <c r="AQ126" s="4">
        <f>Q126+AK126</f>
        <v>0</v>
      </c>
      <c r="AR126" s="4">
        <f>L126+AC126</f>
        <v>0</v>
      </c>
      <c r="AS126" t="str">
        <f>AQ126&amp;AR126</f>
        <v>00</v>
      </c>
      <c r="AT126" s="49">
        <f>AQ126-AR126</f>
        <v>0</v>
      </c>
      <c r="AU126">
        <v>1</v>
      </c>
      <c r="AV126" s="29" t="s">
        <v>548</v>
      </c>
      <c r="AW126" s="29">
        <v>0.25</v>
      </c>
      <c r="AX126" s="29" t="s">
        <v>548</v>
      </c>
      <c r="AY126" s="29">
        <v>3</v>
      </c>
      <c r="AZ126" s="29">
        <v>2</v>
      </c>
      <c r="BA126" s="29" t="s">
        <v>548</v>
      </c>
      <c r="BB126" s="29" t="s">
        <v>569</v>
      </c>
      <c r="BC126" s="29">
        <v>3.25</v>
      </c>
      <c r="BD126" s="29">
        <f>AW126+AZ126</f>
        <v>2.25</v>
      </c>
      <c r="BE126" s="29">
        <f>BD126+BC126</f>
        <v>5.5</v>
      </c>
      <c r="BF126" s="29" t="s">
        <v>548</v>
      </c>
      <c r="BG126" s="29" t="s">
        <v>548</v>
      </c>
      <c r="BH126" s="29" t="s">
        <v>548</v>
      </c>
      <c r="BI126" s="29" t="s">
        <v>548</v>
      </c>
      <c r="BJ126" s="29" t="s">
        <v>546</v>
      </c>
      <c r="BK126" s="29" t="s">
        <v>548</v>
      </c>
      <c r="BL126" s="29">
        <v>7</v>
      </c>
      <c r="BM126" s="29" t="s">
        <v>580</v>
      </c>
      <c r="BN126" s="29">
        <v>5</v>
      </c>
      <c r="BO126" s="29" t="s">
        <v>580</v>
      </c>
      <c r="BP126" s="29">
        <v>6</v>
      </c>
      <c r="BQ126" s="29" t="s">
        <v>580</v>
      </c>
      <c r="BR126" s="29">
        <v>3</v>
      </c>
      <c r="BS126" s="29" t="s">
        <v>580</v>
      </c>
      <c r="BU126" s="29" t="s">
        <v>547</v>
      </c>
      <c r="BV126" s="29">
        <v>1</v>
      </c>
      <c r="BW126" s="29">
        <f>(BL126*1)+(BN126*0.1)+(BP126*0.01)+(BR126*0.1)+(BT126*0.3)+(BV126*0.4)</f>
        <v>8.26</v>
      </c>
      <c r="BX126" s="29" t="s">
        <v>2220</v>
      </c>
      <c r="BY126" s="29">
        <v>1</v>
      </c>
      <c r="BZ126" s="29">
        <v>1</v>
      </c>
      <c r="CA126" s="29">
        <v>4</v>
      </c>
      <c r="CB126" s="29">
        <v>6</v>
      </c>
      <c r="CC126" s="29">
        <v>0</v>
      </c>
      <c r="CD126" s="29">
        <v>0</v>
      </c>
      <c r="CE126" s="29">
        <v>0</v>
      </c>
      <c r="CG126" s="29">
        <f>(CC126*15)+(CD126*0.8)+(CE126*0.3)+((AW126+AZ126)*15)</f>
        <v>33.75</v>
      </c>
      <c r="CH126" s="29" t="s">
        <v>2220</v>
      </c>
      <c r="CI126" s="29">
        <f>(BL126*1)+(BN126*0.1)+(BP126*0.01)+(BR126*0.1)+(BT126*0.3)+(BV126*0.4)+(CC126*15)+(CD126*0.8)+(CE126*0.3)+((AW126+AZ126)*15)</f>
        <v>42.01</v>
      </c>
      <c r="CJ126" s="29" t="s">
        <v>548</v>
      </c>
      <c r="CK126" s="29" t="s">
        <v>797</v>
      </c>
      <c r="CL126" s="29" t="s">
        <v>548</v>
      </c>
      <c r="CM126" s="29" t="s">
        <v>827</v>
      </c>
      <c r="CN126" s="29">
        <v>0.25</v>
      </c>
      <c r="CO126" s="29">
        <v>2.75</v>
      </c>
      <c r="CP126" s="29">
        <v>0</v>
      </c>
      <c r="CQ126" s="29" t="s">
        <v>548</v>
      </c>
      <c r="CR126" s="29">
        <v>1</v>
      </c>
      <c r="CS126" s="29">
        <v>2.5</v>
      </c>
      <c r="CT126" s="29" t="s">
        <v>551</v>
      </c>
      <c r="CU126" s="30">
        <v>0.6</v>
      </c>
      <c r="CV126" s="29">
        <v>1</v>
      </c>
      <c r="CW126" s="29">
        <v>0.5</v>
      </c>
      <c r="CX126" s="29" t="s">
        <v>551</v>
      </c>
      <c r="CY126" s="62">
        <v>0.12</v>
      </c>
      <c r="CZ126" s="29">
        <v>1</v>
      </c>
      <c r="DA126" s="29">
        <v>0.5</v>
      </c>
      <c r="DB126" s="29" t="s">
        <v>551</v>
      </c>
      <c r="DC126" s="62">
        <v>0.12</v>
      </c>
      <c r="DD126" s="29" t="s">
        <v>548</v>
      </c>
      <c r="DE126" s="29" t="s">
        <v>546</v>
      </c>
      <c r="DF126" s="29" t="s">
        <v>548</v>
      </c>
      <c r="DG126" s="29" t="s">
        <v>546</v>
      </c>
      <c r="DH126" s="29" t="s">
        <v>546</v>
      </c>
      <c r="DI126" s="29">
        <v>2</v>
      </c>
      <c r="DJ126" s="29">
        <v>3</v>
      </c>
      <c r="DK126" s="29" t="s">
        <v>1039</v>
      </c>
      <c r="DL126" s="29" t="s">
        <v>1040</v>
      </c>
      <c r="DM126" s="29">
        <v>-4.3366756439208984</v>
      </c>
      <c r="DN126" s="29">
        <v>35.433216094970703</v>
      </c>
      <c r="DO126" s="29">
        <v>1580.5</v>
      </c>
      <c r="DP126" s="29">
        <v>5</v>
      </c>
      <c r="DQ126" s="29">
        <v>1705231439</v>
      </c>
      <c r="DR126" s="29" t="s">
        <v>1041</v>
      </c>
      <c r="DS126" s="31">
        <v>42923.381724537037</v>
      </c>
      <c r="DT126" s="31">
        <v>42908.418773148151</v>
      </c>
      <c r="DU126" s="31">
        <v>42908.431018518517</v>
      </c>
      <c r="DV126" s="32">
        <v>42769</v>
      </c>
      <c r="DX126" s="44">
        <v>2.8890196078431374</v>
      </c>
      <c r="DY126" s="44">
        <v>1.4990196078431373</v>
      </c>
      <c r="DZ126" s="44">
        <v>1.8287500000000003</v>
      </c>
      <c r="EA126" s="44">
        <v>2.8233333333333337</v>
      </c>
      <c r="EC126" s="29" t="str">
        <f>IF(EQ126&lt;EP126,"FALSEE",1)</f>
        <v>FALSEE</v>
      </c>
      <c r="EE126" s="29" t="s">
        <v>2171</v>
      </c>
      <c r="EF126" s="29">
        <v>0.48846834898000002</v>
      </c>
      <c r="EG126" s="29" t="str">
        <f>IF(EF126&lt;0.5,"Depression",IF(EF126&lt;2,"Very gentle",IF(EF126&lt;5,"Gentle",IF(EF126&lt;9,"Moderate",IF(EF126&lt;15,"Strong",IF(EF126&lt;30,"Steep",IF(EF126&lt;1,"Very steep")))))))</f>
        <v>Depression</v>
      </c>
      <c r="EH126" s="29" t="s">
        <v>2173</v>
      </c>
      <c r="EI126" s="29">
        <v>-0.18127532303300001</v>
      </c>
      <c r="EJ126" s="43">
        <v>10.178800582899999</v>
      </c>
      <c r="EK126" s="43">
        <f>VLOOKUP(D126,[1]SoilData!$G$15:$K$237,5,FALSE)</f>
        <v>401.12717291857291</v>
      </c>
      <c r="EL126" s="43">
        <f>VLOOKUP(D126,[1]SoilData!$G$245:$K$451,5,FALSE)</f>
        <v>288.96651490421789</v>
      </c>
      <c r="EM126" s="43">
        <f>VLOOKUP(D126,[1]SoilData!$G$15:$M$238,7,FALSE)</f>
        <v>1.5229999999999999</v>
      </c>
      <c r="EN126" s="43">
        <f>VLOOKUP(D126,[1]SoilData!$G$245:$M$454,7,FALSE)</f>
        <v>1.421</v>
      </c>
      <c r="EO126" s="60">
        <f>EM126-EN126</f>
        <v>0.10199999999999987</v>
      </c>
      <c r="EP126" s="44">
        <f>AVERAGE(DZ126:EA126)</f>
        <v>2.3260416666666668</v>
      </c>
      <c r="EQ126" s="44">
        <f>AVERAGE(DX126:DY126)</f>
        <v>2.1940196078431375</v>
      </c>
      <c r="ER126" s="43">
        <f>EQ126-EP126</f>
        <v>-0.13202205882352924</v>
      </c>
      <c r="ES126" s="64">
        <f>IF(CU126&gt;0.000001,CU126*352,0)</f>
        <v>211.2</v>
      </c>
      <c r="ET126" s="64">
        <f>IF(DC126&gt;0.0001,DC126*682,0)</f>
        <v>81.84</v>
      </c>
      <c r="EU126" s="64">
        <f>CY126*795</f>
        <v>95.399999999999991</v>
      </c>
      <c r="EV126" s="64">
        <f>ES126+ET126+EU126</f>
        <v>388.43999999999994</v>
      </c>
      <c r="EW126" s="64">
        <f>IF(AA126="YES",3.5*18.2,0)</f>
        <v>63.699999999999996</v>
      </c>
      <c r="EX126" s="64">
        <f>EV126-EW126</f>
        <v>324.73999999999995</v>
      </c>
    </row>
    <row r="127" spans="1:154" ht="15" x14ac:dyDescent="0.2">
      <c r="A127" s="29" t="s">
        <v>556</v>
      </c>
      <c r="B127" s="29">
        <v>181</v>
      </c>
      <c r="C127" s="29" t="s">
        <v>339</v>
      </c>
      <c r="D127" s="29" t="s">
        <v>339</v>
      </c>
      <c r="E127" s="29" t="str">
        <f>VLOOKUP(D127,Harvest_2017_Formulae!$C$2:$D$968,2,FALSE)</f>
        <v>DURU</v>
      </c>
      <c r="F127" s="29" t="s">
        <v>645</v>
      </c>
      <c r="G127" s="29">
        <v>1.5</v>
      </c>
      <c r="H127" s="61" t="str">
        <f>IF(G127&lt;0.05,"Homefield",IF(G127&lt;0.5,"Midfield","outfield"))</f>
        <v>outfield</v>
      </c>
      <c r="I127" s="29" t="s">
        <v>557</v>
      </c>
      <c r="J127" s="61" t="s">
        <v>2233</v>
      </c>
      <c r="K127" s="61" t="s">
        <v>2233</v>
      </c>
      <c r="L127" s="67">
        <v>0</v>
      </c>
      <c r="O127" s="29" t="s">
        <v>547</v>
      </c>
      <c r="Q127" s="67">
        <v>0</v>
      </c>
      <c r="R127" s="29" t="s">
        <v>547</v>
      </c>
      <c r="U127" s="29" t="s">
        <v>547</v>
      </c>
      <c r="W127" s="29" t="s">
        <v>547</v>
      </c>
      <c r="Z127" s="29" t="s">
        <v>547</v>
      </c>
      <c r="AA127" s="61" t="s">
        <v>548</v>
      </c>
      <c r="AB127" s="29" t="s">
        <v>568</v>
      </c>
      <c r="AC127" s="67">
        <v>0</v>
      </c>
      <c r="AD127" s="29" t="s">
        <v>547</v>
      </c>
      <c r="AF127" s="29" t="s">
        <v>547</v>
      </c>
      <c r="AG127" s="29" t="s">
        <v>547</v>
      </c>
      <c r="AH127" s="29" t="s">
        <v>546</v>
      </c>
      <c r="AI127" s="29" t="s">
        <v>546</v>
      </c>
      <c r="AJ127" s="29" t="s">
        <v>547</v>
      </c>
      <c r="AK127" s="67">
        <v>0</v>
      </c>
      <c r="AL127" s="29" t="s">
        <v>547</v>
      </c>
      <c r="AO127" s="29" t="s">
        <v>547</v>
      </c>
      <c r="AP127" s="29" t="s">
        <v>547</v>
      </c>
      <c r="AQ127" s="4">
        <f>Q127+AK127</f>
        <v>0</v>
      </c>
      <c r="AR127" s="4">
        <f>L127+AC127</f>
        <v>0</v>
      </c>
      <c r="AS127" t="str">
        <f>AQ127&amp;AR127</f>
        <v>00</v>
      </c>
      <c r="AT127" s="49">
        <f>AQ127-AR127</f>
        <v>0</v>
      </c>
      <c r="AU127">
        <v>1</v>
      </c>
      <c r="AV127" s="29" t="s">
        <v>548</v>
      </c>
      <c r="AW127" s="29">
        <v>0.125</v>
      </c>
      <c r="AX127" s="29" t="s">
        <v>548</v>
      </c>
      <c r="AY127" s="29">
        <v>4</v>
      </c>
      <c r="AZ127" s="29">
        <v>10</v>
      </c>
      <c r="BA127" s="29" t="s">
        <v>546</v>
      </c>
      <c r="BB127" s="29" t="s">
        <v>547</v>
      </c>
      <c r="BD127" s="29">
        <f>AW127+AZ127</f>
        <v>10.125</v>
      </c>
      <c r="BE127" s="29">
        <f>BD127+BC127</f>
        <v>10.125</v>
      </c>
      <c r="BF127" s="29" t="s">
        <v>548</v>
      </c>
      <c r="BG127" s="29" t="s">
        <v>548</v>
      </c>
      <c r="BH127" s="29" t="s">
        <v>548</v>
      </c>
      <c r="BI127" s="29" t="s">
        <v>546</v>
      </c>
      <c r="BJ127" s="29" t="s">
        <v>546</v>
      </c>
      <c r="BK127" s="29" t="s">
        <v>546</v>
      </c>
      <c r="BL127" s="29">
        <v>8</v>
      </c>
      <c r="BM127" s="29" t="s">
        <v>549</v>
      </c>
      <c r="BN127" s="29">
        <v>6</v>
      </c>
      <c r="BO127" s="29" t="s">
        <v>549</v>
      </c>
      <c r="BP127" s="29">
        <v>5</v>
      </c>
      <c r="BQ127" s="29" t="s">
        <v>549</v>
      </c>
      <c r="BS127" s="29" t="s">
        <v>547</v>
      </c>
      <c r="BU127" s="29" t="s">
        <v>547</v>
      </c>
      <c r="BW127" s="29">
        <f>(BL127*1)+(BN127*0.1)+(BP127*0.01)+(BR127*0.1)+(BT127*0.3)+(BV127*0.4)</f>
        <v>8.65</v>
      </c>
      <c r="BX127" s="29" t="s">
        <v>2220</v>
      </c>
      <c r="BY127" s="29">
        <v>1</v>
      </c>
      <c r="BZ127" s="29">
        <v>1</v>
      </c>
      <c r="CA127" s="29">
        <v>3</v>
      </c>
      <c r="CB127" s="29">
        <v>5</v>
      </c>
      <c r="CC127" s="29">
        <v>0</v>
      </c>
      <c r="CD127" s="29">
        <v>0</v>
      </c>
      <c r="CE127" s="29">
        <v>1</v>
      </c>
      <c r="CF127" s="29" t="s">
        <v>547</v>
      </c>
      <c r="CG127" s="29">
        <f>(CC127*15)+(CD127*0.8)+(CE127*0.3)+((AW127+AZ127)*15)</f>
        <v>152.17500000000001</v>
      </c>
      <c r="CH127" s="29" t="s">
        <v>2221</v>
      </c>
      <c r="CI127" s="29">
        <f>(BL127*1)+(BN127*0.1)+(BP127*0.01)+(BR127*0.1)+(BT127*0.3)+(BV127*0.4)+(CC127*15)+(CD127*0.8)+(CE127*0.3)+((AW127+AZ127)*15)</f>
        <v>160.82499999999999</v>
      </c>
      <c r="CJ127" s="29" t="s">
        <v>546</v>
      </c>
      <c r="CK127" s="29" t="s">
        <v>547</v>
      </c>
      <c r="CL127" s="29" t="s">
        <v>548</v>
      </c>
      <c r="CM127" s="29" t="s">
        <v>550</v>
      </c>
      <c r="CN127" s="29">
        <v>0.25</v>
      </c>
      <c r="CO127" s="29">
        <v>0.75</v>
      </c>
      <c r="CQ127" s="29" t="s">
        <v>548</v>
      </c>
      <c r="CR127" s="29">
        <v>1</v>
      </c>
      <c r="CS127" s="29">
        <v>15</v>
      </c>
      <c r="CT127" s="29" t="s">
        <v>551</v>
      </c>
      <c r="CU127" s="30">
        <v>3.5999999999999996</v>
      </c>
      <c r="CW127" s="29">
        <v>999</v>
      </c>
      <c r="CX127" s="29" t="s">
        <v>551</v>
      </c>
      <c r="CY127" s="62"/>
      <c r="CZ127" s="29">
        <v>1</v>
      </c>
      <c r="DA127" s="29">
        <v>5</v>
      </c>
      <c r="DB127" s="29" t="s">
        <v>551</v>
      </c>
      <c r="DC127" s="62">
        <v>1.2</v>
      </c>
      <c r="DD127" s="29" t="s">
        <v>548</v>
      </c>
      <c r="DE127" s="29" t="s">
        <v>546</v>
      </c>
      <c r="DF127" s="29" t="s">
        <v>548</v>
      </c>
      <c r="DG127" s="29" t="s">
        <v>546</v>
      </c>
      <c r="DH127" s="29" t="s">
        <v>548</v>
      </c>
      <c r="DI127" s="29">
        <v>3</v>
      </c>
      <c r="DJ127" s="29">
        <v>3</v>
      </c>
      <c r="DK127" s="29" t="s">
        <v>719</v>
      </c>
      <c r="DL127" s="29" t="s">
        <v>720</v>
      </c>
      <c r="DM127" s="29">
        <v>-4.3116297721862793</v>
      </c>
      <c r="DN127" s="29">
        <v>35.589282989501953</v>
      </c>
      <c r="DO127" s="29">
        <v>1543.4000244140625</v>
      </c>
      <c r="DP127" s="29">
        <v>5</v>
      </c>
      <c r="DQ127" s="29">
        <v>1706031849</v>
      </c>
      <c r="DR127" s="29" t="s">
        <v>721</v>
      </c>
      <c r="DS127" s="31">
        <v>42926.575914351852</v>
      </c>
      <c r="DT127" s="31">
        <v>42921.536840277782</v>
      </c>
      <c r="DU127" s="31">
        <v>42921.545254629629</v>
      </c>
      <c r="DV127" s="32">
        <v>42769</v>
      </c>
      <c r="DX127" s="44">
        <v>5.5057478632478638</v>
      </c>
      <c r="DY127" s="44">
        <v>5.6888034188034187</v>
      </c>
      <c r="DZ127" s="44">
        <v>6.1862222222222218</v>
      </c>
      <c r="EA127" s="44">
        <v>4.8256161616161615</v>
      </c>
      <c r="EC127" s="29">
        <f>IF(EQ127&lt;EP127,"FALSEE",1)</f>
        <v>1</v>
      </c>
      <c r="EE127" s="29" t="s">
        <v>2171</v>
      </c>
      <c r="EF127" s="29">
        <v>4.2950010299699999</v>
      </c>
      <c r="EG127" s="29" t="str">
        <f>IF(EF127&lt;0.5,"Depression",IF(EF127&lt;2,"Very gentle",IF(EF127&lt;5,"Gentle",IF(EF127&lt;9,"Moderate",IF(EF127&lt;15,"Strong",IF(EF127&lt;30,"Steep",IF(EF127&lt;1,"Very steep")))))))</f>
        <v>Gentle</v>
      </c>
      <c r="EH127" s="29" t="s">
        <v>2177</v>
      </c>
      <c r="EI127" s="29">
        <v>0.63450175523800001</v>
      </c>
      <c r="EJ127" s="43">
        <v>8.7873973846400002</v>
      </c>
      <c r="EK127" s="43">
        <f>VLOOKUP(D127,[1]SoilData!$G$15:$K$237,5,FALSE)</f>
        <v>317.00502553349799</v>
      </c>
      <c r="EL127" s="43">
        <f>VLOOKUP(D127,[1]SoilData!$G$245:$K$451,5,FALSE)</f>
        <v>204.14796577496708</v>
      </c>
      <c r="EM127" s="43">
        <f>VLOOKUP(D127,[1]SoilData!$G$15:$M$238,7,FALSE)</f>
        <v>1.1399999999999999</v>
      </c>
      <c r="EN127" s="43">
        <f>VLOOKUP(D127,[1]SoilData!$G$245:$M$454,7,FALSE)</f>
        <v>1.29</v>
      </c>
      <c r="EO127" s="60">
        <f>EM127-EN127</f>
        <v>-0.15000000000000013</v>
      </c>
      <c r="EP127" s="44">
        <f>AVERAGE(DZ127:EA127)</f>
        <v>5.5059191919191921</v>
      </c>
      <c r="EQ127" s="44">
        <f>AVERAGE(DX127:DY127)</f>
        <v>5.5972756410256412</v>
      </c>
      <c r="ER127" s="43">
        <f>EQ127-EP127</f>
        <v>9.1356449106449134E-2</v>
      </c>
      <c r="ES127" s="64">
        <f>IF(CU127&gt;0.000001,CU127*352,0)</f>
        <v>1267.1999999999998</v>
      </c>
      <c r="ET127" s="64">
        <f>IF(DC127&gt;0.0001,DC127*682,0)</f>
        <v>818.4</v>
      </c>
      <c r="EU127" s="64">
        <f>CY127*795</f>
        <v>0</v>
      </c>
      <c r="EV127" s="64">
        <f>ES127+ET127+EU127</f>
        <v>2085.6</v>
      </c>
      <c r="EW127" s="64">
        <f>IF(AA127="YES",3.5*18.2,0)</f>
        <v>63.699999999999996</v>
      </c>
      <c r="EX127" s="64">
        <f>EV127-EW127</f>
        <v>2021.8999999999999</v>
      </c>
    </row>
    <row r="128" spans="1:154" ht="15" x14ac:dyDescent="0.2">
      <c r="A128" s="29" t="s">
        <v>789</v>
      </c>
      <c r="B128" s="29">
        <v>31</v>
      </c>
      <c r="C128" s="29" t="s">
        <v>263</v>
      </c>
      <c r="D128" s="29" t="s">
        <v>263</v>
      </c>
      <c r="E128" s="29" t="str">
        <f>VLOOKUP(D128,Harvest_2017_Formulae!$C$2:$D$968,2,FALSE)</f>
        <v>Sangara</v>
      </c>
      <c r="F128" s="29" t="s">
        <v>1014</v>
      </c>
      <c r="G128" s="29">
        <v>0</v>
      </c>
      <c r="H128" s="61" t="str">
        <f>IF(G128&lt;0.05,"Homefield",IF(G128&lt;0.5,"Midfield","outfield"))</f>
        <v>Homefield</v>
      </c>
      <c r="I128" s="29" t="s">
        <v>557</v>
      </c>
      <c r="J128" s="61" t="s">
        <v>2233</v>
      </c>
      <c r="K128" s="61" t="s">
        <v>2233</v>
      </c>
      <c r="L128" s="67">
        <v>0</v>
      </c>
      <c r="O128" s="29" t="s">
        <v>547</v>
      </c>
      <c r="Q128" s="67">
        <v>0</v>
      </c>
      <c r="R128" s="29" t="s">
        <v>547</v>
      </c>
      <c r="T128" s="29" t="s">
        <v>559</v>
      </c>
      <c r="U128" s="29" t="s">
        <v>560</v>
      </c>
      <c r="W128" s="29" t="s">
        <v>635</v>
      </c>
      <c r="Z128" s="29" t="s">
        <v>547</v>
      </c>
      <c r="AA128" s="61" t="s">
        <v>548</v>
      </c>
      <c r="AB128" s="29" t="s">
        <v>568</v>
      </c>
      <c r="AC128" s="67">
        <v>0</v>
      </c>
      <c r="AD128" s="29" t="s">
        <v>547</v>
      </c>
      <c r="AF128" s="29" t="s">
        <v>547</v>
      </c>
      <c r="AG128" s="29" t="s">
        <v>547</v>
      </c>
      <c r="AH128" s="29" t="s">
        <v>548</v>
      </c>
      <c r="AI128" s="29" t="s">
        <v>546</v>
      </c>
      <c r="AK128" s="67">
        <v>0</v>
      </c>
      <c r="AL128" s="29" t="s">
        <v>547</v>
      </c>
      <c r="AO128" s="29" t="s">
        <v>547</v>
      </c>
      <c r="AP128" s="29" t="s">
        <v>547</v>
      </c>
      <c r="AQ128" s="4">
        <f>Q128+AK128</f>
        <v>0</v>
      </c>
      <c r="AR128" s="4">
        <f>L128+AC128</f>
        <v>0</v>
      </c>
      <c r="AS128" t="str">
        <f>AQ128&amp;AR128</f>
        <v>00</v>
      </c>
      <c r="AT128" s="49">
        <f>AQ128-AR128</f>
        <v>0</v>
      </c>
      <c r="AU128">
        <v>1</v>
      </c>
      <c r="AV128" s="29" t="s">
        <v>548</v>
      </c>
      <c r="AW128" s="29">
        <v>3.25</v>
      </c>
      <c r="AX128" s="29" t="s">
        <v>546</v>
      </c>
      <c r="BA128" s="29" t="s">
        <v>546</v>
      </c>
      <c r="BB128" s="29" t="s">
        <v>547</v>
      </c>
      <c r="BD128" s="29">
        <f>AW128+AZ128</f>
        <v>3.25</v>
      </c>
      <c r="BE128" s="29">
        <f>BD128+BC128</f>
        <v>3.25</v>
      </c>
      <c r="BF128" s="29" t="s">
        <v>548</v>
      </c>
      <c r="BG128" s="29" t="s">
        <v>548</v>
      </c>
      <c r="BH128" s="29" t="s">
        <v>548</v>
      </c>
      <c r="BI128" s="29" t="s">
        <v>546</v>
      </c>
      <c r="BJ128" s="29" t="s">
        <v>546</v>
      </c>
      <c r="BK128" s="29" t="s">
        <v>546</v>
      </c>
      <c r="BL128" s="29">
        <v>8</v>
      </c>
      <c r="BM128" s="29" t="s">
        <v>549</v>
      </c>
      <c r="BN128" s="29">
        <v>5</v>
      </c>
      <c r="BO128" s="29" t="s">
        <v>580</v>
      </c>
      <c r="BP128" s="29">
        <v>20</v>
      </c>
      <c r="BQ128" s="29" t="s">
        <v>580</v>
      </c>
      <c r="BS128" s="29" t="s">
        <v>547</v>
      </c>
      <c r="BU128" s="29" t="s">
        <v>547</v>
      </c>
      <c r="BW128" s="29">
        <f>(BL128*1)+(BN128*0.1)+(BP128*0.01)+(BR128*0.1)+(BT128*0.3)+(BV128*0.4)</f>
        <v>8.6999999999999993</v>
      </c>
      <c r="BX128" s="29" t="s">
        <v>2220</v>
      </c>
      <c r="BY128" s="29">
        <v>3</v>
      </c>
      <c r="BZ128" s="29">
        <v>1</v>
      </c>
      <c r="CA128" s="29">
        <v>4</v>
      </c>
      <c r="CB128" s="29">
        <v>8</v>
      </c>
      <c r="CC128" s="29">
        <v>0</v>
      </c>
      <c r="CD128" s="29">
        <v>0</v>
      </c>
      <c r="CE128" s="29">
        <v>1</v>
      </c>
      <c r="CG128" s="29">
        <f>(CC128*15)+(CD128*0.8)+(CE128*0.3)+((AW128+AZ128)*15)</f>
        <v>49.05</v>
      </c>
      <c r="CH128" s="29" t="s">
        <v>2220</v>
      </c>
      <c r="CI128" s="29">
        <f>(BL128*1)+(BN128*0.1)+(BP128*0.01)+(BR128*0.1)+(BT128*0.3)+(BV128*0.4)+(CC128*15)+(CD128*0.8)+(CE128*0.3)+((AW128+AZ128)*15)</f>
        <v>57.75</v>
      </c>
      <c r="CJ128" s="29" t="s">
        <v>548</v>
      </c>
      <c r="CK128" s="29" t="s">
        <v>1265</v>
      </c>
      <c r="CL128" s="29" t="s">
        <v>548</v>
      </c>
      <c r="CM128" s="29" t="s">
        <v>793</v>
      </c>
      <c r="CN128" s="29">
        <v>1</v>
      </c>
      <c r="CO128" s="29">
        <v>2</v>
      </c>
      <c r="CP128" s="29">
        <v>0</v>
      </c>
      <c r="CQ128" s="29" t="s">
        <v>548</v>
      </c>
      <c r="CR128" s="29">
        <v>1</v>
      </c>
      <c r="CS128" s="29">
        <v>12</v>
      </c>
      <c r="CT128" s="29" t="s">
        <v>551</v>
      </c>
      <c r="CU128" s="30">
        <v>2.8800000000000003</v>
      </c>
      <c r="CV128" s="29">
        <v>1</v>
      </c>
      <c r="CW128" s="29">
        <v>2</v>
      </c>
      <c r="CX128" s="29" t="s">
        <v>551</v>
      </c>
      <c r="CY128" s="62">
        <v>0.48</v>
      </c>
      <c r="CZ128" s="29">
        <v>1</v>
      </c>
      <c r="DA128" s="29">
        <v>3</v>
      </c>
      <c r="DB128" s="29" t="s">
        <v>551</v>
      </c>
      <c r="DC128" s="62">
        <v>0.72</v>
      </c>
      <c r="DD128" s="29" t="s">
        <v>546</v>
      </c>
      <c r="DE128" s="29" t="s">
        <v>546</v>
      </c>
      <c r="DF128" s="29" t="s">
        <v>548</v>
      </c>
      <c r="DG128" s="29" t="s">
        <v>546</v>
      </c>
      <c r="DH128" s="29" t="s">
        <v>548</v>
      </c>
      <c r="DI128" s="29">
        <v>2</v>
      </c>
      <c r="DJ128" s="29">
        <v>2</v>
      </c>
      <c r="DK128" s="29" t="s">
        <v>1266</v>
      </c>
      <c r="DL128" s="29" t="s">
        <v>1267</v>
      </c>
      <c r="DM128" s="29">
        <v>-4.2769598960876465</v>
      </c>
      <c r="DN128" s="29">
        <v>35.628490447998047</v>
      </c>
      <c r="DO128" s="29">
        <v>1403.300048828125</v>
      </c>
      <c r="DP128" s="29">
        <v>15</v>
      </c>
      <c r="DQ128" s="29">
        <v>1705231439</v>
      </c>
      <c r="DR128" s="29" t="s">
        <v>1268</v>
      </c>
      <c r="DS128" s="31">
        <v>42908.292604166665</v>
      </c>
      <c r="DT128" s="31">
        <v>42898.617662037039</v>
      </c>
      <c r="DU128" s="31">
        <v>42908.2887037037</v>
      </c>
      <c r="DV128" s="32">
        <v>42741</v>
      </c>
      <c r="DX128" s="44"/>
      <c r="DY128" s="44"/>
      <c r="DZ128" s="44"/>
      <c r="EA128" s="44"/>
      <c r="EC128" s="29">
        <f>IF(EQ128&lt;EP128,"FALSEE",1)</f>
        <v>1</v>
      </c>
      <c r="EE128" s="29" t="s">
        <v>2179</v>
      </c>
      <c r="EF128" s="29">
        <v>7.2281165122999997</v>
      </c>
      <c r="EG128" s="29" t="str">
        <f>IF(EF128&lt;0.5,"Depression",IF(EF128&lt;2,"Very gentle",IF(EF128&lt;5,"Gentle",IF(EF128&lt;9,"Moderate",IF(EF128&lt;15,"Strong",IF(EF128&lt;30,"Steep",IF(EF128&lt;1,"Very steep")))))))</f>
        <v>Moderate</v>
      </c>
      <c r="EH128" s="29" t="s">
        <v>2178</v>
      </c>
      <c r="EI128" s="29">
        <v>0.27193418145199999</v>
      </c>
      <c r="EJ128" s="43">
        <v>7.7144684791599998</v>
      </c>
      <c r="EK128" s="43">
        <f>VLOOKUP(D128,[1]SoilData!$G$15:$K$237,5,FALSE)</f>
        <v>205.72017308152266</v>
      </c>
      <c r="EL128" s="43">
        <f>VLOOKUP(D128,[1]SoilData!$G$245:$K$451,5,FALSE)</f>
        <v>294.82612027374853</v>
      </c>
      <c r="EM128" s="43"/>
      <c r="EN128" s="43"/>
      <c r="EO128" s="60"/>
      <c r="EP128" s="44"/>
      <c r="EQ128" s="44"/>
      <c r="ER128" s="43"/>
      <c r="ES128" s="64">
        <f>IF(CU128&gt;0.000001,CU128*352,0)</f>
        <v>1013.7600000000001</v>
      </c>
      <c r="ET128" s="64">
        <f>IF(DC128&gt;0.0001,DC128*682,0)</f>
        <v>491.03999999999996</v>
      </c>
      <c r="EU128" s="64">
        <f>CY128*795</f>
        <v>381.59999999999997</v>
      </c>
      <c r="EV128" s="64">
        <f>ES128+ET128+EU128</f>
        <v>1886.4</v>
      </c>
      <c r="EW128" s="64">
        <f>IF(AA128="YES",3.5*18.2,0)</f>
        <v>63.699999999999996</v>
      </c>
      <c r="EX128" s="64">
        <f>EV128-EW128</f>
        <v>1822.7</v>
      </c>
    </row>
    <row r="129" spans="1:154" ht="15" x14ac:dyDescent="0.2">
      <c r="A129" s="29" t="s">
        <v>789</v>
      </c>
      <c r="B129" s="29">
        <v>72</v>
      </c>
      <c r="C129" s="29" t="s">
        <v>810</v>
      </c>
      <c r="D129" s="29" t="s">
        <v>138</v>
      </c>
      <c r="E129" s="29" t="str">
        <f>VLOOKUP(D129,Harvest_2017_Formulae!$C$2:$D$968,2,FALSE)</f>
        <v>Endanachan</v>
      </c>
      <c r="F129" s="29" t="s">
        <v>777</v>
      </c>
      <c r="G129" s="29">
        <v>0</v>
      </c>
      <c r="H129" s="61" t="str">
        <f>IF(G129&lt;0.05,"Homefield",IF(G129&lt;0.5,"Midfield","outfield"))</f>
        <v>Homefield</v>
      </c>
      <c r="I129" s="29" t="s">
        <v>557</v>
      </c>
      <c r="J129" s="61" t="s">
        <v>2233</v>
      </c>
      <c r="K129" s="61" t="s">
        <v>2233</v>
      </c>
      <c r="L129" s="67">
        <v>0</v>
      </c>
      <c r="O129" s="29" t="s">
        <v>547</v>
      </c>
      <c r="Q129" s="67">
        <v>0</v>
      </c>
      <c r="R129" s="29" t="s">
        <v>547</v>
      </c>
      <c r="T129" s="29" t="s">
        <v>559</v>
      </c>
      <c r="U129" s="29" t="s">
        <v>560</v>
      </c>
      <c r="W129" s="29" t="s">
        <v>635</v>
      </c>
      <c r="Z129" s="29" t="s">
        <v>547</v>
      </c>
      <c r="AA129" s="61" t="s">
        <v>548</v>
      </c>
      <c r="AB129" s="29" t="s">
        <v>568</v>
      </c>
      <c r="AC129" s="67">
        <v>0</v>
      </c>
      <c r="AD129" s="29" t="s">
        <v>547</v>
      </c>
      <c r="AF129" s="29" t="s">
        <v>547</v>
      </c>
      <c r="AG129" s="29" t="s">
        <v>547</v>
      </c>
      <c r="AH129" s="29" t="s">
        <v>548</v>
      </c>
      <c r="AI129" s="29" t="s">
        <v>546</v>
      </c>
      <c r="AK129" s="67">
        <v>0</v>
      </c>
      <c r="AL129" s="29" t="s">
        <v>547</v>
      </c>
      <c r="AO129" s="29" t="s">
        <v>547</v>
      </c>
      <c r="AP129" s="29" t="s">
        <v>547</v>
      </c>
      <c r="AQ129" s="4">
        <f>Q129+AK129</f>
        <v>0</v>
      </c>
      <c r="AR129" s="4">
        <f>L129+AC129</f>
        <v>0</v>
      </c>
      <c r="AS129" t="str">
        <f>AQ129&amp;AR129</f>
        <v>00</v>
      </c>
      <c r="AT129" s="49">
        <f>AQ129-AR129</f>
        <v>0</v>
      </c>
      <c r="AU129">
        <v>1</v>
      </c>
      <c r="AV129" s="29" t="s">
        <v>548</v>
      </c>
      <c r="AW129" s="29">
        <v>1</v>
      </c>
      <c r="AX129" s="29" t="s">
        <v>548</v>
      </c>
      <c r="AY129" s="29">
        <v>1</v>
      </c>
      <c r="AZ129" s="29">
        <v>1</v>
      </c>
      <c r="BA129" s="29" t="s">
        <v>546</v>
      </c>
      <c r="BB129" s="29" t="s">
        <v>547</v>
      </c>
      <c r="BD129" s="29">
        <f>AW129+AZ129</f>
        <v>2</v>
      </c>
      <c r="BE129" s="29">
        <f>BD129+BC129</f>
        <v>2</v>
      </c>
      <c r="BF129" s="29" t="s">
        <v>548</v>
      </c>
      <c r="BG129" s="29" t="s">
        <v>548</v>
      </c>
      <c r="BH129" s="29" t="s">
        <v>548</v>
      </c>
      <c r="BI129" s="29" t="s">
        <v>548</v>
      </c>
      <c r="BJ129" s="29" t="s">
        <v>546</v>
      </c>
      <c r="BK129" s="29" t="s">
        <v>546</v>
      </c>
      <c r="BL129" s="29">
        <v>7</v>
      </c>
      <c r="BM129" s="29" t="s">
        <v>580</v>
      </c>
      <c r="BN129" s="29">
        <v>6</v>
      </c>
      <c r="BO129" s="29" t="s">
        <v>580</v>
      </c>
      <c r="BP129" s="29">
        <v>20</v>
      </c>
      <c r="BQ129" s="29" t="s">
        <v>580</v>
      </c>
      <c r="BR129" s="29">
        <v>12</v>
      </c>
      <c r="BS129" s="29" t="s">
        <v>580</v>
      </c>
      <c r="BU129" s="29" t="s">
        <v>547</v>
      </c>
      <c r="BW129" s="29">
        <f>(BL129*1)+(BN129*0.1)+(BP129*0.01)+(BR129*0.1)+(BT129*0.3)+(BV129*0.4)</f>
        <v>9</v>
      </c>
      <c r="BX129" s="29" t="s">
        <v>2220</v>
      </c>
      <c r="BY129" s="29">
        <v>0</v>
      </c>
      <c r="BZ129" s="29">
        <v>2</v>
      </c>
      <c r="CA129" s="29">
        <v>3</v>
      </c>
      <c r="CB129" s="29">
        <v>5</v>
      </c>
      <c r="CC129" s="29">
        <v>0</v>
      </c>
      <c r="CD129" s="29">
        <v>0</v>
      </c>
      <c r="CE129" s="29">
        <v>1</v>
      </c>
      <c r="CG129" s="29">
        <f>(CC129*15)+(CD129*0.8)+(CE129*0.3)+((AW129+AZ129)*15)</f>
        <v>30.3</v>
      </c>
      <c r="CH129" s="29" t="s">
        <v>2220</v>
      </c>
      <c r="CI129" s="29">
        <f>(BL129*1)+(BN129*0.1)+(BP129*0.01)+(BR129*0.1)+(BT129*0.3)+(BV129*0.4)+(CC129*15)+(CD129*0.8)+(CE129*0.3)+((AW129+AZ129)*15)</f>
        <v>39.299999999999997</v>
      </c>
      <c r="CJ129" s="29" t="s">
        <v>546</v>
      </c>
      <c r="CK129" s="29" t="s">
        <v>547</v>
      </c>
      <c r="CL129" s="29" t="s">
        <v>546</v>
      </c>
      <c r="CM129" s="29" t="s">
        <v>547</v>
      </c>
      <c r="CN129" s="29">
        <v>0.25</v>
      </c>
      <c r="CO129" s="29">
        <v>1.5</v>
      </c>
      <c r="CP129" s="29">
        <v>0</v>
      </c>
      <c r="CQ129" s="29" t="s">
        <v>548</v>
      </c>
      <c r="CR129" s="29">
        <v>1</v>
      </c>
      <c r="CS129" s="29">
        <v>8</v>
      </c>
      <c r="CT129" s="29" t="s">
        <v>551</v>
      </c>
      <c r="CU129" s="30">
        <v>1.92</v>
      </c>
      <c r="CW129" s="29">
        <v>999</v>
      </c>
      <c r="CX129" s="29" t="s">
        <v>551</v>
      </c>
      <c r="CY129" s="62"/>
      <c r="CZ129" s="29">
        <v>1</v>
      </c>
      <c r="DA129" s="29">
        <v>1.25</v>
      </c>
      <c r="DB129" s="29" t="s">
        <v>551</v>
      </c>
      <c r="DC129" s="62">
        <v>0.3</v>
      </c>
      <c r="DD129" s="29" t="s">
        <v>548</v>
      </c>
      <c r="DE129" s="29" t="s">
        <v>546</v>
      </c>
      <c r="DF129" s="29" t="s">
        <v>548</v>
      </c>
      <c r="DG129" s="29" t="s">
        <v>546</v>
      </c>
      <c r="DH129" s="29" t="s">
        <v>548</v>
      </c>
      <c r="DI129" s="29">
        <v>3</v>
      </c>
      <c r="DJ129" s="29">
        <v>3</v>
      </c>
      <c r="DK129" s="29" t="s">
        <v>811</v>
      </c>
      <c r="DL129" s="29" t="s">
        <v>812</v>
      </c>
      <c r="DM129" s="29">
        <v>-4.3854942321777344</v>
      </c>
      <c r="DN129" s="29">
        <v>35.689628601074219</v>
      </c>
      <c r="DO129" s="29">
        <v>1353.4000244140625</v>
      </c>
      <c r="DP129" s="29">
        <v>15</v>
      </c>
      <c r="DQ129" s="29">
        <v>1705231439</v>
      </c>
      <c r="DR129" s="29" t="s">
        <v>813</v>
      </c>
      <c r="DS129" s="31">
        <v>42923.387106481481</v>
      </c>
      <c r="DT129" s="31">
        <v>42903.537453703699</v>
      </c>
      <c r="DU129" s="31">
        <v>42923.384502314817</v>
      </c>
      <c r="DV129" s="32">
        <v>42737</v>
      </c>
      <c r="DX129" s="44">
        <v>6.8505555555555544</v>
      </c>
      <c r="DY129" s="44">
        <v>6.5883333333333338</v>
      </c>
      <c r="DZ129" s="44">
        <v>6.2360493827160495</v>
      </c>
      <c r="EA129" s="44">
        <v>5.9880246913580235</v>
      </c>
      <c r="EC129" s="29">
        <f>IF(EQ129&lt;EP129,"FALSEE",1)</f>
        <v>1</v>
      </c>
      <c r="EE129" s="29" t="s">
        <v>2171</v>
      </c>
      <c r="EF129" s="29">
        <v>3.6667199134800001</v>
      </c>
      <c r="EG129" s="29" t="str">
        <f>IF(EF129&lt;0.5,"Depression",IF(EF129&lt;2,"Very gentle",IF(EF129&lt;5,"Gentle",IF(EF129&lt;9,"Moderate",IF(EF129&lt;15,"Strong",IF(EF129&lt;30,"Steep",IF(EF129&lt;1,"Very steep")))))))</f>
        <v>Gentle</v>
      </c>
      <c r="EH129" s="29" t="s">
        <v>2177</v>
      </c>
      <c r="EI129" s="29">
        <v>0.815785527229</v>
      </c>
      <c r="EJ129" s="43">
        <v>7.6353573799100003</v>
      </c>
      <c r="EK129" s="43"/>
      <c r="EL129" s="43">
        <f>VLOOKUP(D129,[1]SoilData!$G$245:$K$451,5,FALSE)</f>
        <v>424.10948138874181</v>
      </c>
      <c r="EM129" s="43"/>
      <c r="EN129" s="43">
        <f>VLOOKUP(D129,[1]SoilData!$G$245:$M$454,7,FALSE)</f>
        <v>1.371</v>
      </c>
      <c r="EO129" s="60"/>
      <c r="EP129" s="44">
        <f>AVERAGE(DZ129:EA129)</f>
        <v>6.1120370370370365</v>
      </c>
      <c r="EQ129" s="44">
        <f>AVERAGE(DX129:DY129)</f>
        <v>6.7194444444444441</v>
      </c>
      <c r="ER129" s="43">
        <f>EQ129-EP129</f>
        <v>0.60740740740740762</v>
      </c>
      <c r="ES129" s="64">
        <f>IF(CU129&gt;0.000001,CU129*352,0)</f>
        <v>675.83999999999992</v>
      </c>
      <c r="ET129" s="64">
        <f>IF(DC129&gt;0.0001,DC129*682,0)</f>
        <v>204.6</v>
      </c>
      <c r="EU129" s="64">
        <f>CY129*795</f>
        <v>0</v>
      </c>
      <c r="EV129" s="64">
        <f>ES129+ET129+EU129</f>
        <v>880.43999999999994</v>
      </c>
      <c r="EW129" s="64">
        <f>IF(AA129="YES",3.5*18.2,0)</f>
        <v>63.699999999999996</v>
      </c>
      <c r="EX129" s="64">
        <f>EV129-EW129</f>
        <v>816.7399999999999</v>
      </c>
    </row>
    <row r="130" spans="1:154" ht="15" x14ac:dyDescent="0.2">
      <c r="A130" s="29" t="s">
        <v>556</v>
      </c>
      <c r="B130" s="29">
        <v>148</v>
      </c>
      <c r="C130" s="29" t="s">
        <v>317</v>
      </c>
      <c r="D130" s="29" t="s">
        <v>317</v>
      </c>
      <c r="E130" s="29" t="str">
        <f>VLOOKUP(D130,Harvest_2017_Formulae!$C$2:$D$968,2,FALSE)</f>
        <v>AYAMANGO</v>
      </c>
      <c r="F130" s="29" t="s">
        <v>196</v>
      </c>
      <c r="G130" s="29">
        <v>0</v>
      </c>
      <c r="H130" s="61" t="str">
        <f>IF(G130&lt;0.05,"Homefield",IF(G130&lt;0.5,"Midfield","outfield"))</f>
        <v>Homefield</v>
      </c>
      <c r="I130" s="29" t="s">
        <v>557</v>
      </c>
      <c r="J130" s="61" t="s">
        <v>2233</v>
      </c>
      <c r="K130" s="61" t="s">
        <v>2233</v>
      </c>
      <c r="L130" s="67">
        <v>0</v>
      </c>
      <c r="O130" s="29" t="s">
        <v>547</v>
      </c>
      <c r="Q130" s="67">
        <v>0</v>
      </c>
      <c r="R130" s="29" t="s">
        <v>547</v>
      </c>
      <c r="U130" s="29" t="s">
        <v>547</v>
      </c>
      <c r="W130" s="29" t="s">
        <v>547</v>
      </c>
      <c r="Z130" s="29" t="s">
        <v>547</v>
      </c>
      <c r="AA130" s="61" t="s">
        <v>548</v>
      </c>
      <c r="AB130" s="29" t="s">
        <v>568</v>
      </c>
      <c r="AC130" s="67">
        <v>0</v>
      </c>
      <c r="AD130" s="29" t="s">
        <v>547</v>
      </c>
      <c r="AF130" s="29" t="s">
        <v>547</v>
      </c>
      <c r="AG130" s="29" t="s">
        <v>547</v>
      </c>
      <c r="AH130" s="29" t="s">
        <v>548</v>
      </c>
      <c r="AI130" s="29" t="s">
        <v>546</v>
      </c>
      <c r="AJ130" s="29" t="s">
        <v>547</v>
      </c>
      <c r="AK130" s="67">
        <v>0</v>
      </c>
      <c r="AL130" s="29" t="s">
        <v>547</v>
      </c>
      <c r="AO130" s="29" t="s">
        <v>547</v>
      </c>
      <c r="AP130" s="29" t="s">
        <v>547</v>
      </c>
      <c r="AQ130" s="4">
        <f>Q130+AK130</f>
        <v>0</v>
      </c>
      <c r="AR130" s="4">
        <f>L130+AC130</f>
        <v>0</v>
      </c>
      <c r="AS130" t="str">
        <f>AQ130&amp;AR130</f>
        <v>00</v>
      </c>
      <c r="AT130" s="49">
        <f>AQ130-AR130</f>
        <v>0</v>
      </c>
      <c r="AU130">
        <v>1</v>
      </c>
      <c r="AV130" s="29" t="s">
        <v>548</v>
      </c>
      <c r="AW130" s="29">
        <v>1</v>
      </c>
      <c r="AX130" s="29" t="s">
        <v>548</v>
      </c>
      <c r="AY130" s="29">
        <v>2</v>
      </c>
      <c r="AZ130" s="29">
        <v>11</v>
      </c>
      <c r="BA130" s="29" t="s">
        <v>546</v>
      </c>
      <c r="BB130" s="29" t="s">
        <v>547</v>
      </c>
      <c r="BD130" s="29">
        <f>AW130+AZ130</f>
        <v>12</v>
      </c>
      <c r="BE130" s="29">
        <f>BD130+BC130</f>
        <v>12</v>
      </c>
      <c r="BF130" s="29" t="s">
        <v>548</v>
      </c>
      <c r="BG130" s="29" t="s">
        <v>548</v>
      </c>
      <c r="BH130" s="29" t="s">
        <v>548</v>
      </c>
      <c r="BI130" s="29" t="s">
        <v>546</v>
      </c>
      <c r="BJ130" s="29" t="s">
        <v>548</v>
      </c>
      <c r="BK130" s="29" t="s">
        <v>546</v>
      </c>
      <c r="BL130" s="29">
        <v>5</v>
      </c>
      <c r="BM130" s="29" t="s">
        <v>580</v>
      </c>
      <c r="BN130" s="29">
        <v>30</v>
      </c>
      <c r="BO130" s="29" t="s">
        <v>580</v>
      </c>
      <c r="BP130" s="29">
        <v>4</v>
      </c>
      <c r="BQ130" s="29" t="s">
        <v>580</v>
      </c>
      <c r="BS130" s="29" t="s">
        <v>547</v>
      </c>
      <c r="BT130" s="29">
        <v>4</v>
      </c>
      <c r="BU130" s="29" t="s">
        <v>580</v>
      </c>
      <c r="BW130" s="29">
        <f>(BL130*1)+(BN130*0.1)+(BP130*0.01)+(BR130*0.1)+(BT130*0.3)+(BV130*0.4)</f>
        <v>9.2399999999999984</v>
      </c>
      <c r="BX130" s="29" t="s">
        <v>2220</v>
      </c>
      <c r="BY130" s="29">
        <v>2</v>
      </c>
      <c r="BZ130" s="29">
        <v>3</v>
      </c>
      <c r="CA130" s="29">
        <v>2</v>
      </c>
      <c r="CB130" s="29">
        <v>7</v>
      </c>
      <c r="CC130" s="29">
        <v>0</v>
      </c>
      <c r="CD130" s="29">
        <v>0</v>
      </c>
      <c r="CE130" s="29">
        <v>0</v>
      </c>
      <c r="CF130" s="29" t="s">
        <v>547</v>
      </c>
      <c r="CG130" s="29">
        <f>(CC130*15)+(CD130*0.8)+(CE130*0.3)+((AW130+AZ130)*15)</f>
        <v>180</v>
      </c>
      <c r="CH130" s="29" t="s">
        <v>2221</v>
      </c>
      <c r="CI130" s="29">
        <f>(BL130*1)+(BN130*0.1)+(BP130*0.01)+(BR130*0.1)+(BT130*0.3)+(BV130*0.4)+(CC130*15)+(CD130*0.8)+(CE130*0.3)+((AW130+AZ130)*15)</f>
        <v>189.24</v>
      </c>
      <c r="CJ130" s="29" t="s">
        <v>546</v>
      </c>
      <c r="CK130" s="29" t="s">
        <v>547</v>
      </c>
      <c r="CL130" s="29" t="s">
        <v>548</v>
      </c>
      <c r="CM130" s="29" t="s">
        <v>550</v>
      </c>
      <c r="CN130" s="29">
        <v>0.25</v>
      </c>
      <c r="CO130" s="29">
        <v>0.5</v>
      </c>
      <c r="CQ130" s="29" t="s">
        <v>548</v>
      </c>
      <c r="CR130" s="29">
        <v>0.75</v>
      </c>
      <c r="CS130" s="29">
        <v>8</v>
      </c>
      <c r="CT130" s="29" t="s">
        <v>551</v>
      </c>
      <c r="CU130" s="30">
        <v>2.56</v>
      </c>
      <c r="CW130" s="29">
        <v>999</v>
      </c>
      <c r="CX130" s="29" t="s">
        <v>551</v>
      </c>
      <c r="CY130" s="62"/>
      <c r="CZ130" s="29">
        <v>0.75</v>
      </c>
      <c r="DA130" s="29">
        <v>1</v>
      </c>
      <c r="DB130" s="29" t="s">
        <v>551</v>
      </c>
      <c r="DC130" s="62">
        <v>0.32</v>
      </c>
      <c r="DD130" s="29" t="s">
        <v>548</v>
      </c>
      <c r="DE130" s="29" t="s">
        <v>548</v>
      </c>
      <c r="DF130" s="29" t="s">
        <v>548</v>
      </c>
      <c r="DG130" s="29" t="s">
        <v>548</v>
      </c>
      <c r="DH130" s="29" t="s">
        <v>548</v>
      </c>
      <c r="DI130" s="29">
        <v>5</v>
      </c>
      <c r="DJ130" s="29">
        <v>3</v>
      </c>
      <c r="DK130" s="29" t="s">
        <v>600</v>
      </c>
      <c r="DL130" s="29" t="s">
        <v>601</v>
      </c>
      <c r="DM130" s="29">
        <v>-4.2413992881774902</v>
      </c>
      <c r="DN130" s="29">
        <v>35.917690277099609</v>
      </c>
      <c r="DO130" s="29">
        <v>1233.800048828125</v>
      </c>
      <c r="DP130" s="29">
        <v>5</v>
      </c>
      <c r="DQ130" s="29">
        <v>1706031849</v>
      </c>
      <c r="DR130" s="29" t="s">
        <v>602</v>
      </c>
      <c r="DS130" s="31">
        <v>42913.638587962967</v>
      </c>
      <c r="DT130" s="31">
        <v>42908.604768518519</v>
      </c>
      <c r="DU130" s="31">
        <v>42908.615717592591</v>
      </c>
      <c r="DV130" s="32">
        <v>42770</v>
      </c>
      <c r="DX130" s="44">
        <v>3.1256521739130441</v>
      </c>
      <c r="DY130" s="44">
        <v>2.9673913043478262</v>
      </c>
      <c r="DZ130" s="44">
        <v>3.2388888888888889</v>
      </c>
      <c r="EA130" s="44">
        <v>3.0364583333333335</v>
      </c>
      <c r="EB130" s="29">
        <v>9</v>
      </c>
      <c r="EC130" s="29" t="str">
        <f>IF(EQ130&lt;EP130,"FALSEE",1)</f>
        <v>FALSEE</v>
      </c>
      <c r="EE130" s="29" t="s">
        <v>2171</v>
      </c>
      <c r="EF130" s="29">
        <v>0.54612094163900005</v>
      </c>
      <c r="EG130" s="29" t="str">
        <f>IF(EF130&lt;0.5,"Depression",IF(EF130&lt;2,"Very gentle",IF(EF130&lt;5,"Gentle",IF(EF130&lt;9,"Moderate",IF(EF130&lt;15,"Strong",IF(EF130&lt;30,"Steep",IF(EF130&lt;1,"Very steep")))))))</f>
        <v>Very gentle</v>
      </c>
      <c r="EH130" s="29" t="s">
        <v>2173</v>
      </c>
      <c r="EI130" s="29">
        <v>0.18129228055499999</v>
      </c>
      <c r="EJ130" s="43">
        <v>11.5399780273</v>
      </c>
      <c r="EK130" s="43"/>
      <c r="EL130" s="43">
        <f>VLOOKUP(D130,[1]SoilData!$G$245:$K$451,5,FALSE)</f>
        <v>135.04586884329248</v>
      </c>
      <c r="EM130" s="43"/>
      <c r="EN130" s="43">
        <f>VLOOKUP(D130,[1]SoilData!$G$245:$M$454,7,FALSE)</f>
        <v>0.70899999999999996</v>
      </c>
      <c r="EO130" s="60"/>
      <c r="EP130" s="44">
        <f>AVERAGE(DZ130:EA130)</f>
        <v>3.1376736111111114</v>
      </c>
      <c r="EQ130" s="44">
        <f>AVERAGE(DX130:DY130)</f>
        <v>3.0465217391304353</v>
      </c>
      <c r="ER130" s="43">
        <f>EQ130-EP130</f>
        <v>-9.1151871980676091E-2</v>
      </c>
      <c r="ES130" s="64">
        <f>IF(CU130&gt;0.000001,CU130*352,0)</f>
        <v>901.12</v>
      </c>
      <c r="ET130" s="64">
        <f>IF(DC130&gt;0.0001,DC130*682,0)</f>
        <v>218.24</v>
      </c>
      <c r="EU130" s="64">
        <f>CY130*795</f>
        <v>0</v>
      </c>
      <c r="EV130" s="64">
        <f>ES130+ET130+EU130</f>
        <v>1119.3600000000001</v>
      </c>
      <c r="EW130" s="64">
        <f>IF(AA130="YES",3.5*18.2,0)</f>
        <v>63.699999999999996</v>
      </c>
      <c r="EX130" s="64">
        <f>EV130-EW130</f>
        <v>1055.6600000000001</v>
      </c>
    </row>
    <row r="131" spans="1:154" ht="15" x14ac:dyDescent="0.2">
      <c r="A131" s="29" t="s">
        <v>556</v>
      </c>
      <c r="B131" s="29">
        <v>124</v>
      </c>
      <c r="C131" s="29" t="s">
        <v>355</v>
      </c>
      <c r="D131" s="29" t="s">
        <v>355</v>
      </c>
      <c r="E131" s="29" t="str">
        <f>VLOOKUP(D131,Harvest_2017_Formulae!$C$2:$D$968,2,FALSE)</f>
        <v>HALLU</v>
      </c>
      <c r="F131" s="29" t="s">
        <v>938</v>
      </c>
      <c r="G131" s="29">
        <v>0</v>
      </c>
      <c r="H131" s="61" t="str">
        <f>IF(G131&lt;0.05,"Homefield",IF(G131&lt;0.5,"Midfield","outfield"))</f>
        <v>Homefield</v>
      </c>
      <c r="I131" s="29" t="s">
        <v>557</v>
      </c>
      <c r="J131" s="61" t="s">
        <v>2233</v>
      </c>
      <c r="K131" s="61" t="s">
        <v>2233</v>
      </c>
      <c r="L131" s="67">
        <v>0</v>
      </c>
      <c r="O131" s="29" t="s">
        <v>547</v>
      </c>
      <c r="Q131" s="67">
        <v>0</v>
      </c>
      <c r="R131" s="29" t="s">
        <v>547</v>
      </c>
      <c r="U131" s="29" t="s">
        <v>547</v>
      </c>
      <c r="W131" s="29" t="s">
        <v>547</v>
      </c>
      <c r="Z131" s="29" t="s">
        <v>547</v>
      </c>
      <c r="AA131" s="61" t="s">
        <v>548</v>
      </c>
      <c r="AB131" s="29" t="s">
        <v>568</v>
      </c>
      <c r="AC131" s="67">
        <v>0</v>
      </c>
      <c r="AD131" s="29" t="s">
        <v>547</v>
      </c>
      <c r="AF131" s="29" t="s">
        <v>547</v>
      </c>
      <c r="AG131" s="29" t="s">
        <v>547</v>
      </c>
      <c r="AH131" s="29" t="s">
        <v>546</v>
      </c>
      <c r="AI131" s="29" t="s">
        <v>546</v>
      </c>
      <c r="AJ131" s="29" t="s">
        <v>547</v>
      </c>
      <c r="AK131" s="67">
        <v>0</v>
      </c>
      <c r="AL131" s="29" t="s">
        <v>547</v>
      </c>
      <c r="AO131" s="29" t="s">
        <v>547</v>
      </c>
      <c r="AP131" s="29" t="s">
        <v>547</v>
      </c>
      <c r="AQ131" s="4">
        <f>Q131+AK131</f>
        <v>0</v>
      </c>
      <c r="AR131" s="4">
        <f>L131+AC131</f>
        <v>0</v>
      </c>
      <c r="AS131" t="str">
        <f>AQ131&amp;AR131</f>
        <v>00</v>
      </c>
      <c r="AT131" s="49">
        <f>AQ131-AR131</f>
        <v>0</v>
      </c>
      <c r="AU131">
        <v>1</v>
      </c>
      <c r="AV131" s="29" t="s">
        <v>548</v>
      </c>
      <c r="AW131" s="29">
        <v>1.5</v>
      </c>
      <c r="AX131" s="29" t="s">
        <v>548</v>
      </c>
      <c r="AY131" s="29">
        <v>5</v>
      </c>
      <c r="AZ131" s="29">
        <v>37</v>
      </c>
      <c r="BA131" s="29" t="s">
        <v>546</v>
      </c>
      <c r="BB131" s="29" t="s">
        <v>547</v>
      </c>
      <c r="BD131" s="29">
        <f>AW131+AZ131</f>
        <v>38.5</v>
      </c>
      <c r="BE131" s="29">
        <f>BD131+BC131</f>
        <v>38.5</v>
      </c>
      <c r="BF131" s="29" t="s">
        <v>548</v>
      </c>
      <c r="BG131" s="29" t="s">
        <v>548</v>
      </c>
      <c r="BH131" s="29" t="s">
        <v>548</v>
      </c>
      <c r="BI131" s="29" t="s">
        <v>548</v>
      </c>
      <c r="BJ131" s="29" t="s">
        <v>546</v>
      </c>
      <c r="BK131" s="29" t="s">
        <v>546</v>
      </c>
      <c r="BL131" s="29">
        <v>9</v>
      </c>
      <c r="BM131" s="29" t="s">
        <v>549</v>
      </c>
      <c r="BN131" s="29">
        <v>4</v>
      </c>
      <c r="BO131" s="29" t="s">
        <v>549</v>
      </c>
      <c r="BP131" s="29">
        <v>4</v>
      </c>
      <c r="BQ131" s="29" t="s">
        <v>549</v>
      </c>
      <c r="BR131" s="29">
        <v>4</v>
      </c>
      <c r="BS131" s="29" t="s">
        <v>549</v>
      </c>
      <c r="BU131" s="29" t="s">
        <v>547</v>
      </c>
      <c r="BW131" s="29">
        <f>(BL131*1)+(BN131*0.1)+(BP131*0.01)+(BR131*0.1)+(BT131*0.3)+(BV131*0.4)</f>
        <v>9.84</v>
      </c>
      <c r="BX131" s="29" t="s">
        <v>2220</v>
      </c>
      <c r="BY131" s="29">
        <v>4</v>
      </c>
      <c r="BZ131" s="29">
        <v>4</v>
      </c>
      <c r="CA131" s="29">
        <v>0</v>
      </c>
      <c r="CB131" s="29">
        <v>8</v>
      </c>
      <c r="CC131" s="29">
        <v>0</v>
      </c>
      <c r="CD131" s="29">
        <v>0</v>
      </c>
      <c r="CE131" s="29">
        <v>0</v>
      </c>
      <c r="CF131" s="29" t="s">
        <v>547</v>
      </c>
      <c r="CG131" s="29">
        <f>(CC131*15)+(CD131*0.8)+(CE131*0.3)+((AW131+AZ131)*15)</f>
        <v>577.5</v>
      </c>
      <c r="CH131" s="29" t="s">
        <v>2221</v>
      </c>
      <c r="CI131" s="29">
        <f>(BL131*1)+(BN131*0.1)+(BP131*0.01)+(BR131*0.1)+(BT131*0.3)+(BV131*0.4)+(CC131*15)+(CD131*0.8)+(CE131*0.3)+((AW131+AZ131)*15)</f>
        <v>587.34</v>
      </c>
      <c r="CJ131" s="29" t="s">
        <v>548</v>
      </c>
      <c r="CK131" s="29" t="s">
        <v>563</v>
      </c>
      <c r="CL131" s="29" t="s">
        <v>548</v>
      </c>
      <c r="CM131" s="29" t="s">
        <v>550</v>
      </c>
      <c r="CN131" s="29">
        <v>0.25</v>
      </c>
      <c r="CO131" s="29">
        <v>0.125</v>
      </c>
      <c r="CQ131" s="29" t="s">
        <v>548</v>
      </c>
      <c r="CR131" s="29">
        <v>0.5</v>
      </c>
      <c r="CS131" s="29">
        <v>5</v>
      </c>
      <c r="CT131" s="29" t="s">
        <v>551</v>
      </c>
      <c r="CU131" s="30">
        <v>2.4</v>
      </c>
      <c r="CW131" s="29">
        <v>999</v>
      </c>
      <c r="CX131" s="29" t="s">
        <v>551</v>
      </c>
      <c r="CY131" s="62"/>
      <c r="CZ131" s="29">
        <v>0.5</v>
      </c>
      <c r="DA131" s="29">
        <v>2</v>
      </c>
      <c r="DB131" s="29" t="s">
        <v>551</v>
      </c>
      <c r="DC131" s="62">
        <v>0.96</v>
      </c>
      <c r="DD131" s="29" t="s">
        <v>548</v>
      </c>
      <c r="DE131" s="29" t="s">
        <v>546</v>
      </c>
      <c r="DF131" s="29" t="s">
        <v>546</v>
      </c>
      <c r="DG131" s="29" t="s">
        <v>546</v>
      </c>
      <c r="DH131" s="29" t="s">
        <v>546</v>
      </c>
      <c r="DI131" s="29">
        <v>1</v>
      </c>
      <c r="DJ131" s="29">
        <v>4</v>
      </c>
      <c r="DK131" s="29" t="s">
        <v>947</v>
      </c>
      <c r="DL131" s="29" t="s">
        <v>948</v>
      </c>
      <c r="DM131" s="29">
        <v>-4.2821521759033203</v>
      </c>
      <c r="DN131" s="29">
        <v>35.894252777099609</v>
      </c>
      <c r="DO131" s="29">
        <v>1223.5999755859375</v>
      </c>
      <c r="DP131" s="29">
        <v>5</v>
      </c>
      <c r="DQ131" s="29">
        <v>1706031849</v>
      </c>
      <c r="DR131" s="29" t="s">
        <v>949</v>
      </c>
      <c r="DS131" s="31">
        <v>42907.442824074074</v>
      </c>
      <c r="DT131" s="31">
        <v>42906.483263888891</v>
      </c>
      <c r="DU131" s="31">
        <v>42906.49622685185</v>
      </c>
      <c r="DV131" s="32">
        <v>42773</v>
      </c>
      <c r="DX131" s="44">
        <v>6.5038497652582166</v>
      </c>
      <c r="DY131" s="44">
        <v>4.6590610328638498</v>
      </c>
      <c r="DZ131" s="44">
        <v>3.9021111111111106</v>
      </c>
      <c r="EA131" s="44">
        <v>3.2918055555555554</v>
      </c>
      <c r="EC131" s="29">
        <f>IF(EQ131&lt;EP131,"FALSEE",1)</f>
        <v>1</v>
      </c>
      <c r="EE131" s="29" t="s">
        <v>2171</v>
      </c>
      <c r="EF131" s="29">
        <v>1.0303390026100001</v>
      </c>
      <c r="EG131" s="29" t="str">
        <f>IF(EF131&lt;0.5,"Depression",IF(EF131&lt;2,"Very gentle",IF(EF131&lt;5,"Gentle",IF(EF131&lt;9,"Moderate",IF(EF131&lt;15,"Strong",IF(EF131&lt;30,"Steep",IF(EF131&lt;1,"Very steep")))))))</f>
        <v>Very gentle</v>
      </c>
      <c r="EH131" s="29" t="s">
        <v>2173</v>
      </c>
      <c r="EI131" s="29">
        <v>0.36257606744799997</v>
      </c>
      <c r="EJ131" s="43">
        <v>8.6220817565899992</v>
      </c>
      <c r="EK131" s="43">
        <f>VLOOKUP(D131,[1]SoilData!$G$15:$K$237,5,FALSE)</f>
        <v>193.17728431847667</v>
      </c>
      <c r="EL131" s="43">
        <f>VLOOKUP(D131,[1]SoilData!$G$245:$K$451,5,FALSE)</f>
        <v>611.46681508537961</v>
      </c>
      <c r="EM131" s="43">
        <f>VLOOKUP(D131,[1]SoilData!$G$15:$M$238,7,FALSE)</f>
        <v>0.70799999999999996</v>
      </c>
      <c r="EN131" s="43">
        <f>VLOOKUP(D131,[1]SoilData!$G$245:$M$454,7,FALSE)</f>
        <v>1.506</v>
      </c>
      <c r="EO131" s="60">
        <f>EM131-EN131</f>
        <v>-0.79800000000000004</v>
      </c>
      <c r="EP131" s="44">
        <f>AVERAGE(DZ131:EA131)</f>
        <v>3.5969583333333333</v>
      </c>
      <c r="EQ131" s="44">
        <f>AVERAGE(DX131:DY131)</f>
        <v>5.5814553990610332</v>
      </c>
      <c r="ER131" s="43">
        <f>EQ131-EP131</f>
        <v>1.9844970657276999</v>
      </c>
      <c r="ES131" s="64">
        <f>IF(CU131&gt;0.000001,CU131*352,0)</f>
        <v>844.8</v>
      </c>
      <c r="ET131" s="64">
        <f>IF(DC131&gt;0.0001,DC131*682,0)</f>
        <v>654.72</v>
      </c>
      <c r="EU131" s="64">
        <f>CY131*795</f>
        <v>0</v>
      </c>
      <c r="EV131" s="64">
        <f>ES131+ET131+EU131</f>
        <v>1499.52</v>
      </c>
      <c r="EW131" s="64">
        <f>IF(AA131="YES",3.5*18.2,0)</f>
        <v>63.699999999999996</v>
      </c>
      <c r="EX131" s="64">
        <f>EV131-EW131</f>
        <v>1435.82</v>
      </c>
    </row>
    <row r="132" spans="1:154" ht="15" x14ac:dyDescent="0.2">
      <c r="A132" s="29" t="s">
        <v>544</v>
      </c>
      <c r="B132" s="29">
        <v>225</v>
      </c>
      <c r="C132" s="29" t="s">
        <v>760</v>
      </c>
      <c r="D132" s="29" t="s">
        <v>343</v>
      </c>
      <c r="E132" s="29" t="str">
        <f>VLOOKUP(D132,Harvest_2017_Formulae!$C$2:$D$968,2,FALSE)</f>
        <v>ENDAGWE</v>
      </c>
      <c r="F132" s="29" t="s">
        <v>732</v>
      </c>
      <c r="G132" s="29">
        <v>0</v>
      </c>
      <c r="H132" s="61" t="str">
        <f>IF(G132&lt;0.05,"Homefield",IF(G132&lt;0.5,"Midfield","outfield"))</f>
        <v>Homefield</v>
      </c>
      <c r="I132" s="29" t="s">
        <v>557</v>
      </c>
      <c r="J132" s="61" t="s">
        <v>2233</v>
      </c>
      <c r="K132" s="61" t="s">
        <v>2233</v>
      </c>
      <c r="L132" s="67">
        <v>0</v>
      </c>
      <c r="O132" s="29" t="s">
        <v>547</v>
      </c>
      <c r="Q132" s="67">
        <v>0</v>
      </c>
      <c r="R132" s="29" t="s">
        <v>547</v>
      </c>
      <c r="U132" s="29" t="s">
        <v>547</v>
      </c>
      <c r="W132" s="29" t="s">
        <v>547</v>
      </c>
      <c r="Z132" s="29" t="s">
        <v>547</v>
      </c>
      <c r="AA132" s="61" t="s">
        <v>546</v>
      </c>
      <c r="AB132" s="29" t="s">
        <v>547</v>
      </c>
      <c r="AC132" s="67">
        <v>0</v>
      </c>
      <c r="AD132" s="29" t="s">
        <v>547</v>
      </c>
      <c r="AF132" s="29" t="s">
        <v>547</v>
      </c>
      <c r="AG132" s="29" t="s">
        <v>547</v>
      </c>
      <c r="AH132" s="29" t="s">
        <v>548</v>
      </c>
      <c r="AI132" s="29" t="s">
        <v>546</v>
      </c>
      <c r="AJ132" s="29" t="s">
        <v>547</v>
      </c>
      <c r="AK132" s="67">
        <v>0</v>
      </c>
      <c r="AL132" s="29" t="s">
        <v>547</v>
      </c>
      <c r="AO132" s="29" t="s">
        <v>547</v>
      </c>
      <c r="AP132" s="29" t="s">
        <v>547</v>
      </c>
      <c r="AQ132" s="4">
        <f>Q132+AK132</f>
        <v>0</v>
      </c>
      <c r="AR132" s="4">
        <f>L132+AC132</f>
        <v>0</v>
      </c>
      <c r="AS132" t="str">
        <f>AQ132&amp;AR132</f>
        <v>00</v>
      </c>
      <c r="AT132" s="49">
        <f>AQ132-AR132</f>
        <v>0</v>
      </c>
      <c r="AU132">
        <v>1</v>
      </c>
      <c r="AV132" s="29" t="s">
        <v>548</v>
      </c>
      <c r="AW132" s="29">
        <v>9</v>
      </c>
      <c r="AX132" s="29" t="s">
        <v>548</v>
      </c>
      <c r="AY132" s="29">
        <v>2</v>
      </c>
      <c r="AZ132" s="29">
        <v>2</v>
      </c>
      <c r="BA132" s="29" t="s">
        <v>548</v>
      </c>
      <c r="BB132" s="29" t="s">
        <v>569</v>
      </c>
      <c r="BC132" s="29">
        <v>5</v>
      </c>
      <c r="BD132" s="29">
        <f>AW132+AZ132</f>
        <v>11</v>
      </c>
      <c r="BE132" s="29">
        <f>BD132+BC132</f>
        <v>16</v>
      </c>
      <c r="BF132" s="29" t="s">
        <v>548</v>
      </c>
      <c r="BG132" s="29" t="s">
        <v>548</v>
      </c>
      <c r="BH132" s="29" t="s">
        <v>548</v>
      </c>
      <c r="BI132" s="29" t="s">
        <v>546</v>
      </c>
      <c r="BJ132" s="29" t="s">
        <v>546</v>
      </c>
      <c r="BK132" s="29" t="s">
        <v>546</v>
      </c>
      <c r="BL132" s="29">
        <v>9</v>
      </c>
      <c r="BM132" s="29" t="s">
        <v>549</v>
      </c>
      <c r="BN132" s="29">
        <v>6</v>
      </c>
      <c r="BO132" s="29" t="s">
        <v>549</v>
      </c>
      <c r="BP132" s="29">
        <v>50</v>
      </c>
      <c r="BQ132" s="29" t="s">
        <v>549</v>
      </c>
      <c r="BS132" s="29" t="s">
        <v>547</v>
      </c>
      <c r="BU132" s="29" t="s">
        <v>547</v>
      </c>
      <c r="BW132" s="29">
        <f>(BL132*1)+(BN132*0.1)+(BP132*0.01)+(BR132*0.1)+(BT132*0.3)+(BV132*0.4)</f>
        <v>10.1</v>
      </c>
      <c r="BX132" s="29" t="s">
        <v>2220</v>
      </c>
      <c r="BY132" s="29">
        <v>3</v>
      </c>
      <c r="BZ132" s="29">
        <v>2</v>
      </c>
      <c r="CA132" s="29">
        <v>3</v>
      </c>
      <c r="CB132" s="29">
        <v>8</v>
      </c>
      <c r="CC132" s="29">
        <v>0</v>
      </c>
      <c r="CD132" s="29">
        <v>0</v>
      </c>
      <c r="CE132" s="29">
        <v>1</v>
      </c>
      <c r="CF132" s="29" t="s">
        <v>547</v>
      </c>
      <c r="CG132" s="29">
        <f>(CC132*15)+(CD132*0.8)+(CE132*0.3)+((AW132+AZ132)*15)</f>
        <v>165.3</v>
      </c>
      <c r="CH132" s="29" t="s">
        <v>2221</v>
      </c>
      <c r="CI132" s="29">
        <f>(BL132*1)+(BN132*0.1)+(BP132*0.01)+(BR132*0.1)+(BT132*0.3)+(BV132*0.4)+(CC132*15)+(CD132*0.8)+(CE132*0.3)+((AW132+AZ132)*15)</f>
        <v>175.4</v>
      </c>
      <c r="CJ132" s="29" t="s">
        <v>546</v>
      </c>
      <c r="CK132" s="29" t="s">
        <v>547</v>
      </c>
      <c r="CL132" s="29" t="s">
        <v>548</v>
      </c>
      <c r="CM132" s="29" t="s">
        <v>550</v>
      </c>
      <c r="CN132" s="29">
        <v>1</v>
      </c>
      <c r="CO132" s="29">
        <v>8</v>
      </c>
      <c r="CQ132" s="29" t="s">
        <v>548</v>
      </c>
      <c r="CR132" s="29">
        <v>9</v>
      </c>
      <c r="CS132" s="29">
        <v>60</v>
      </c>
      <c r="CT132" s="29" t="s">
        <v>551</v>
      </c>
      <c r="CU132" s="30">
        <v>1.6</v>
      </c>
      <c r="CW132" s="29">
        <v>999</v>
      </c>
      <c r="CX132" s="29" t="s">
        <v>551</v>
      </c>
      <c r="CY132" s="62"/>
      <c r="CZ132" s="29">
        <v>9</v>
      </c>
      <c r="DA132" s="29">
        <v>15</v>
      </c>
      <c r="DB132" s="29" t="s">
        <v>551</v>
      </c>
      <c r="DC132" s="62">
        <v>0.39999999999999997</v>
      </c>
      <c r="DD132" s="29" t="s">
        <v>548</v>
      </c>
      <c r="DE132" s="29" t="s">
        <v>548</v>
      </c>
      <c r="DF132" s="29" t="s">
        <v>548</v>
      </c>
      <c r="DG132" s="29" t="s">
        <v>548</v>
      </c>
      <c r="DH132" s="29" t="s">
        <v>548</v>
      </c>
      <c r="DI132" s="29">
        <v>5</v>
      </c>
      <c r="DJ132" s="29">
        <v>2</v>
      </c>
      <c r="DK132" s="29" t="s">
        <v>761</v>
      </c>
      <c r="DL132" s="29" t="s">
        <v>762</v>
      </c>
      <c r="DM132" s="29">
        <v>-4.3530073165893555</v>
      </c>
      <c r="DN132" s="29">
        <v>35.664936065673828</v>
      </c>
      <c r="DO132" s="29">
        <v>1588.9000244140625</v>
      </c>
      <c r="DP132" s="29">
        <v>5</v>
      </c>
      <c r="DQ132" s="29">
        <v>1706031849</v>
      </c>
      <c r="DR132" s="29" t="s">
        <v>763</v>
      </c>
      <c r="DS132" s="31">
        <v>42950.967789351853</v>
      </c>
      <c r="DT132" s="31">
        <v>42950.672094907408</v>
      </c>
      <c r="DU132" s="31">
        <v>42950.834039351852</v>
      </c>
      <c r="DV132" s="32">
        <v>42794</v>
      </c>
      <c r="DX132" s="44">
        <v>0.91619047619047633</v>
      </c>
      <c r="DY132" s="44">
        <v>4.2285714285714288E-2</v>
      </c>
      <c r="DZ132" s="44">
        <v>2.4196825396825394</v>
      </c>
      <c r="EA132" s="44"/>
      <c r="EC132" s="29" t="str">
        <f>IF(EQ132&lt;EP132,"FALSEE",1)</f>
        <v>FALSEE</v>
      </c>
      <c r="EE132" s="29" t="s">
        <v>2174</v>
      </c>
      <c r="EF132" s="29">
        <v>7.41308259964</v>
      </c>
      <c r="EG132" s="29" t="str">
        <f>IF(EF132&lt;0.5,"Depression",IF(EF132&lt;2,"Very gentle",IF(EF132&lt;5,"Gentle",IF(EF132&lt;9,"Moderate",IF(EF132&lt;15,"Strong",IF(EF132&lt;30,"Steep",IF(EF132&lt;1,"Very steep")))))))</f>
        <v>Moderate</v>
      </c>
      <c r="EH132" s="29" t="s">
        <v>2178</v>
      </c>
      <c r="EI132" s="29">
        <v>0.45321798324599999</v>
      </c>
      <c r="EJ132" s="43">
        <v>7.4754891395599996</v>
      </c>
      <c r="EK132" s="43">
        <f>VLOOKUP(D132,[1]SoilData!$G$15:$K$237,5,FALSE)</f>
        <v>214.7151153272018</v>
      </c>
      <c r="EL132" s="43">
        <f>VLOOKUP(D132,[1]SoilData!$G$245:$K$451,5,FALSE)</f>
        <v>122.78588144652581</v>
      </c>
      <c r="EM132" s="43">
        <f>VLOOKUP(D132,[1]SoilData!$G$15:$M$238,7,FALSE)</f>
        <v>1.29</v>
      </c>
      <c r="EN132" s="43">
        <f>VLOOKUP(D132,[1]SoilData!$G$245:$M$454,7,FALSE)</f>
        <v>1.0920000000000001</v>
      </c>
      <c r="EO132" s="60">
        <f>EM132-EN132</f>
        <v>0.19799999999999995</v>
      </c>
      <c r="EP132" s="44">
        <f>AVERAGE(DZ132:EA132)</f>
        <v>2.4196825396825394</v>
      </c>
      <c r="EQ132" s="44">
        <f>AVERAGE(DX132:DY132)</f>
        <v>0.4792380952380953</v>
      </c>
      <c r="ER132" s="43">
        <f>EQ132-EP132</f>
        <v>-1.9404444444444442</v>
      </c>
      <c r="ES132" s="64">
        <f>IF(CU132&gt;0.000001,CU132*352,0)</f>
        <v>563.20000000000005</v>
      </c>
      <c r="ET132" s="64">
        <f>IF(DC132&gt;0.0001,DC132*682,0)</f>
        <v>272.79999999999995</v>
      </c>
      <c r="EU132" s="64">
        <f>CY132*795</f>
        <v>0</v>
      </c>
      <c r="EV132" s="64">
        <f>ES132+ET132+EU132</f>
        <v>836</v>
      </c>
      <c r="EW132" s="64">
        <f>IF(AA132="YES",3.5*18.2,0)</f>
        <v>0</v>
      </c>
      <c r="EX132" s="64">
        <f>EV132-EW132</f>
        <v>836</v>
      </c>
    </row>
    <row r="133" spans="1:154" ht="15" x14ac:dyDescent="0.2">
      <c r="A133" s="29" t="s">
        <v>556</v>
      </c>
      <c r="B133" s="29">
        <v>122</v>
      </c>
      <c r="C133" s="29" t="s">
        <v>394</v>
      </c>
      <c r="D133" s="29" t="s">
        <v>394</v>
      </c>
      <c r="E133" s="29" t="str">
        <f>VLOOKUP(D133,Harvest_2017_Formulae!$C$2:$D$968,2,FALSE)</f>
        <v>SELOTO</v>
      </c>
      <c r="F133" s="29" t="s">
        <v>1310</v>
      </c>
      <c r="G133" s="29">
        <v>3</v>
      </c>
      <c r="H133" s="61" t="str">
        <f>IF(G133&lt;0.05,"Homefield",IF(G133&lt;0.5,"Midfield","outfield"))</f>
        <v>outfield</v>
      </c>
      <c r="I133" s="29" t="s">
        <v>557</v>
      </c>
      <c r="J133" s="61" t="s">
        <v>2233</v>
      </c>
      <c r="K133" s="61" t="s">
        <v>2233</v>
      </c>
      <c r="L133" s="67">
        <v>0</v>
      </c>
      <c r="O133" s="29" t="s">
        <v>547</v>
      </c>
      <c r="Q133" s="67">
        <v>0</v>
      </c>
      <c r="R133" s="29" t="s">
        <v>547</v>
      </c>
      <c r="U133" s="29" t="s">
        <v>547</v>
      </c>
      <c r="W133" s="29" t="s">
        <v>547</v>
      </c>
      <c r="Z133" s="29" t="s">
        <v>547</v>
      </c>
      <c r="AA133" s="61" t="s">
        <v>546</v>
      </c>
      <c r="AB133" s="29" t="s">
        <v>547</v>
      </c>
      <c r="AC133" s="67">
        <v>0</v>
      </c>
      <c r="AD133" s="29" t="s">
        <v>547</v>
      </c>
      <c r="AF133" s="29" t="s">
        <v>547</v>
      </c>
      <c r="AG133" s="29" t="s">
        <v>547</v>
      </c>
      <c r="AH133" s="29" t="s">
        <v>548</v>
      </c>
      <c r="AI133" s="29" t="s">
        <v>546</v>
      </c>
      <c r="AJ133" s="29" t="s">
        <v>547</v>
      </c>
      <c r="AK133" s="67">
        <v>0</v>
      </c>
      <c r="AL133" s="29" t="s">
        <v>547</v>
      </c>
      <c r="AO133" s="29" t="s">
        <v>547</v>
      </c>
      <c r="AP133" s="29" t="s">
        <v>547</v>
      </c>
      <c r="AQ133" s="4">
        <f>Q133+AK133</f>
        <v>0</v>
      </c>
      <c r="AR133" s="4">
        <f>L133+AC133</f>
        <v>0</v>
      </c>
      <c r="AS133" t="str">
        <f>AQ133&amp;AR133</f>
        <v>00</v>
      </c>
      <c r="AT133" s="49">
        <f>AQ133-AR133</f>
        <v>0</v>
      </c>
      <c r="AU133">
        <v>1</v>
      </c>
      <c r="AV133" s="29" t="s">
        <v>548</v>
      </c>
      <c r="AW133" s="29">
        <v>1.25</v>
      </c>
      <c r="AX133" s="29" t="s">
        <v>548</v>
      </c>
      <c r="AY133" s="29">
        <v>2</v>
      </c>
      <c r="AZ133" s="29">
        <v>6</v>
      </c>
      <c r="BA133" s="29" t="s">
        <v>548</v>
      </c>
      <c r="BB133" s="29" t="s">
        <v>569</v>
      </c>
      <c r="BC133" s="29">
        <v>2</v>
      </c>
      <c r="BD133" s="29">
        <f>AW133+AZ133</f>
        <v>7.25</v>
      </c>
      <c r="BE133" s="29">
        <f>BD133+BC133</f>
        <v>9.25</v>
      </c>
      <c r="BF133" s="29" t="s">
        <v>548</v>
      </c>
      <c r="BG133" s="29" t="s">
        <v>548</v>
      </c>
      <c r="BH133" s="29" t="s">
        <v>548</v>
      </c>
      <c r="BI133" s="29" t="s">
        <v>548</v>
      </c>
      <c r="BJ133" s="29" t="s">
        <v>548</v>
      </c>
      <c r="BK133" s="29" t="s">
        <v>546</v>
      </c>
      <c r="BL133" s="29">
        <v>9</v>
      </c>
      <c r="BM133" s="29" t="s">
        <v>562</v>
      </c>
      <c r="BN133" s="29">
        <v>6</v>
      </c>
      <c r="BO133" s="29" t="s">
        <v>562</v>
      </c>
      <c r="BP133" s="29">
        <v>10</v>
      </c>
      <c r="BQ133" s="29" t="s">
        <v>549</v>
      </c>
      <c r="BR133" s="29">
        <v>6</v>
      </c>
      <c r="BS133" s="29" t="s">
        <v>562</v>
      </c>
      <c r="BT133" s="29">
        <v>2</v>
      </c>
      <c r="BU133" s="29" t="s">
        <v>562</v>
      </c>
      <c r="BW133" s="29">
        <f>(BL133*1)+(BN133*0.1)+(BP133*0.01)+(BR133*0.1)+(BT133*0.3)+(BV133*0.4)</f>
        <v>10.899999999999999</v>
      </c>
      <c r="BX133" s="29" t="s">
        <v>2220</v>
      </c>
      <c r="BY133" s="29">
        <v>3</v>
      </c>
      <c r="BZ133" s="29">
        <v>2</v>
      </c>
      <c r="CA133" s="29">
        <v>4</v>
      </c>
      <c r="CB133" s="29">
        <v>9</v>
      </c>
      <c r="CC133" s="29">
        <v>0</v>
      </c>
      <c r="CD133" s="29">
        <v>1</v>
      </c>
      <c r="CE133" s="29">
        <v>2</v>
      </c>
      <c r="CG133" s="29">
        <f>(CC133*15)+(CD133*0.8)+(CE133*0.3)+((AW133+AZ133)*15)</f>
        <v>110.15</v>
      </c>
      <c r="CH133" s="29" t="s">
        <v>2221</v>
      </c>
      <c r="CI133" s="29">
        <f>(BL133*1)+(BN133*0.1)+(BP133*0.01)+(BR133*0.1)+(BT133*0.3)+(BV133*0.4)+(CC133*15)+(CD133*0.8)+(CE133*0.3)+((AW133+AZ133)*15)</f>
        <v>121.05</v>
      </c>
      <c r="CJ133" s="29" t="s">
        <v>546</v>
      </c>
      <c r="CK133" s="29" t="s">
        <v>547</v>
      </c>
      <c r="CL133" s="29" t="s">
        <v>548</v>
      </c>
      <c r="CM133" s="29" t="s">
        <v>550</v>
      </c>
      <c r="CN133" s="29">
        <v>0.25</v>
      </c>
      <c r="CO133" s="29">
        <v>3</v>
      </c>
      <c r="CP133" s="29">
        <v>0</v>
      </c>
      <c r="CQ133" s="29" t="s">
        <v>548</v>
      </c>
      <c r="CR133" s="29">
        <v>0.5</v>
      </c>
      <c r="CS133" s="29">
        <v>3</v>
      </c>
      <c r="CT133" s="29" t="s">
        <v>551</v>
      </c>
      <c r="CU133" s="30">
        <v>1.4400000000000002</v>
      </c>
      <c r="CV133" s="29">
        <v>0.25</v>
      </c>
      <c r="CW133" s="29">
        <v>1</v>
      </c>
      <c r="CX133" s="29" t="s">
        <v>552</v>
      </c>
      <c r="CY133" s="62">
        <v>0.16031999999999999</v>
      </c>
      <c r="CZ133" s="29">
        <v>0.5</v>
      </c>
      <c r="DA133" s="29">
        <v>1.5</v>
      </c>
      <c r="DB133" s="29" t="s">
        <v>552</v>
      </c>
      <c r="DC133" s="62">
        <v>0.12023999999999997</v>
      </c>
      <c r="DD133" s="29" t="s">
        <v>546</v>
      </c>
      <c r="DE133" s="29" t="s">
        <v>546</v>
      </c>
      <c r="DF133" s="29" t="s">
        <v>548</v>
      </c>
      <c r="DG133" s="29" t="s">
        <v>546</v>
      </c>
      <c r="DH133" s="29" t="s">
        <v>546</v>
      </c>
      <c r="DI133" s="29">
        <v>1</v>
      </c>
      <c r="DJ133" s="29">
        <v>3</v>
      </c>
      <c r="DK133" s="29" t="s">
        <v>1317</v>
      </c>
      <c r="DL133" s="29" t="s">
        <v>1318</v>
      </c>
      <c r="DM133" s="29">
        <v>-4.2629632949829102</v>
      </c>
      <c r="DN133" s="29">
        <v>35.527507781982422</v>
      </c>
      <c r="DO133" s="29">
        <v>1638.9000244140625</v>
      </c>
      <c r="DP133" s="29">
        <v>5</v>
      </c>
      <c r="DQ133" s="29">
        <v>1706031849</v>
      </c>
      <c r="DR133" s="29" t="s">
        <v>1319</v>
      </c>
      <c r="DS133" s="31">
        <v>42907.442766203705</v>
      </c>
      <c r="DT133" s="31">
        <v>42903.481817129628</v>
      </c>
      <c r="DU133" s="31">
        <v>42906.500104166669</v>
      </c>
      <c r="DV133" s="32">
        <v>42775</v>
      </c>
      <c r="DX133" s="44">
        <v>2.1400732600732604</v>
      </c>
      <c r="DY133" s="44">
        <v>3.5389743589743587</v>
      </c>
      <c r="DZ133" s="44">
        <v>5.6502525252525242</v>
      </c>
      <c r="EA133" s="44">
        <v>4.4570707070707067</v>
      </c>
      <c r="EC133" s="29" t="str">
        <f>IF(EQ133&lt;EP133,"FALSEE",1)</f>
        <v>FALSEE</v>
      </c>
      <c r="EE133" s="29" t="s">
        <v>2171</v>
      </c>
      <c r="EF133" s="29">
        <v>1.64159989357</v>
      </c>
      <c r="EG133" s="29" t="str">
        <f>IF(EF133&lt;0.5,"Depression",IF(EF133&lt;2,"Very gentle",IF(EF133&lt;5,"Gentle",IF(EF133&lt;9,"Moderate",IF(EF133&lt;15,"Strong",IF(EF133&lt;30,"Steep",IF(EF133&lt;1,"Very steep")))))))</f>
        <v>Very gentle</v>
      </c>
      <c r="EH133" s="29" t="s">
        <v>2177</v>
      </c>
      <c r="EI133" s="29">
        <v>0.54385989904400001</v>
      </c>
      <c r="EJ133" s="43">
        <v>8.4438333511400003</v>
      </c>
      <c r="EK133" s="43">
        <f>VLOOKUP(D133,[1]SoilData!$G$15:$K$237,5,FALSE)</f>
        <v>383.87340202968664</v>
      </c>
      <c r="EL133" s="43">
        <f>VLOOKUP(D133,[1]SoilData!$G$245:$K$451,5,FALSE)</f>
        <v>615.6155656730524</v>
      </c>
      <c r="EM133" s="43">
        <f>VLOOKUP(D133,[1]SoilData!$G$15:$M$238,7,FALSE)</f>
        <v>1.593</v>
      </c>
      <c r="EN133" s="43">
        <f>VLOOKUP(D133,[1]SoilData!$G$245:$M$454,7,FALSE)</f>
        <v>2.39</v>
      </c>
      <c r="EO133" s="60">
        <f>EM133-EN133</f>
        <v>-0.79700000000000015</v>
      </c>
      <c r="EP133" s="44">
        <f>AVERAGE(DZ133:EA133)</f>
        <v>5.0536616161616159</v>
      </c>
      <c r="EQ133" s="44">
        <f>AVERAGE(DX133:DY133)</f>
        <v>2.8395238095238096</v>
      </c>
      <c r="ER133" s="43">
        <f>EQ133-EP133</f>
        <v>-2.2141378066378063</v>
      </c>
      <c r="ES133" s="64">
        <f>IF(CU133&gt;0.000001,CU133*352,0)</f>
        <v>506.88000000000005</v>
      </c>
      <c r="ET133" s="64">
        <f>IF(DC133&gt;0.0001,DC133*682,0)</f>
        <v>82.003679999999974</v>
      </c>
      <c r="EU133" s="64">
        <f>CY133*795</f>
        <v>127.45439999999999</v>
      </c>
      <c r="EV133" s="64">
        <f>ES133+ET133+EU133</f>
        <v>716.33807999999999</v>
      </c>
      <c r="EW133" s="64">
        <f>IF(AA133="YES",3.5*18.2,0)</f>
        <v>0</v>
      </c>
      <c r="EX133" s="64">
        <f>EV133-EW133</f>
        <v>716.33807999999999</v>
      </c>
    </row>
    <row r="134" spans="1:154" ht="15" x14ac:dyDescent="0.2">
      <c r="A134" s="29" t="s">
        <v>556</v>
      </c>
      <c r="B134" s="29">
        <v>125</v>
      </c>
      <c r="C134" s="29" t="s">
        <v>996</v>
      </c>
      <c r="D134" s="29" t="s">
        <v>186</v>
      </c>
      <c r="E134" s="29" t="str">
        <f>VLOOKUP(D134,Harvest_2017_Formulae!$C$2:$D$968,2,FALSE)</f>
        <v>HALLU</v>
      </c>
      <c r="F134" s="29" t="s">
        <v>938</v>
      </c>
      <c r="G134" s="29">
        <v>0</v>
      </c>
      <c r="H134" s="61" t="str">
        <f>IF(G134&lt;0.05,"Homefield",IF(G134&lt;0.5,"Midfield","outfield"))</f>
        <v>Homefield</v>
      </c>
      <c r="I134" s="29" t="s">
        <v>557</v>
      </c>
      <c r="J134" s="61" t="s">
        <v>2234</v>
      </c>
      <c r="K134" s="61" t="s">
        <v>2234</v>
      </c>
      <c r="L134" s="67">
        <v>0</v>
      </c>
      <c r="O134" s="29" t="s">
        <v>547</v>
      </c>
      <c r="Q134" s="67">
        <v>0</v>
      </c>
      <c r="R134" s="29" t="s">
        <v>547</v>
      </c>
      <c r="U134" s="29" t="s">
        <v>547</v>
      </c>
      <c r="W134" s="29" t="s">
        <v>547</v>
      </c>
      <c r="Z134" s="29" t="s">
        <v>547</v>
      </c>
      <c r="AA134" s="61" t="s">
        <v>548</v>
      </c>
      <c r="AB134" s="29" t="s">
        <v>568</v>
      </c>
      <c r="AC134" s="67">
        <v>0</v>
      </c>
      <c r="AD134" s="29" t="s">
        <v>547</v>
      </c>
      <c r="AF134" s="29" t="s">
        <v>547</v>
      </c>
      <c r="AG134" s="29" t="s">
        <v>547</v>
      </c>
      <c r="AH134" s="29" t="s">
        <v>548</v>
      </c>
      <c r="AI134" s="29" t="s">
        <v>546</v>
      </c>
      <c r="AJ134" s="29" t="s">
        <v>547</v>
      </c>
      <c r="AK134" s="67">
        <v>0</v>
      </c>
      <c r="AL134" s="29" t="s">
        <v>547</v>
      </c>
      <c r="AO134" s="29" t="s">
        <v>547</v>
      </c>
      <c r="AP134" s="29" t="s">
        <v>547</v>
      </c>
      <c r="AQ134" s="4">
        <f>Q134+AK134</f>
        <v>0</v>
      </c>
      <c r="AR134" s="4">
        <f>L134+AC134</f>
        <v>0</v>
      </c>
      <c r="AS134" t="str">
        <f>AQ134&amp;AR134</f>
        <v>00</v>
      </c>
      <c r="AT134" s="49">
        <f>AQ134-AR134</f>
        <v>0</v>
      </c>
      <c r="AU134">
        <v>1</v>
      </c>
      <c r="AV134" s="29" t="s">
        <v>548</v>
      </c>
      <c r="AW134" s="29">
        <v>1</v>
      </c>
      <c r="AX134" s="29" t="s">
        <v>548</v>
      </c>
      <c r="AY134" s="29">
        <v>1</v>
      </c>
      <c r="AZ134" s="29">
        <v>3</v>
      </c>
      <c r="BA134" s="29" t="s">
        <v>548</v>
      </c>
      <c r="BB134" s="29" t="s">
        <v>569</v>
      </c>
      <c r="BC134" s="29">
        <v>2</v>
      </c>
      <c r="BD134" s="29">
        <f>AW134+AZ134</f>
        <v>4</v>
      </c>
      <c r="BE134" s="29">
        <f>BD134+BC134</f>
        <v>6</v>
      </c>
      <c r="BF134" s="29" t="s">
        <v>548</v>
      </c>
      <c r="BG134" s="29" t="s">
        <v>548</v>
      </c>
      <c r="BH134" s="29" t="s">
        <v>548</v>
      </c>
      <c r="BI134" s="29" t="s">
        <v>546</v>
      </c>
      <c r="BJ134" s="29" t="s">
        <v>546</v>
      </c>
      <c r="BK134" s="29" t="s">
        <v>546</v>
      </c>
      <c r="BL134" s="29">
        <v>10</v>
      </c>
      <c r="BM134" s="29" t="s">
        <v>549</v>
      </c>
      <c r="BN134" s="29">
        <v>10</v>
      </c>
      <c r="BO134" s="29" t="s">
        <v>549</v>
      </c>
      <c r="BP134" s="29">
        <v>9</v>
      </c>
      <c r="BQ134" s="29" t="s">
        <v>549</v>
      </c>
      <c r="BS134" s="29" t="s">
        <v>547</v>
      </c>
      <c r="BU134" s="29" t="s">
        <v>547</v>
      </c>
      <c r="BW134" s="29">
        <f>(BL134*1)+(BN134*0.1)+(BP134*0.01)+(BR134*0.1)+(BT134*0.3)+(BV134*0.4)</f>
        <v>11.09</v>
      </c>
      <c r="BX134" s="29" t="s">
        <v>2220</v>
      </c>
      <c r="BY134" s="29">
        <v>2</v>
      </c>
      <c r="BZ134" s="29">
        <v>2</v>
      </c>
      <c r="CA134" s="29">
        <v>2</v>
      </c>
      <c r="CB134" s="29">
        <v>6</v>
      </c>
      <c r="CC134" s="29">
        <v>0</v>
      </c>
      <c r="CD134" s="29">
        <v>0</v>
      </c>
      <c r="CE134" s="29">
        <v>1</v>
      </c>
      <c r="CF134" s="29" t="s">
        <v>547</v>
      </c>
      <c r="CG134" s="29">
        <f>(CC134*15)+(CD134*0.8)+(CE134*0.3)+((AW134+AZ134)*15)</f>
        <v>60.3</v>
      </c>
      <c r="CH134" s="29" t="s">
        <v>2221</v>
      </c>
      <c r="CI134" s="29">
        <f>(BL134*1)+(BN134*0.1)+(BP134*0.01)+(BR134*0.1)+(BT134*0.3)+(BV134*0.4)+(CC134*15)+(CD134*0.8)+(CE134*0.3)+((AW134+AZ134)*15)</f>
        <v>71.39</v>
      </c>
      <c r="CJ134" s="29" t="s">
        <v>548</v>
      </c>
      <c r="CK134" s="29" t="s">
        <v>997</v>
      </c>
      <c r="CL134" s="29" t="s">
        <v>548</v>
      </c>
      <c r="CM134" s="29" t="s">
        <v>550</v>
      </c>
      <c r="CN134" s="29">
        <v>0.25</v>
      </c>
      <c r="CO134" s="29">
        <v>0.25</v>
      </c>
      <c r="CP134" s="29">
        <v>0</v>
      </c>
      <c r="CQ134" s="29" t="s">
        <v>548</v>
      </c>
      <c r="CR134" s="29">
        <v>0.5</v>
      </c>
      <c r="CS134" s="29">
        <v>4.5</v>
      </c>
      <c r="CT134" s="29" t="s">
        <v>551</v>
      </c>
      <c r="CU134" s="30">
        <v>2.16</v>
      </c>
      <c r="CW134" s="29">
        <v>999</v>
      </c>
      <c r="CX134" s="29" t="s">
        <v>552</v>
      </c>
      <c r="CY134" s="62"/>
      <c r="CZ134" s="29">
        <v>0.5</v>
      </c>
      <c r="DA134" s="29">
        <v>4</v>
      </c>
      <c r="DB134" s="29" t="s">
        <v>552</v>
      </c>
      <c r="DC134" s="62">
        <v>0.32063999999999998</v>
      </c>
      <c r="DD134" s="29" t="s">
        <v>546</v>
      </c>
      <c r="DE134" s="29" t="s">
        <v>546</v>
      </c>
      <c r="DF134" s="29" t="s">
        <v>548</v>
      </c>
      <c r="DG134" s="29" t="s">
        <v>546</v>
      </c>
      <c r="DH134" s="29" t="s">
        <v>546</v>
      </c>
      <c r="DI134" s="29">
        <v>1</v>
      </c>
      <c r="DJ134" s="29">
        <v>2</v>
      </c>
      <c r="DK134" s="29" t="s">
        <v>998</v>
      </c>
      <c r="DL134" s="29" t="s">
        <v>999</v>
      </c>
      <c r="DM134" s="29">
        <v>-4.2831096649169922</v>
      </c>
      <c r="DN134" s="29">
        <v>35.898578643798828</v>
      </c>
      <c r="DO134" s="29">
        <v>1205</v>
      </c>
      <c r="DP134" s="29">
        <v>5</v>
      </c>
      <c r="DQ134" s="29">
        <v>1706031849</v>
      </c>
      <c r="DR134" s="29" t="s">
        <v>1000</v>
      </c>
      <c r="DS134" s="31">
        <v>42907.442847222221</v>
      </c>
      <c r="DT134" s="31">
        <v>42906.518009259264</v>
      </c>
      <c r="DU134" s="31">
        <v>42906.531157407408</v>
      </c>
      <c r="DV134" s="32">
        <v>42788</v>
      </c>
      <c r="DX134" s="44">
        <v>3.5565679012345686</v>
      </c>
      <c r="DY134" s="44">
        <v>5.9031111111111114</v>
      </c>
      <c r="DZ134" s="44">
        <v>3.9482361111111106</v>
      </c>
      <c r="EA134" s="44">
        <v>4.2701388888888889</v>
      </c>
      <c r="EC134" s="29">
        <f>IF(EQ134&lt;EP134,"FALSEE",1)</f>
        <v>1</v>
      </c>
      <c r="EE134" s="29" t="s">
        <v>2171</v>
      </c>
      <c r="EF134" s="29">
        <v>2.4237968921699999</v>
      </c>
      <c r="EG134" s="29" t="str">
        <f>IF(EF134&lt;0.5,"Depression",IF(EF134&lt;2,"Very gentle",IF(EF134&lt;5,"Gentle",IF(EF134&lt;9,"Moderate",IF(EF134&lt;15,"Strong",IF(EF134&lt;30,"Steep",IF(EF134&lt;1,"Very steep")))))))</f>
        <v>Gentle</v>
      </c>
      <c r="EH134" s="29" t="s">
        <v>2177</v>
      </c>
      <c r="EI134" s="29">
        <v>0.63450175523800001</v>
      </c>
      <c r="EJ134" s="43">
        <v>8.6444921493500004</v>
      </c>
      <c r="EK134" s="43"/>
      <c r="EL134" s="43">
        <f>VLOOKUP(D134,[1]SoilData!$G$245:$K$451,5,FALSE)</f>
        <v>389.45647130440676</v>
      </c>
      <c r="EM134" s="43"/>
      <c r="EN134" s="43">
        <f>VLOOKUP(D134,[1]SoilData!$G$245:$M$454,7,FALSE)</f>
        <v>1.4550000000000001</v>
      </c>
      <c r="EO134" s="60"/>
      <c r="EP134" s="44">
        <f>AVERAGE(DZ134:EA134)</f>
        <v>4.1091875</v>
      </c>
      <c r="EQ134" s="44">
        <f>AVERAGE(DX134:DY134)</f>
        <v>4.7298395061728398</v>
      </c>
      <c r="ER134" s="43">
        <f>EQ134-EP134</f>
        <v>0.62065200617283978</v>
      </c>
      <c r="ES134" s="64">
        <f>IF(CU134&gt;0.000001,CU134*352,0)</f>
        <v>760.32</v>
      </c>
      <c r="ET134" s="64">
        <f>IF(DC134&gt;0.0001,DC134*682,0)</f>
        <v>218.67648</v>
      </c>
      <c r="EU134" s="64">
        <f>CY134*795</f>
        <v>0</v>
      </c>
      <c r="EV134" s="64">
        <f>ES134+ET134+EU134</f>
        <v>978.99648000000002</v>
      </c>
      <c r="EW134" s="64">
        <f>IF(AA134="YES",3.5*18.2,0)</f>
        <v>63.699999999999996</v>
      </c>
      <c r="EX134" s="64">
        <f>EV134-EW134</f>
        <v>915.29647999999997</v>
      </c>
    </row>
    <row r="135" spans="1:154" ht="15" x14ac:dyDescent="0.2">
      <c r="A135" s="29" t="s">
        <v>556</v>
      </c>
      <c r="B135" s="29">
        <v>184</v>
      </c>
      <c r="C135" s="29" t="s">
        <v>687</v>
      </c>
      <c r="D135" s="29" t="s">
        <v>334</v>
      </c>
      <c r="E135" s="29" t="str">
        <f>VLOOKUP(D135,Harvest_2017_Formulae!$C$2:$D$968,2,FALSE)</f>
        <v>DURU</v>
      </c>
      <c r="F135" s="29" t="s">
        <v>645</v>
      </c>
      <c r="G135" s="29">
        <v>0</v>
      </c>
      <c r="H135" s="61" t="str">
        <f>IF(G135&lt;0.05,"Homefield",IF(G135&lt;0.5,"Midfield","outfield"))</f>
        <v>Homefield</v>
      </c>
      <c r="I135" s="29" t="s">
        <v>557</v>
      </c>
      <c r="J135" s="61" t="s">
        <v>2233</v>
      </c>
      <c r="K135" s="61" t="s">
        <v>2233</v>
      </c>
      <c r="L135" s="67">
        <v>0</v>
      </c>
      <c r="O135" s="29" t="s">
        <v>547</v>
      </c>
      <c r="Q135" s="67">
        <v>0</v>
      </c>
      <c r="R135" s="29" t="s">
        <v>547</v>
      </c>
      <c r="U135" s="29" t="s">
        <v>547</v>
      </c>
      <c r="W135" s="29" t="s">
        <v>547</v>
      </c>
      <c r="Z135" s="29" t="s">
        <v>547</v>
      </c>
      <c r="AA135" s="61" t="s">
        <v>548</v>
      </c>
      <c r="AB135" s="29" t="s">
        <v>568</v>
      </c>
      <c r="AC135" s="67">
        <v>0</v>
      </c>
      <c r="AD135" s="29" t="s">
        <v>547</v>
      </c>
      <c r="AF135" s="29" t="s">
        <v>547</v>
      </c>
      <c r="AG135" s="29" t="s">
        <v>547</v>
      </c>
      <c r="AH135" s="29" t="s">
        <v>546</v>
      </c>
      <c r="AI135" s="29" t="s">
        <v>546</v>
      </c>
      <c r="AJ135" s="29" t="s">
        <v>547</v>
      </c>
      <c r="AK135" s="67">
        <v>0</v>
      </c>
      <c r="AL135" s="29" t="s">
        <v>547</v>
      </c>
      <c r="AO135" s="29" t="s">
        <v>547</v>
      </c>
      <c r="AP135" s="29" t="s">
        <v>547</v>
      </c>
      <c r="AQ135" s="4">
        <f>Q135+AK135</f>
        <v>0</v>
      </c>
      <c r="AR135" s="4">
        <f>L135+AC135</f>
        <v>0</v>
      </c>
      <c r="AS135" t="str">
        <f>AQ135&amp;AR135</f>
        <v>00</v>
      </c>
      <c r="AT135" s="49">
        <f>AQ135-AR135</f>
        <v>0</v>
      </c>
      <c r="AU135">
        <v>1</v>
      </c>
      <c r="AV135" s="29" t="s">
        <v>548</v>
      </c>
      <c r="AW135" s="29">
        <v>1</v>
      </c>
      <c r="AX135" s="29" t="s">
        <v>548</v>
      </c>
      <c r="AY135" s="29">
        <v>3</v>
      </c>
      <c r="AZ135" s="29">
        <v>10</v>
      </c>
      <c r="BA135" s="29" t="s">
        <v>546</v>
      </c>
      <c r="BB135" s="29" t="s">
        <v>547</v>
      </c>
      <c r="BD135" s="29">
        <f>AW135+AZ135</f>
        <v>11</v>
      </c>
      <c r="BE135" s="29">
        <f>BD135+BC135</f>
        <v>11</v>
      </c>
      <c r="BF135" s="29" t="s">
        <v>548</v>
      </c>
      <c r="BG135" s="29" t="s">
        <v>548</v>
      </c>
      <c r="BH135" s="29" t="s">
        <v>546</v>
      </c>
      <c r="BI135" s="29" t="s">
        <v>546</v>
      </c>
      <c r="BJ135" s="29" t="s">
        <v>546</v>
      </c>
      <c r="BK135" s="29" t="s">
        <v>546</v>
      </c>
      <c r="BL135" s="29">
        <v>11</v>
      </c>
      <c r="BM135" s="29" t="s">
        <v>549</v>
      </c>
      <c r="BN135" s="29">
        <v>4</v>
      </c>
      <c r="BO135" s="29" t="s">
        <v>549</v>
      </c>
      <c r="BQ135" s="29" t="s">
        <v>547</v>
      </c>
      <c r="BS135" s="29" t="s">
        <v>547</v>
      </c>
      <c r="BU135" s="29" t="s">
        <v>547</v>
      </c>
      <c r="BW135" s="29">
        <f>(BL135*1)+(BN135*0.1)+(BP135*0.01)+(BR135*0.1)+(BT135*0.3)+(BV135*0.4)</f>
        <v>11.4</v>
      </c>
      <c r="BX135" s="29" t="s">
        <v>2220</v>
      </c>
      <c r="BY135" s="29">
        <v>2</v>
      </c>
      <c r="BZ135" s="29">
        <v>1</v>
      </c>
      <c r="CA135" s="29">
        <v>3</v>
      </c>
      <c r="CB135" s="29">
        <v>6</v>
      </c>
      <c r="CC135" s="29">
        <v>0</v>
      </c>
      <c r="CD135" s="29">
        <v>1</v>
      </c>
      <c r="CE135" s="29">
        <v>1</v>
      </c>
      <c r="CF135" s="29" t="s">
        <v>547</v>
      </c>
      <c r="CG135" s="29">
        <f>(CC135*15)+(CD135*0.8)+(CE135*0.3)+((AW135+AZ135)*15)</f>
        <v>166.1</v>
      </c>
      <c r="CH135" s="29" t="s">
        <v>2221</v>
      </c>
      <c r="CI135" s="29">
        <f>(BL135*1)+(BN135*0.1)+(BP135*0.01)+(BR135*0.1)+(BT135*0.3)+(BV135*0.4)+(CC135*15)+(CD135*0.8)+(CE135*0.3)+((AW135+AZ135)*15)</f>
        <v>177.5</v>
      </c>
      <c r="CJ135" s="29" t="s">
        <v>546</v>
      </c>
      <c r="CK135" s="29" t="s">
        <v>547</v>
      </c>
      <c r="CL135" s="29" t="s">
        <v>548</v>
      </c>
      <c r="CM135" s="29" t="s">
        <v>550</v>
      </c>
      <c r="CN135" s="29">
        <v>1</v>
      </c>
      <c r="CO135" s="29">
        <v>4</v>
      </c>
      <c r="CQ135" s="29" t="s">
        <v>548</v>
      </c>
      <c r="CR135" s="29">
        <v>5</v>
      </c>
      <c r="CS135" s="29">
        <v>40</v>
      </c>
      <c r="CT135" s="29" t="s">
        <v>551</v>
      </c>
      <c r="CU135" s="30">
        <v>1.92</v>
      </c>
      <c r="CW135" s="29">
        <v>999</v>
      </c>
      <c r="CX135" s="29" t="s">
        <v>551</v>
      </c>
      <c r="CY135" s="62"/>
      <c r="CZ135" s="29">
        <v>5</v>
      </c>
      <c r="DA135" s="29">
        <v>22</v>
      </c>
      <c r="DB135" s="29" t="s">
        <v>551</v>
      </c>
      <c r="DC135" s="62">
        <v>1.056</v>
      </c>
      <c r="DD135" s="29" t="s">
        <v>546</v>
      </c>
      <c r="DE135" s="29" t="s">
        <v>546</v>
      </c>
      <c r="DF135" s="29" t="s">
        <v>548</v>
      </c>
      <c r="DG135" s="29" t="s">
        <v>546</v>
      </c>
      <c r="DH135" s="29" t="s">
        <v>546</v>
      </c>
      <c r="DI135" s="29">
        <v>1</v>
      </c>
      <c r="DJ135" s="29">
        <v>3</v>
      </c>
      <c r="DK135" s="29" t="s">
        <v>688</v>
      </c>
      <c r="DL135" s="29" t="s">
        <v>689</v>
      </c>
      <c r="DM135" s="29">
        <v>-4.3478708267211914</v>
      </c>
      <c r="DN135" s="29">
        <v>35.596324920654297</v>
      </c>
      <c r="DO135" s="29">
        <v>1521.0999755859375</v>
      </c>
      <c r="DP135" s="29">
        <v>5</v>
      </c>
      <c r="DQ135" s="29">
        <v>1706031849</v>
      </c>
      <c r="DR135" s="29" t="s">
        <v>690</v>
      </c>
      <c r="DS135" s="31">
        <v>42926.575960648144</v>
      </c>
      <c r="DT135" s="31">
        <v>42921.636817129634</v>
      </c>
      <c r="DU135" s="31">
        <v>42921.647997685184</v>
      </c>
      <c r="DV135" s="32">
        <v>42770</v>
      </c>
      <c r="DX135" s="44">
        <v>3.1623832528180364</v>
      </c>
      <c r="DY135" s="44">
        <v>3.985829307568439</v>
      </c>
      <c r="DZ135" s="44">
        <v>5.6858605664488024</v>
      </c>
      <c r="EA135" s="44">
        <v>6.0296078431372555</v>
      </c>
      <c r="EC135" s="29" t="str">
        <f>IF(EQ135&lt;EP135,"FALSEE",1)</f>
        <v>FALSEE</v>
      </c>
      <c r="EE135" s="29" t="s">
        <v>2179</v>
      </c>
      <c r="EF135" s="29">
        <v>3.5332040786699999</v>
      </c>
      <c r="EG135" s="29" t="str">
        <f>IF(EF135&lt;0.5,"Depression",IF(EF135&lt;2,"Very gentle",IF(EF135&lt;5,"Gentle",IF(EF135&lt;9,"Moderate",IF(EF135&lt;15,"Strong",IF(EF135&lt;30,"Steep",IF(EF135&lt;1,"Very steep")))))))</f>
        <v>Gentle</v>
      </c>
      <c r="EH135" s="29" t="s">
        <v>2173</v>
      </c>
      <c r="EI135" s="29">
        <v>0.27193418145199999</v>
      </c>
      <c r="EJ135" s="43">
        <v>9.6542224884000003</v>
      </c>
      <c r="EK135" s="43">
        <f>VLOOKUP(D135,[1]SoilData!$G$15:$K$237,5,FALSE)</f>
        <v>260.04836903940566</v>
      </c>
      <c r="EL135" s="43"/>
      <c r="EM135" s="43">
        <f>VLOOKUP(D135,[1]SoilData!$G$15:$M$238,7,FALSE)</f>
        <v>0.80900000000000005</v>
      </c>
      <c r="EN135" s="43"/>
      <c r="EO135" s="60"/>
      <c r="EP135" s="44">
        <f>AVERAGE(DZ135:EA135)</f>
        <v>5.8577342047930294</v>
      </c>
      <c r="EQ135" s="44">
        <f>AVERAGE(DX135:DY135)</f>
        <v>3.574106280193238</v>
      </c>
      <c r="ER135" s="43">
        <f>EQ135-EP135</f>
        <v>-2.2836279245997915</v>
      </c>
      <c r="ES135" s="64">
        <f>IF(CU135&gt;0.000001,CU135*352,0)</f>
        <v>675.83999999999992</v>
      </c>
      <c r="ET135" s="64">
        <f>IF(DC135&gt;0.0001,DC135*682,0)</f>
        <v>720.19200000000001</v>
      </c>
      <c r="EU135" s="64">
        <f>CY135*795</f>
        <v>0</v>
      </c>
      <c r="EV135" s="64">
        <f>ES135+ET135+EU135</f>
        <v>1396.0319999999999</v>
      </c>
      <c r="EW135" s="64">
        <f>IF(AA135="YES",3.5*18.2,0)</f>
        <v>63.699999999999996</v>
      </c>
      <c r="EX135" s="64">
        <f>EV135-EW135</f>
        <v>1332.3319999999999</v>
      </c>
    </row>
    <row r="136" spans="1:154" ht="15" x14ac:dyDescent="0.2">
      <c r="A136" s="29" t="s">
        <v>556</v>
      </c>
      <c r="B136" s="29">
        <v>186</v>
      </c>
      <c r="C136" s="29" t="s">
        <v>364</v>
      </c>
      <c r="D136" s="29" t="s">
        <v>364</v>
      </c>
      <c r="E136" s="29" t="str">
        <f>VLOOKUP(D136,Harvest_2017_Formulae!$C$2:$D$968,2,FALSE)</f>
        <v>MANDI</v>
      </c>
      <c r="F136" s="29" t="s">
        <v>1042</v>
      </c>
      <c r="G136" s="29">
        <v>0.5</v>
      </c>
      <c r="H136" s="61" t="str">
        <f>IF(G136&lt;0.05,"Homefield",IF(G136&lt;0.5,"Midfield","outfield"))</f>
        <v>outfield</v>
      </c>
      <c r="I136" s="29" t="s">
        <v>557</v>
      </c>
      <c r="J136" s="61" t="s">
        <v>2233</v>
      </c>
      <c r="K136" s="61" t="s">
        <v>2233</v>
      </c>
      <c r="L136" s="67">
        <v>0</v>
      </c>
      <c r="O136" s="29" t="s">
        <v>547</v>
      </c>
      <c r="Q136" s="67">
        <v>0</v>
      </c>
      <c r="R136" s="29" t="s">
        <v>547</v>
      </c>
      <c r="U136" s="29" t="s">
        <v>547</v>
      </c>
      <c r="W136" s="29" t="s">
        <v>547</v>
      </c>
      <c r="Z136" s="29" t="s">
        <v>547</v>
      </c>
      <c r="AA136" s="61" t="s">
        <v>548</v>
      </c>
      <c r="AB136" s="29" t="s">
        <v>568</v>
      </c>
      <c r="AC136" s="67">
        <v>0</v>
      </c>
      <c r="AD136" s="29" t="s">
        <v>547</v>
      </c>
      <c r="AF136" s="29" t="s">
        <v>547</v>
      </c>
      <c r="AG136" s="29" t="s">
        <v>547</v>
      </c>
      <c r="AH136" s="29" t="s">
        <v>548</v>
      </c>
      <c r="AI136" s="29" t="s">
        <v>546</v>
      </c>
      <c r="AJ136" s="29" t="s">
        <v>547</v>
      </c>
      <c r="AK136" s="67">
        <v>0</v>
      </c>
      <c r="AL136" s="29" t="s">
        <v>547</v>
      </c>
      <c r="AO136" s="29" t="s">
        <v>547</v>
      </c>
      <c r="AP136" s="29" t="s">
        <v>547</v>
      </c>
      <c r="AQ136" s="4">
        <f>Q136+AK136</f>
        <v>0</v>
      </c>
      <c r="AR136" s="4">
        <f>L136+AC136</f>
        <v>0</v>
      </c>
      <c r="AS136" t="str">
        <f>AQ136&amp;AR136</f>
        <v>00</v>
      </c>
      <c r="AT136" s="49">
        <f>AQ136-AR136</f>
        <v>0</v>
      </c>
      <c r="AU136">
        <v>1</v>
      </c>
      <c r="AV136" s="29" t="s">
        <v>546</v>
      </c>
      <c r="AX136" s="29" t="s">
        <v>548</v>
      </c>
      <c r="AY136" s="29">
        <v>1</v>
      </c>
      <c r="AZ136" s="29">
        <v>1</v>
      </c>
      <c r="BA136" s="29" t="s">
        <v>546</v>
      </c>
      <c r="BB136" s="29" t="s">
        <v>547</v>
      </c>
      <c r="BD136" s="29">
        <f>AW136+AZ136</f>
        <v>1</v>
      </c>
      <c r="BE136" s="29">
        <f>BD136+BC136</f>
        <v>1</v>
      </c>
      <c r="BF136" s="29" t="s">
        <v>548</v>
      </c>
      <c r="BG136" s="29" t="s">
        <v>548</v>
      </c>
      <c r="BH136" s="29" t="s">
        <v>548</v>
      </c>
      <c r="BI136" s="29" t="s">
        <v>548</v>
      </c>
      <c r="BJ136" s="29" t="s">
        <v>546</v>
      </c>
      <c r="BK136" s="29" t="s">
        <v>546</v>
      </c>
      <c r="BL136" s="29">
        <v>10</v>
      </c>
      <c r="BM136" s="29" t="s">
        <v>549</v>
      </c>
      <c r="BN136" s="29">
        <v>3</v>
      </c>
      <c r="BO136" s="29" t="s">
        <v>549</v>
      </c>
      <c r="BP136" s="29">
        <v>20</v>
      </c>
      <c r="BQ136" s="29" t="s">
        <v>549</v>
      </c>
      <c r="BR136" s="29">
        <v>11</v>
      </c>
      <c r="BS136" s="29" t="s">
        <v>549</v>
      </c>
      <c r="BU136" s="29" t="s">
        <v>547</v>
      </c>
      <c r="BW136" s="29">
        <f>(BL136*1)+(BN136*0.1)+(BP136*0.01)+(BR136*0.1)+(BT136*0.3)+(BV136*0.4)</f>
        <v>11.6</v>
      </c>
      <c r="BX136" s="29" t="s">
        <v>2220</v>
      </c>
      <c r="BY136" s="29">
        <v>2</v>
      </c>
      <c r="BZ136" s="29">
        <v>4</v>
      </c>
      <c r="CA136" s="29">
        <v>8</v>
      </c>
      <c r="CB136" s="29">
        <v>14</v>
      </c>
      <c r="CC136" s="29">
        <v>0</v>
      </c>
      <c r="CD136" s="29">
        <v>1</v>
      </c>
      <c r="CE136" s="29">
        <v>1</v>
      </c>
      <c r="CF136" s="29" t="s">
        <v>547</v>
      </c>
      <c r="CG136" s="29">
        <f>(CC136*15)+(CD136*0.8)+(CE136*0.3)+((AW136+AZ136)*15)</f>
        <v>16.100000000000001</v>
      </c>
      <c r="CH136" s="29" t="s">
        <v>2220</v>
      </c>
      <c r="CI136" s="29">
        <f>(BL136*1)+(BN136*0.1)+(BP136*0.01)+(BR136*0.1)+(BT136*0.3)+(BV136*0.4)+(CC136*15)+(CD136*0.8)+(CE136*0.3)+((AW136+AZ136)*15)</f>
        <v>27.700000000000003</v>
      </c>
      <c r="CJ136" s="29" t="s">
        <v>546</v>
      </c>
      <c r="CK136" s="29" t="s">
        <v>547</v>
      </c>
      <c r="CL136" s="29" t="s">
        <v>546</v>
      </c>
      <c r="CM136" s="29" t="s">
        <v>547</v>
      </c>
      <c r="CN136" s="29">
        <v>0.5</v>
      </c>
      <c r="CO136" s="29">
        <v>4.75</v>
      </c>
      <c r="CQ136" s="29" t="s">
        <v>546</v>
      </c>
      <c r="CR136" s="29">
        <v>5</v>
      </c>
      <c r="CS136" s="29">
        <v>10</v>
      </c>
      <c r="CT136" s="29" t="s">
        <v>551</v>
      </c>
      <c r="CU136" s="30">
        <v>0.48</v>
      </c>
      <c r="CV136" s="29">
        <v>5</v>
      </c>
      <c r="CW136" s="29">
        <v>2</v>
      </c>
      <c r="CX136" s="29" t="s">
        <v>551</v>
      </c>
      <c r="CY136" s="62">
        <v>9.6000000000000002E-2</v>
      </c>
      <c r="CZ136" s="29">
        <v>5</v>
      </c>
      <c r="DA136" s="29">
        <v>4</v>
      </c>
      <c r="DB136" s="29" t="s">
        <v>551</v>
      </c>
      <c r="DC136" s="62">
        <v>0.192</v>
      </c>
      <c r="DD136" s="29" t="s">
        <v>548</v>
      </c>
      <c r="DE136" s="29" t="s">
        <v>546</v>
      </c>
      <c r="DF136" s="29" t="s">
        <v>546</v>
      </c>
      <c r="DG136" s="29" t="s">
        <v>546</v>
      </c>
      <c r="DH136" s="29" t="s">
        <v>546</v>
      </c>
      <c r="DI136" s="29">
        <v>1</v>
      </c>
      <c r="DJ136" s="29">
        <v>3</v>
      </c>
      <c r="DK136" s="29" t="s">
        <v>1043</v>
      </c>
      <c r="DL136" s="29" t="s">
        <v>1044</v>
      </c>
      <c r="DM136" s="29">
        <v>-4.329749584197998</v>
      </c>
      <c r="DN136" s="29">
        <v>35.460727691650391</v>
      </c>
      <c r="DO136" s="29">
        <v>1553</v>
      </c>
      <c r="DP136" s="29">
        <v>5</v>
      </c>
      <c r="DQ136" s="29">
        <v>1706031849</v>
      </c>
      <c r="DR136" s="29" t="s">
        <v>1045</v>
      </c>
      <c r="DS136" s="31">
        <v>42930.383958333332</v>
      </c>
      <c r="DT136" s="31">
        <v>42928.456770833334</v>
      </c>
      <c r="DU136" s="31">
        <v>42928.48065972222</v>
      </c>
      <c r="DV136" s="32">
        <v>42773</v>
      </c>
      <c r="DX136" s="44">
        <v>2.2687499999999998</v>
      </c>
      <c r="DY136" s="44">
        <v>3.2999999999999994</v>
      </c>
      <c r="DZ136" s="44">
        <v>2.6812499999999995</v>
      </c>
      <c r="EA136" s="44">
        <v>3.0593749999999997</v>
      </c>
      <c r="EC136" s="29" t="str">
        <f>IF(EQ136&lt;EP136,"FALSEE",1)</f>
        <v>FALSEE</v>
      </c>
      <c r="EE136" s="29" t="s">
        <v>2171</v>
      </c>
      <c r="EF136" s="29">
        <v>0</v>
      </c>
      <c r="EG136" s="29" t="str">
        <f>IF(EF136&lt;0.5,"Depression",IF(EF136&lt;2,"Very gentle",IF(EF136&lt;5,"Gentle",IF(EF136&lt;9,"Moderate",IF(EF136&lt;15,"Strong",IF(EF136&lt;30,"Steep",IF(EF136&lt;1,"Very steep")))))))</f>
        <v>Depression</v>
      </c>
      <c r="EH136" s="29" t="s">
        <v>2173</v>
      </c>
      <c r="EI136" s="29">
        <v>8.4776775111099995E-6</v>
      </c>
      <c r="EJ136" s="43">
        <v>11.4374370575</v>
      </c>
      <c r="EK136" s="43">
        <f>VLOOKUP(D136,[1]SoilData!$G$15:$K$237,5,FALSE)</f>
        <v>530.17947174405651</v>
      </c>
      <c r="EL136" s="43">
        <f>VLOOKUP(D136,[1]SoilData!$G$245:$K$451,5,FALSE)</f>
        <v>574.76497683384628</v>
      </c>
      <c r="EM136" s="43">
        <f>VLOOKUP(D136,[1]SoilData!$G$15:$M$238,7,FALSE)</f>
        <v>2.2250000000000001</v>
      </c>
      <c r="EN136" s="43">
        <f>VLOOKUP(D136,[1]SoilData!$G$245:$M$454,7,FALSE)</f>
        <v>2.3530000000000002</v>
      </c>
      <c r="EO136" s="60">
        <f>EM136-EN136</f>
        <v>-0.12800000000000011</v>
      </c>
      <c r="EP136" s="44">
        <f>AVERAGE(DZ136:EA136)</f>
        <v>2.8703124999999998</v>
      </c>
      <c r="EQ136" s="44">
        <f>AVERAGE(DX136:DY136)</f>
        <v>2.7843749999999998</v>
      </c>
      <c r="ER136" s="43">
        <f>EQ136-EP136</f>
        <v>-8.59375E-2</v>
      </c>
      <c r="ES136" s="64">
        <f>IF(CU136&gt;0.000001,CU136*352,0)</f>
        <v>168.95999999999998</v>
      </c>
      <c r="ET136" s="64">
        <f>IF(DC136&gt;0.0001,DC136*682,0)</f>
        <v>130.94400000000002</v>
      </c>
      <c r="EU136" s="64">
        <f>CY136*795</f>
        <v>76.320000000000007</v>
      </c>
      <c r="EV136" s="64">
        <f>ES136+ET136+EU136</f>
        <v>376.22399999999999</v>
      </c>
      <c r="EW136" s="64">
        <f>IF(AA136="YES",3.5*18.2,0)</f>
        <v>63.699999999999996</v>
      </c>
      <c r="EX136" s="64">
        <f>EV136-EW136</f>
        <v>312.524</v>
      </c>
    </row>
    <row r="137" spans="1:154" ht="15" x14ac:dyDescent="0.2">
      <c r="A137" s="29" t="s">
        <v>556</v>
      </c>
      <c r="B137" s="29">
        <v>104</v>
      </c>
      <c r="C137" s="29" t="s">
        <v>1454</v>
      </c>
      <c r="D137" s="29" t="s">
        <v>547</v>
      </c>
      <c r="E137" s="29" t="e">
        <f>VLOOKUP(D137,Harvest_2017_Formulae!$C$2:$D$968,2,FALSE)</f>
        <v>#N/A</v>
      </c>
      <c r="F137" s="29" t="s">
        <v>777</v>
      </c>
      <c r="G137" s="29">
        <v>1.5</v>
      </c>
      <c r="H137" s="61" t="str">
        <f>IF(G137&lt;0.05,"Homefield",IF(G137&lt;0.5,"Midfield","outfield"))</f>
        <v>outfield</v>
      </c>
      <c r="I137" s="29" t="s">
        <v>545</v>
      </c>
      <c r="J137" s="61" t="s">
        <v>545</v>
      </c>
      <c r="K137" s="61" t="s">
        <v>2234</v>
      </c>
      <c r="L137" s="67">
        <v>0</v>
      </c>
      <c r="O137" s="29" t="s">
        <v>547</v>
      </c>
      <c r="Q137" s="67">
        <v>0</v>
      </c>
      <c r="R137" s="29" t="s">
        <v>547</v>
      </c>
      <c r="T137" s="29" t="s">
        <v>559</v>
      </c>
      <c r="U137" s="29" t="s">
        <v>560</v>
      </c>
      <c r="W137" s="41" t="s">
        <v>635</v>
      </c>
      <c r="Z137" s="29" t="s">
        <v>547</v>
      </c>
      <c r="AA137" s="61" t="s">
        <v>548</v>
      </c>
      <c r="AB137" s="29" t="s">
        <v>568</v>
      </c>
      <c r="AC137" s="67">
        <v>0</v>
      </c>
      <c r="AD137" s="29" t="s">
        <v>547</v>
      </c>
      <c r="AF137" s="29" t="s">
        <v>547</v>
      </c>
      <c r="AG137" s="29" t="s">
        <v>547</v>
      </c>
      <c r="AH137" s="29" t="s">
        <v>546</v>
      </c>
      <c r="AI137" s="29" t="s">
        <v>546</v>
      </c>
      <c r="AJ137" s="29" t="s">
        <v>547</v>
      </c>
      <c r="AK137" s="67">
        <v>0</v>
      </c>
      <c r="AL137" s="29" t="s">
        <v>547</v>
      </c>
      <c r="AO137" s="29" t="s">
        <v>547</v>
      </c>
      <c r="AP137" s="29" t="s">
        <v>547</v>
      </c>
      <c r="AQ137" s="4">
        <f>Q137+AK137</f>
        <v>0</v>
      </c>
      <c r="AR137" s="4">
        <f>L137+AC137</f>
        <v>0</v>
      </c>
      <c r="AS137" t="str">
        <f>AQ137&amp;AR137</f>
        <v>00</v>
      </c>
      <c r="AT137" s="49">
        <f>AQ137-AR137</f>
        <v>0</v>
      </c>
      <c r="AU137">
        <v>1</v>
      </c>
      <c r="AV137" s="29" t="s">
        <v>548</v>
      </c>
      <c r="AW137" s="29">
        <v>1</v>
      </c>
      <c r="AX137" s="29" t="s">
        <v>548</v>
      </c>
      <c r="AY137" s="29">
        <v>2</v>
      </c>
      <c r="AZ137" s="29">
        <v>3</v>
      </c>
      <c r="BA137" s="29" t="s">
        <v>548</v>
      </c>
      <c r="BB137" s="29" t="s">
        <v>584</v>
      </c>
      <c r="BC137" s="29">
        <v>1</v>
      </c>
      <c r="BD137" s="29">
        <f>AW137+AZ137</f>
        <v>4</v>
      </c>
      <c r="BE137" s="29">
        <f>BD137+BC137</f>
        <v>5</v>
      </c>
      <c r="BF137" s="29" t="s">
        <v>548</v>
      </c>
      <c r="BG137" s="29" t="s">
        <v>548</v>
      </c>
      <c r="BH137" s="29" t="s">
        <v>548</v>
      </c>
      <c r="BI137" s="29" t="s">
        <v>546</v>
      </c>
      <c r="BJ137" s="29" t="s">
        <v>546</v>
      </c>
      <c r="BK137" s="29" t="s">
        <v>546</v>
      </c>
      <c r="BL137" s="29">
        <v>11</v>
      </c>
      <c r="BM137" s="29" t="s">
        <v>549</v>
      </c>
      <c r="BN137" s="29">
        <v>7</v>
      </c>
      <c r="BO137" s="29" t="s">
        <v>580</v>
      </c>
      <c r="BP137" s="29">
        <v>6</v>
      </c>
      <c r="BQ137" s="29" t="s">
        <v>580</v>
      </c>
      <c r="BS137" s="29" t="s">
        <v>547</v>
      </c>
      <c r="BU137" s="29" t="s">
        <v>547</v>
      </c>
      <c r="BW137" s="29">
        <f>(BL137*1)+(BN137*0.1)+(BP137*0.01)+(BR137*0.1)+(BT137*0.3)+(BV137*0.4)</f>
        <v>11.76</v>
      </c>
      <c r="BX137" s="29" t="s">
        <v>2220</v>
      </c>
      <c r="BY137" s="29">
        <v>3</v>
      </c>
      <c r="BZ137" s="29">
        <v>1</v>
      </c>
      <c r="CA137" s="29">
        <v>4</v>
      </c>
      <c r="CB137" s="29">
        <v>8</v>
      </c>
      <c r="CC137" s="29">
        <v>0</v>
      </c>
      <c r="CD137" s="29">
        <v>1</v>
      </c>
      <c r="CE137" s="29">
        <v>1</v>
      </c>
      <c r="CG137" s="29">
        <f>(CC137*15)+(CD137*0.8)+(CE137*0.3)+((AW137+AZ137)*15)</f>
        <v>61.1</v>
      </c>
      <c r="CH137" s="29" t="s">
        <v>2221</v>
      </c>
      <c r="CI137" s="29">
        <f>(BL137*1)+(BN137*0.1)+(BP137*0.01)+(BR137*0.1)+(BT137*0.3)+(BV137*0.4)+(CC137*15)+(CD137*0.8)+(CE137*0.3)+((AW137+AZ137)*15)</f>
        <v>72.86</v>
      </c>
      <c r="CJ137" s="29" t="s">
        <v>548</v>
      </c>
      <c r="CK137" s="29" t="s">
        <v>563</v>
      </c>
      <c r="CL137" s="29" t="s">
        <v>546</v>
      </c>
      <c r="CM137" s="29" t="s">
        <v>547</v>
      </c>
      <c r="CN137" s="29">
        <v>1</v>
      </c>
      <c r="CQ137" s="29" t="s">
        <v>548</v>
      </c>
      <c r="CR137" s="29">
        <v>1</v>
      </c>
      <c r="CS137" s="29">
        <v>12</v>
      </c>
      <c r="CT137" s="29" t="s">
        <v>551</v>
      </c>
      <c r="CU137" s="30">
        <v>2.8800000000000003</v>
      </c>
      <c r="CW137" s="29">
        <v>999</v>
      </c>
      <c r="CX137" s="29" t="s">
        <v>551</v>
      </c>
      <c r="CY137" s="62"/>
      <c r="CZ137" s="29">
        <v>1</v>
      </c>
      <c r="DA137" s="29">
        <v>2</v>
      </c>
      <c r="DB137" s="29" t="s">
        <v>551</v>
      </c>
      <c r="DC137" s="62">
        <v>0.48</v>
      </c>
      <c r="DD137" s="29" t="s">
        <v>548</v>
      </c>
      <c r="DE137" s="29" t="s">
        <v>548</v>
      </c>
      <c r="DF137" s="29" t="s">
        <v>548</v>
      </c>
      <c r="DG137" s="29" t="s">
        <v>546</v>
      </c>
      <c r="DH137" s="29" t="s">
        <v>546</v>
      </c>
      <c r="DI137" s="29">
        <v>3</v>
      </c>
      <c r="DJ137" s="29">
        <v>3</v>
      </c>
      <c r="DK137" s="29" t="s">
        <v>1455</v>
      </c>
      <c r="DL137" s="29" t="s">
        <v>1456</v>
      </c>
      <c r="DM137" s="29">
        <v>-4.2103300094604492</v>
      </c>
      <c r="DN137" s="29">
        <v>35.743022918701172</v>
      </c>
      <c r="DO137" s="29">
        <v>1305.699951171875</v>
      </c>
      <c r="DP137" s="29">
        <v>15</v>
      </c>
      <c r="DQ137" s="29">
        <v>1705231439</v>
      </c>
      <c r="DR137" s="29" t="s">
        <v>1457</v>
      </c>
      <c r="DS137" s="31">
        <v>42950.966631944444</v>
      </c>
      <c r="DT137" s="31">
        <v>42893.576921296291</v>
      </c>
      <c r="DU137" s="31">
        <v>42950.940914351857</v>
      </c>
      <c r="DV137" s="32">
        <v>42773</v>
      </c>
      <c r="EC137" s="29">
        <f>IF(EQ137&lt;EP137,"FALSEE",1)</f>
        <v>1</v>
      </c>
      <c r="EE137" s="29" t="s">
        <v>2171</v>
      </c>
      <c r="EF137" s="29">
        <v>3.8559429645500001</v>
      </c>
      <c r="EG137" s="29" t="str">
        <f>IF(EF137&lt;0.5,"Depression",IF(EF137&lt;2,"Very gentle",IF(EF137&lt;5,"Gentle",IF(EF137&lt;9,"Moderate",IF(EF137&lt;15,"Strong",IF(EF137&lt;30,"Steep",IF(EF137&lt;1,"Very steep")))))))</f>
        <v>Gentle</v>
      </c>
      <c r="EH137" s="29" t="s">
        <v>2173</v>
      </c>
      <c r="EI137" s="29">
        <v>0.27193418145199999</v>
      </c>
      <c r="EJ137" s="43">
        <v>8.6119012832599999</v>
      </c>
      <c r="EK137" s="43"/>
      <c r="EL137" s="43"/>
      <c r="EM137" s="43"/>
      <c r="EN137" s="43"/>
      <c r="EO137" s="60"/>
      <c r="EP137" s="43"/>
      <c r="EQ137" s="43"/>
      <c r="ER137" s="43"/>
      <c r="ES137" s="64">
        <f>IF(CU137&gt;0.000001,CU137*352,0)</f>
        <v>1013.7600000000001</v>
      </c>
      <c r="ET137" s="64">
        <f>IF(DC137&gt;0.0001,DC137*682,0)</f>
        <v>327.36</v>
      </c>
      <c r="EU137" s="64">
        <f>CY137*795</f>
        <v>0</v>
      </c>
      <c r="EV137" s="64">
        <f>ES137+ET137+EU137</f>
        <v>1341.1200000000001</v>
      </c>
      <c r="EW137" s="64">
        <f>IF(AA137="YES",3.5*18.2,0)</f>
        <v>63.699999999999996</v>
      </c>
      <c r="EX137" s="64">
        <f>EV137-EW137</f>
        <v>1277.42</v>
      </c>
    </row>
    <row r="138" spans="1:154" ht="15" x14ac:dyDescent="0.2">
      <c r="A138" s="29" t="s">
        <v>556</v>
      </c>
      <c r="B138" s="29">
        <v>140</v>
      </c>
      <c r="C138" s="29" t="s">
        <v>1398</v>
      </c>
      <c r="D138" s="29" t="s">
        <v>1399</v>
      </c>
      <c r="E138" s="29" t="e">
        <f>VLOOKUP(D138,Harvest_2017_Formulae!$C$2:$D$968,2,FALSE)</f>
        <v>#N/A</v>
      </c>
      <c r="F138" s="29" t="s">
        <v>196</v>
      </c>
      <c r="G138" s="29">
        <v>2</v>
      </c>
      <c r="H138" s="61" t="str">
        <f>IF(G138&lt;0.05,"Homefield",IF(G138&lt;0.5,"Midfield","outfield"))</f>
        <v>outfield</v>
      </c>
      <c r="I138" s="29" t="s">
        <v>557</v>
      </c>
      <c r="J138" s="61" t="s">
        <v>2233</v>
      </c>
      <c r="K138" s="61" t="s">
        <v>2233</v>
      </c>
      <c r="L138" s="67">
        <v>0</v>
      </c>
      <c r="O138" s="29" t="s">
        <v>547</v>
      </c>
      <c r="Q138" s="67">
        <v>0</v>
      </c>
      <c r="R138" s="29" t="s">
        <v>547</v>
      </c>
      <c r="U138" s="29" t="s">
        <v>547</v>
      </c>
      <c r="W138" s="29" t="s">
        <v>547</v>
      </c>
      <c r="Z138" s="29" t="s">
        <v>547</v>
      </c>
      <c r="AA138" s="61" t="s">
        <v>546</v>
      </c>
      <c r="AB138" s="29" t="s">
        <v>547</v>
      </c>
      <c r="AC138" s="67">
        <v>0</v>
      </c>
      <c r="AD138" s="29" t="s">
        <v>547</v>
      </c>
      <c r="AF138" s="29" t="s">
        <v>547</v>
      </c>
      <c r="AG138" s="29" t="s">
        <v>547</v>
      </c>
      <c r="AH138" s="29" t="s">
        <v>548</v>
      </c>
      <c r="AI138" s="29" t="s">
        <v>546</v>
      </c>
      <c r="AJ138" s="29" t="s">
        <v>547</v>
      </c>
      <c r="AK138" s="67">
        <v>0</v>
      </c>
      <c r="AL138" s="29" t="s">
        <v>547</v>
      </c>
      <c r="AO138" s="29" t="s">
        <v>547</v>
      </c>
      <c r="AP138" s="29" t="s">
        <v>547</v>
      </c>
      <c r="AQ138" s="4">
        <f>Q138+AK138</f>
        <v>0</v>
      </c>
      <c r="AR138" s="4">
        <f>L138+AC138</f>
        <v>0</v>
      </c>
      <c r="AS138" t="str">
        <f>AQ138&amp;AR138</f>
        <v>00</v>
      </c>
      <c r="AT138" s="49">
        <f>AQ138-AR138</f>
        <v>0</v>
      </c>
      <c r="AU138">
        <v>1</v>
      </c>
      <c r="AV138" s="29" t="s">
        <v>548</v>
      </c>
      <c r="AW138" s="29">
        <v>0.25</v>
      </c>
      <c r="AX138" s="29" t="s">
        <v>548</v>
      </c>
      <c r="AY138" s="29">
        <v>3</v>
      </c>
      <c r="AZ138" s="29">
        <v>10.75</v>
      </c>
      <c r="BA138" s="29" t="s">
        <v>546</v>
      </c>
      <c r="BB138" s="29" t="s">
        <v>547</v>
      </c>
      <c r="BD138" s="29">
        <f>AW138+AZ138</f>
        <v>11</v>
      </c>
      <c r="BE138" s="29">
        <f>BD138+BC138</f>
        <v>11</v>
      </c>
      <c r="BF138" s="29" t="s">
        <v>548</v>
      </c>
      <c r="BG138" s="29" t="s">
        <v>548</v>
      </c>
      <c r="BH138" s="29" t="s">
        <v>548</v>
      </c>
      <c r="BI138" s="29" t="s">
        <v>546</v>
      </c>
      <c r="BJ138" s="29" t="s">
        <v>546</v>
      </c>
      <c r="BK138" s="29" t="s">
        <v>546</v>
      </c>
      <c r="BL138" s="29">
        <v>12</v>
      </c>
      <c r="BM138" s="29" t="s">
        <v>549</v>
      </c>
      <c r="BN138" s="29">
        <v>8</v>
      </c>
      <c r="BO138" s="29" t="s">
        <v>549</v>
      </c>
      <c r="BP138" s="29">
        <v>6</v>
      </c>
      <c r="BQ138" s="29" t="s">
        <v>549</v>
      </c>
      <c r="BS138" s="29" t="s">
        <v>547</v>
      </c>
      <c r="BU138" s="29" t="s">
        <v>547</v>
      </c>
      <c r="BW138" s="29">
        <f>(BL138*1)+(BN138*0.1)+(BP138*0.01)+(BR138*0.1)+(BT138*0.3)+(BV138*0.4)</f>
        <v>12.860000000000001</v>
      </c>
      <c r="BX138" s="29" t="s">
        <v>2220</v>
      </c>
      <c r="BY138" s="29">
        <v>2</v>
      </c>
      <c r="BZ138" s="29">
        <v>2</v>
      </c>
      <c r="CA138" s="29">
        <v>4</v>
      </c>
      <c r="CB138" s="29">
        <v>8</v>
      </c>
      <c r="CC138" s="29">
        <v>0</v>
      </c>
      <c r="CD138" s="29">
        <v>1</v>
      </c>
      <c r="CE138" s="29">
        <v>1</v>
      </c>
      <c r="CF138" s="29" t="s">
        <v>547</v>
      </c>
      <c r="CG138" s="29">
        <f>(CC138*15)+(CD138*0.8)+(CE138*0.3)+((AW138+AZ138)*15)</f>
        <v>166.1</v>
      </c>
      <c r="CH138" s="29" t="s">
        <v>2221</v>
      </c>
      <c r="CI138" s="29">
        <f>(BL138*1)+(BN138*0.1)+(BP138*0.01)+(BR138*0.1)+(BT138*0.3)+(BV138*0.4)+(CC138*15)+(CD138*0.8)+(CE138*0.3)+((AW138+AZ138)*15)</f>
        <v>178.96</v>
      </c>
      <c r="CJ138" s="29" t="s">
        <v>546</v>
      </c>
      <c r="CK138" s="29" t="s">
        <v>547</v>
      </c>
      <c r="CL138" s="29" t="s">
        <v>548</v>
      </c>
      <c r="CM138" s="29" t="s">
        <v>550</v>
      </c>
      <c r="CN138" s="29">
        <v>0.25</v>
      </c>
      <c r="CO138" s="29">
        <v>4.5</v>
      </c>
      <c r="CQ138" s="29" t="s">
        <v>548</v>
      </c>
      <c r="CR138" s="29">
        <v>4.75</v>
      </c>
      <c r="CS138" s="29">
        <v>3.5</v>
      </c>
      <c r="CT138" s="29" t="s">
        <v>551</v>
      </c>
      <c r="CU138" s="30">
        <v>0.17684210526315791</v>
      </c>
      <c r="CW138" s="29">
        <v>999</v>
      </c>
      <c r="CX138" s="29" t="s">
        <v>551</v>
      </c>
      <c r="CY138" s="62"/>
      <c r="CZ138" s="29">
        <v>4.75</v>
      </c>
      <c r="DA138" s="29">
        <v>5</v>
      </c>
      <c r="DB138" s="29" t="s">
        <v>551</v>
      </c>
      <c r="DC138" s="62">
        <v>0.25263157894736843</v>
      </c>
      <c r="DD138" s="29" t="s">
        <v>546</v>
      </c>
      <c r="DE138" s="29" t="s">
        <v>546</v>
      </c>
      <c r="DF138" s="29" t="s">
        <v>546</v>
      </c>
      <c r="DG138" s="29" t="s">
        <v>546</v>
      </c>
      <c r="DH138" s="29" t="s">
        <v>546</v>
      </c>
      <c r="DI138" s="29">
        <v>0</v>
      </c>
      <c r="DJ138" s="29">
        <v>3</v>
      </c>
      <c r="DK138" s="29" t="s">
        <v>1400</v>
      </c>
      <c r="DL138" s="29" t="s">
        <v>1401</v>
      </c>
      <c r="DM138" s="29">
        <v>-4.2220315933227539</v>
      </c>
      <c r="DN138" s="29">
        <v>35.8814697265625</v>
      </c>
      <c r="DO138" s="29">
        <v>1262.800048828125</v>
      </c>
      <c r="DP138" s="29">
        <v>5</v>
      </c>
      <c r="DQ138" s="29">
        <v>1706031849</v>
      </c>
      <c r="DR138" s="29" t="s">
        <v>1402</v>
      </c>
      <c r="DS138" s="31">
        <v>42908.532407407409</v>
      </c>
      <c r="DT138" s="31">
        <v>42907.499444444446</v>
      </c>
      <c r="DU138" s="31">
        <v>42908.530856481477</v>
      </c>
      <c r="DV138" s="32">
        <v>42770</v>
      </c>
      <c r="DX138" s="43"/>
      <c r="DY138" s="43"/>
      <c r="DZ138" s="43"/>
      <c r="EA138" s="43"/>
      <c r="EC138" s="29">
        <f>IF(EQ138&lt;EP138,"FALSEE",1)</f>
        <v>1</v>
      </c>
      <c r="EE138" s="29" t="s">
        <v>2171</v>
      </c>
      <c r="EF138" s="29">
        <v>2.45308256149</v>
      </c>
      <c r="EG138" s="29" t="str">
        <f>IF(EF138&lt;0.5,"Depression",IF(EF138&lt;2,"Very gentle",IF(EF138&lt;5,"Gentle",IF(EF138&lt;9,"Moderate",IF(EF138&lt;15,"Strong",IF(EF138&lt;30,"Steep",IF(EF138&lt;1,"Very steep")))))))</f>
        <v>Gentle</v>
      </c>
      <c r="EH138" s="29" t="s">
        <v>2173</v>
      </c>
      <c r="EI138" s="29">
        <v>-9.0633422136300004E-2</v>
      </c>
      <c r="EJ138" s="43">
        <v>8.5408096313499993</v>
      </c>
      <c r="EK138" s="43"/>
      <c r="EL138" s="43"/>
      <c r="EM138" s="43"/>
      <c r="EN138" s="43"/>
      <c r="EO138" s="60"/>
      <c r="EP138" s="43"/>
      <c r="EQ138" s="43"/>
      <c r="ER138" s="43"/>
      <c r="ES138" s="64">
        <f>IF(CU138&gt;0.000001,CU138*352,0)</f>
        <v>62.248421052631585</v>
      </c>
      <c r="ET138" s="64">
        <f>IF(DC138&gt;0.0001,DC138*682,0)</f>
        <v>172.29473684210527</v>
      </c>
      <c r="EU138" s="64">
        <f>CY138*795</f>
        <v>0</v>
      </c>
      <c r="EV138" s="64">
        <f>ES138+ET138+EU138</f>
        <v>234.54315789473685</v>
      </c>
      <c r="EW138" s="64">
        <f>IF(AA138="YES",3.5*18.2,0)</f>
        <v>0</v>
      </c>
      <c r="EX138" s="64">
        <f>EV138-EW138</f>
        <v>234.54315789473685</v>
      </c>
    </row>
    <row r="139" spans="1:154" ht="15" x14ac:dyDescent="0.2">
      <c r="A139" s="29" t="s">
        <v>556</v>
      </c>
      <c r="B139" s="29">
        <v>147</v>
      </c>
      <c r="C139" s="29" t="s">
        <v>985</v>
      </c>
      <c r="D139" s="29" t="s">
        <v>183</v>
      </c>
      <c r="E139" s="29" t="str">
        <f>VLOOKUP(D139,Harvest_2017_Formulae!$C$2:$D$968,2,FALSE)</f>
        <v>HALLU</v>
      </c>
      <c r="F139" s="29" t="s">
        <v>938</v>
      </c>
      <c r="G139" s="29">
        <v>0</v>
      </c>
      <c r="H139" s="61" t="str">
        <f>IF(G139&lt;0.05,"Homefield",IF(G139&lt;0.5,"Midfield","outfield"))</f>
        <v>Homefield</v>
      </c>
      <c r="I139" s="29" t="s">
        <v>557</v>
      </c>
      <c r="J139" s="61" t="s">
        <v>2233</v>
      </c>
      <c r="K139" s="61" t="s">
        <v>2233</v>
      </c>
      <c r="L139" s="67">
        <v>0</v>
      </c>
      <c r="O139" s="29" t="s">
        <v>547</v>
      </c>
      <c r="Q139" s="67">
        <v>0</v>
      </c>
      <c r="R139" s="29" t="s">
        <v>547</v>
      </c>
      <c r="U139" s="29" t="s">
        <v>547</v>
      </c>
      <c r="W139" s="29" t="s">
        <v>547</v>
      </c>
      <c r="Z139" s="29" t="s">
        <v>547</v>
      </c>
      <c r="AA139" s="61" t="s">
        <v>546</v>
      </c>
      <c r="AB139" s="29" t="s">
        <v>547</v>
      </c>
      <c r="AC139" s="67">
        <v>0</v>
      </c>
      <c r="AD139" s="29" t="s">
        <v>547</v>
      </c>
      <c r="AF139" s="29" t="s">
        <v>547</v>
      </c>
      <c r="AG139" s="29" t="s">
        <v>547</v>
      </c>
      <c r="AH139" s="29" t="s">
        <v>546</v>
      </c>
      <c r="AI139" s="29" t="s">
        <v>546</v>
      </c>
      <c r="AJ139" s="29" t="s">
        <v>547</v>
      </c>
      <c r="AK139" s="67">
        <v>0</v>
      </c>
      <c r="AL139" s="29" t="s">
        <v>547</v>
      </c>
      <c r="AO139" s="29" t="s">
        <v>547</v>
      </c>
      <c r="AP139" s="29" t="s">
        <v>547</v>
      </c>
      <c r="AQ139" s="4">
        <f>Q139+AK139</f>
        <v>0</v>
      </c>
      <c r="AR139" s="4">
        <f>L139+AC139</f>
        <v>0</v>
      </c>
      <c r="AS139" t="str">
        <f>AQ139&amp;AR139</f>
        <v>00</v>
      </c>
      <c r="AT139" s="49">
        <f>AQ139-AR139</f>
        <v>0</v>
      </c>
      <c r="AU139">
        <v>1</v>
      </c>
      <c r="AV139" s="29" t="s">
        <v>548</v>
      </c>
      <c r="AW139" s="29">
        <v>3</v>
      </c>
      <c r="AX139" s="29" t="s">
        <v>548</v>
      </c>
      <c r="AY139" s="29">
        <v>5</v>
      </c>
      <c r="AZ139" s="29">
        <v>70</v>
      </c>
      <c r="BA139" s="29" t="s">
        <v>546</v>
      </c>
      <c r="BB139" s="29" t="s">
        <v>547</v>
      </c>
      <c r="BD139" s="29">
        <f>AW139+AZ139</f>
        <v>73</v>
      </c>
      <c r="BE139" s="29">
        <f>BD139+BC139</f>
        <v>73</v>
      </c>
      <c r="BF139" s="29" t="s">
        <v>548</v>
      </c>
      <c r="BG139" s="29" t="s">
        <v>548</v>
      </c>
      <c r="BH139" s="29" t="s">
        <v>546</v>
      </c>
      <c r="BI139" s="29" t="s">
        <v>548</v>
      </c>
      <c r="BJ139" s="29" t="s">
        <v>546</v>
      </c>
      <c r="BK139" s="29" t="s">
        <v>546</v>
      </c>
      <c r="BL139" s="29">
        <v>11</v>
      </c>
      <c r="BM139" s="29" t="s">
        <v>549</v>
      </c>
      <c r="BN139" s="29">
        <v>12</v>
      </c>
      <c r="BO139" s="29" t="s">
        <v>549</v>
      </c>
      <c r="BQ139" s="29" t="s">
        <v>547</v>
      </c>
      <c r="BR139" s="29">
        <v>8</v>
      </c>
      <c r="BS139" s="29" t="s">
        <v>580</v>
      </c>
      <c r="BU139" s="29" t="s">
        <v>547</v>
      </c>
      <c r="BW139" s="29">
        <f>(BL139*1)+(BN139*0.1)+(BP139*0.01)+(BR139*0.1)+(BT139*0.3)+(BV139*0.4)</f>
        <v>13</v>
      </c>
      <c r="BX139" s="29" t="s">
        <v>2220</v>
      </c>
      <c r="BY139" s="29">
        <v>12</v>
      </c>
      <c r="BZ139" s="29">
        <v>15</v>
      </c>
      <c r="CA139" s="29">
        <v>9</v>
      </c>
      <c r="CB139" s="29">
        <v>36</v>
      </c>
      <c r="CC139" s="29">
        <v>2</v>
      </c>
      <c r="CD139" s="29">
        <v>0</v>
      </c>
      <c r="CE139" s="29">
        <v>0</v>
      </c>
      <c r="CF139" s="29" t="s">
        <v>986</v>
      </c>
      <c r="CG139" s="29">
        <f>(CC139*15)+(CD139*0.8)+(CE139*0.3)+((AW139+AZ139)*15)</f>
        <v>1125</v>
      </c>
      <c r="CH139" s="29" t="s">
        <v>2221</v>
      </c>
      <c r="CI139" s="29">
        <f>(BL139*1)+(BN139*0.1)+(BP139*0.01)+(BR139*0.1)+(BT139*0.3)+(BV139*0.4)+(CC139*15)+(CD139*0.8)+(CE139*0.3)+((AW139+AZ139)*15)</f>
        <v>1138</v>
      </c>
      <c r="CJ139" s="29" t="s">
        <v>548</v>
      </c>
      <c r="CK139" s="29" t="s">
        <v>987</v>
      </c>
      <c r="CL139" s="29" t="s">
        <v>548</v>
      </c>
      <c r="CM139" s="29" t="s">
        <v>550</v>
      </c>
      <c r="CN139" s="29">
        <v>0.25</v>
      </c>
      <c r="CO139" s="29">
        <v>0.75</v>
      </c>
      <c r="CQ139" s="29" t="s">
        <v>548</v>
      </c>
      <c r="CR139" s="29">
        <v>1</v>
      </c>
      <c r="CS139" s="29">
        <v>9</v>
      </c>
      <c r="CT139" s="29" t="s">
        <v>551</v>
      </c>
      <c r="CU139" s="30">
        <v>2.16</v>
      </c>
      <c r="CW139" s="29">
        <v>999</v>
      </c>
      <c r="CX139" s="29" t="s">
        <v>551</v>
      </c>
      <c r="CY139" s="62"/>
      <c r="CZ139" s="29">
        <v>1</v>
      </c>
      <c r="DA139" s="29">
        <v>2</v>
      </c>
      <c r="DB139" s="29" t="s">
        <v>551</v>
      </c>
      <c r="DC139" s="62">
        <v>0.48</v>
      </c>
      <c r="DD139" s="29" t="s">
        <v>546</v>
      </c>
      <c r="DE139" s="29" t="s">
        <v>546</v>
      </c>
      <c r="DF139" s="29" t="s">
        <v>546</v>
      </c>
      <c r="DG139" s="29" t="s">
        <v>546</v>
      </c>
      <c r="DH139" s="29" t="s">
        <v>546</v>
      </c>
      <c r="DI139" s="29">
        <v>0</v>
      </c>
      <c r="DJ139" s="29">
        <v>2</v>
      </c>
      <c r="DK139" s="29" t="s">
        <v>988</v>
      </c>
      <c r="DL139" s="29" t="s">
        <v>989</v>
      </c>
      <c r="DM139" s="29">
        <v>-4.2914495468139648</v>
      </c>
      <c r="DN139" s="29">
        <v>35.891063690185547</v>
      </c>
      <c r="DO139" s="29">
        <v>1221.0999755859375</v>
      </c>
      <c r="DP139" s="29">
        <v>5</v>
      </c>
      <c r="DQ139" s="29">
        <v>1706031849</v>
      </c>
      <c r="DR139" s="29" t="s">
        <v>990</v>
      </c>
      <c r="DS139" s="31">
        <v>42913.425185185188</v>
      </c>
      <c r="DT139" s="31">
        <v>42909.485821759255</v>
      </c>
      <c r="DU139" s="31">
        <v>42909.506712962961</v>
      </c>
      <c r="DV139" s="32">
        <v>42793</v>
      </c>
      <c r="DX139" s="44">
        <v>5.2082295482295482</v>
      </c>
      <c r="DY139" s="44">
        <v>3.9243711843711844</v>
      </c>
      <c r="DZ139" s="44">
        <v>2.8974545454545453</v>
      </c>
      <c r="EA139" s="44">
        <v>3.203878787878788</v>
      </c>
      <c r="EC139" s="29">
        <f>IF(EQ139&lt;EP139,"FALSEE",1)</f>
        <v>1</v>
      </c>
      <c r="EE139" s="29" t="s">
        <v>2171</v>
      </c>
      <c r="EF139" s="29">
        <v>1.3508191108700001</v>
      </c>
      <c r="EG139" s="29" t="str">
        <f>IF(EF139&lt;0.5,"Depression",IF(EF139&lt;2,"Very gentle",IF(EF139&lt;5,"Gentle",IF(EF139&lt;9,"Moderate",IF(EF139&lt;15,"Strong",IF(EF139&lt;30,"Steep",IF(EF139&lt;1,"Very steep")))))))</f>
        <v>Very gentle</v>
      </c>
      <c r="EH139" s="29" t="s">
        <v>2173</v>
      </c>
      <c r="EI139" s="29">
        <v>0.36257606744799997</v>
      </c>
      <c r="EJ139" s="43">
        <v>10.9778470993</v>
      </c>
      <c r="EK139" s="43"/>
      <c r="EL139" s="43">
        <f>VLOOKUP(D139,[1]SoilData!$G$245:$K$451,5,FALSE)</f>
        <v>375.52350096384743</v>
      </c>
      <c r="EM139" s="43"/>
      <c r="EN139" s="43">
        <f>VLOOKUP(D139,[1]SoilData!$G$245:$M$454,7,FALSE)</f>
        <v>1.752</v>
      </c>
      <c r="EO139" s="60"/>
      <c r="EP139" s="44">
        <f>AVERAGE(DZ139:EA139)</f>
        <v>3.0506666666666664</v>
      </c>
      <c r="EQ139" s="44">
        <f>AVERAGE(DX139:DY139)</f>
        <v>4.5663003663003661</v>
      </c>
      <c r="ER139" s="43">
        <f>EQ139-EP139</f>
        <v>1.5156336996336996</v>
      </c>
      <c r="ES139" s="64">
        <f>IF(CU139&gt;0.000001,CU139*352,0)</f>
        <v>760.32</v>
      </c>
      <c r="ET139" s="64">
        <f>IF(DC139&gt;0.0001,DC139*682,0)</f>
        <v>327.36</v>
      </c>
      <c r="EU139" s="64">
        <f>CY139*795</f>
        <v>0</v>
      </c>
      <c r="EV139" s="64">
        <f>ES139+ET139+EU139</f>
        <v>1087.68</v>
      </c>
      <c r="EW139" s="64">
        <f>IF(AA139="YES",3.5*18.2,0)</f>
        <v>0</v>
      </c>
      <c r="EX139" s="64">
        <f>EV139-EW139</f>
        <v>1087.68</v>
      </c>
    </row>
    <row r="140" spans="1:154" ht="15" x14ac:dyDescent="0.2">
      <c r="A140" s="29" t="s">
        <v>556</v>
      </c>
      <c r="B140" s="29">
        <v>101</v>
      </c>
      <c r="C140" s="29" t="s">
        <v>229</v>
      </c>
      <c r="D140" s="29" t="s">
        <v>229</v>
      </c>
      <c r="E140" s="29" t="str">
        <f>VLOOKUP(D140,Harvest_2017_Formulae!$C$2:$D$968,2,FALSE)</f>
        <v>ORNGADIDA</v>
      </c>
      <c r="F140" s="29" t="s">
        <v>777</v>
      </c>
      <c r="G140" s="29">
        <v>0</v>
      </c>
      <c r="H140" s="61" t="str">
        <f>IF(G140&lt;0.05,"Homefield",IF(G140&lt;0.5,"Midfield","outfield"))</f>
        <v>Homefield</v>
      </c>
      <c r="I140" s="29" t="s">
        <v>557</v>
      </c>
      <c r="J140" s="61" t="s">
        <v>2234</v>
      </c>
      <c r="K140" s="61" t="s">
        <v>2234</v>
      </c>
      <c r="L140" s="67">
        <v>0</v>
      </c>
      <c r="O140" s="29" t="s">
        <v>547</v>
      </c>
      <c r="Q140" s="67">
        <v>0</v>
      </c>
      <c r="R140" s="29" t="s">
        <v>547</v>
      </c>
      <c r="T140" s="29" t="s">
        <v>559</v>
      </c>
      <c r="U140" s="29" t="s">
        <v>560</v>
      </c>
      <c r="W140" s="29" t="s">
        <v>635</v>
      </c>
      <c r="Z140" s="29" t="s">
        <v>547</v>
      </c>
      <c r="AA140" s="61" t="s">
        <v>548</v>
      </c>
      <c r="AB140" s="29" t="s">
        <v>568</v>
      </c>
      <c r="AC140" s="67">
        <v>0</v>
      </c>
      <c r="AD140" s="29" t="s">
        <v>547</v>
      </c>
      <c r="AF140" s="29" t="s">
        <v>547</v>
      </c>
      <c r="AG140" s="29" t="s">
        <v>547</v>
      </c>
      <c r="AH140" s="29" t="s">
        <v>546</v>
      </c>
      <c r="AI140" s="29" t="s">
        <v>546</v>
      </c>
      <c r="AJ140" s="29" t="s">
        <v>547</v>
      </c>
      <c r="AK140" s="67">
        <v>0</v>
      </c>
      <c r="AL140" s="29" t="s">
        <v>547</v>
      </c>
      <c r="AO140" s="29" t="s">
        <v>547</v>
      </c>
      <c r="AP140" s="29" t="s">
        <v>547</v>
      </c>
      <c r="AQ140" s="4">
        <f>Q140+AK140</f>
        <v>0</v>
      </c>
      <c r="AR140" s="4">
        <f>L140+AC140</f>
        <v>0</v>
      </c>
      <c r="AS140" t="str">
        <f>AQ140&amp;AR140</f>
        <v>00</v>
      </c>
      <c r="AT140" s="49">
        <f>AQ140-AR140</f>
        <v>0</v>
      </c>
      <c r="AU140">
        <v>1</v>
      </c>
      <c r="AV140" s="29" t="s">
        <v>548</v>
      </c>
      <c r="AW140" s="29">
        <v>0.75</v>
      </c>
      <c r="AX140" s="29" t="s">
        <v>548</v>
      </c>
      <c r="AY140" s="29">
        <v>2</v>
      </c>
      <c r="AZ140" s="29">
        <v>11.25</v>
      </c>
      <c r="BA140" s="29" t="s">
        <v>546</v>
      </c>
      <c r="BB140" s="29" t="s">
        <v>547</v>
      </c>
      <c r="BD140" s="29">
        <f>AW140+AZ140</f>
        <v>12</v>
      </c>
      <c r="BE140" s="29">
        <f>BD140+BC140</f>
        <v>12</v>
      </c>
      <c r="BF140" s="29" t="s">
        <v>548</v>
      </c>
      <c r="BG140" s="29" t="s">
        <v>548</v>
      </c>
      <c r="BH140" s="29" t="s">
        <v>548</v>
      </c>
      <c r="BI140" s="29" t="s">
        <v>546</v>
      </c>
      <c r="BJ140" s="29" t="s">
        <v>546</v>
      </c>
      <c r="BK140" s="29" t="s">
        <v>546</v>
      </c>
      <c r="BL140" s="29">
        <v>12</v>
      </c>
      <c r="BM140" s="29" t="s">
        <v>549</v>
      </c>
      <c r="BN140" s="29">
        <v>9</v>
      </c>
      <c r="BO140" s="29" t="s">
        <v>549</v>
      </c>
      <c r="BP140" s="29">
        <v>35</v>
      </c>
      <c r="BQ140" s="29" t="s">
        <v>549</v>
      </c>
      <c r="BS140" s="29" t="s">
        <v>547</v>
      </c>
      <c r="BU140" s="29" t="s">
        <v>547</v>
      </c>
      <c r="BW140" s="29">
        <f>(BL140*1)+(BN140*0.1)+(BP140*0.01)+(BR140*0.1)+(BT140*0.3)+(BV140*0.4)</f>
        <v>13.25</v>
      </c>
      <c r="BX140" s="29" t="s">
        <v>2220</v>
      </c>
      <c r="BY140" s="29">
        <v>2</v>
      </c>
      <c r="BZ140" s="29">
        <v>1</v>
      </c>
      <c r="CA140" s="29">
        <v>5</v>
      </c>
      <c r="CB140" s="29">
        <v>8</v>
      </c>
      <c r="CC140" s="29">
        <v>0</v>
      </c>
      <c r="CD140" s="29">
        <v>0</v>
      </c>
      <c r="CE140" s="29">
        <v>0</v>
      </c>
      <c r="CG140" s="29">
        <f>(CC140*15)+(CD140*0.8)+(CE140*0.3)+((AW140+AZ140)*15)</f>
        <v>180</v>
      </c>
      <c r="CH140" s="29" t="s">
        <v>2221</v>
      </c>
      <c r="CI140" s="29">
        <f>(BL140*1)+(BN140*0.1)+(BP140*0.01)+(BR140*0.1)+(BT140*0.3)+(BV140*0.4)+(CC140*15)+(CD140*0.8)+(CE140*0.3)+((AW140+AZ140)*15)</f>
        <v>193.25</v>
      </c>
      <c r="CJ140" s="29" t="s">
        <v>548</v>
      </c>
      <c r="CK140" s="29" t="s">
        <v>733</v>
      </c>
      <c r="CL140" s="29" t="s">
        <v>548</v>
      </c>
      <c r="CM140" s="29" t="s">
        <v>550</v>
      </c>
      <c r="CN140" s="29">
        <v>0.25</v>
      </c>
      <c r="CO140" s="29">
        <v>0.25</v>
      </c>
      <c r="CQ140" s="29" t="s">
        <v>548</v>
      </c>
      <c r="CR140" s="29">
        <v>1</v>
      </c>
      <c r="CS140" s="29">
        <v>6</v>
      </c>
      <c r="CT140" s="29" t="s">
        <v>551</v>
      </c>
      <c r="CU140" s="30">
        <v>1.4400000000000002</v>
      </c>
      <c r="CW140" s="29">
        <v>999</v>
      </c>
      <c r="CX140" s="29" t="s">
        <v>551</v>
      </c>
      <c r="CY140" s="62"/>
      <c r="CZ140" s="29">
        <v>1</v>
      </c>
      <c r="DA140" s="29">
        <v>4</v>
      </c>
      <c r="DB140" s="29" t="s">
        <v>551</v>
      </c>
      <c r="DC140" s="62">
        <v>0.96</v>
      </c>
      <c r="DD140" s="29" t="s">
        <v>548</v>
      </c>
      <c r="DE140" s="29" t="s">
        <v>548</v>
      </c>
      <c r="DF140" s="29" t="s">
        <v>548</v>
      </c>
      <c r="DG140" s="29" t="s">
        <v>548</v>
      </c>
      <c r="DH140" s="29" t="s">
        <v>548</v>
      </c>
      <c r="DI140" s="29">
        <v>5</v>
      </c>
      <c r="DJ140" s="29">
        <v>2</v>
      </c>
      <c r="DK140" s="29" t="s">
        <v>1141</v>
      </c>
      <c r="DL140" s="29" t="s">
        <v>1142</v>
      </c>
      <c r="DM140" s="29">
        <v>-4.2923345565795898</v>
      </c>
      <c r="DN140" s="29">
        <v>35.850872039794922</v>
      </c>
      <c r="DO140" s="29">
        <v>1304.699951171875</v>
      </c>
      <c r="DP140" s="29">
        <v>5</v>
      </c>
      <c r="DQ140" s="29">
        <v>1705231439</v>
      </c>
      <c r="DR140" s="29" t="s">
        <v>1143</v>
      </c>
      <c r="DS140" s="31">
        <v>42950.965254629627</v>
      </c>
      <c r="DT140" s="31">
        <v>42892.682581018518</v>
      </c>
      <c r="DU140" s="31">
        <v>42950.926087962958</v>
      </c>
      <c r="DV140" s="32">
        <v>42790</v>
      </c>
      <c r="DX140" s="44">
        <v>5.8710613598673298</v>
      </c>
      <c r="DY140" s="44">
        <v>5.1389054726368153</v>
      </c>
      <c r="DZ140" s="44">
        <v>9.947008547008549</v>
      </c>
      <c r="EA140" s="44">
        <v>3.3300854700854705</v>
      </c>
      <c r="EC140" s="29" t="str">
        <f>IF(EQ140&lt;EP140,"FALSEE",1)</f>
        <v>FALSEE</v>
      </c>
      <c r="EE140" s="29" t="s">
        <v>2171</v>
      </c>
      <c r="EF140" s="29">
        <v>0.46340289711999999</v>
      </c>
      <c r="EG140" s="29" t="str">
        <f>IF(EF140&lt;0.5,"Depression",IF(EF140&lt;2,"Very gentle",IF(EF140&lt;5,"Gentle",IF(EF140&lt;9,"Moderate",IF(EF140&lt;15,"Strong",IF(EF140&lt;30,"Steep",IF(EF140&lt;1,"Very steep")))))))</f>
        <v>Depression</v>
      </c>
      <c r="EH140" s="29" t="s">
        <v>2173</v>
      </c>
      <c r="EI140" s="29">
        <v>-0.362559139729</v>
      </c>
      <c r="EJ140" s="43">
        <v>10.770300865199999</v>
      </c>
      <c r="EK140" s="43">
        <f>VLOOKUP(D140,[1]SoilData!$G$15:$K$237,5,FALSE)</f>
        <v>133.68714601507389</v>
      </c>
      <c r="EL140" s="43">
        <f>VLOOKUP(D140,[1]SoilData!$G$245:$K$451,5,FALSE)</f>
        <v>265.93519749091797</v>
      </c>
      <c r="EM140" s="43">
        <f>VLOOKUP(D140,[1]SoilData!$G$15:$M$238,7,FALSE)</f>
        <v>1.4339999999999999</v>
      </c>
      <c r="EN140" s="43">
        <f>VLOOKUP(D140,[1]SoilData!$G$245:$M$454,7,FALSE)</f>
        <v>1.3009999999999999</v>
      </c>
      <c r="EO140" s="60">
        <f>EM140-EN140</f>
        <v>0.13300000000000001</v>
      </c>
      <c r="EP140" s="44">
        <f>AVERAGE(DZ140:EA140)</f>
        <v>6.6385470085470093</v>
      </c>
      <c r="EQ140" s="44">
        <f>AVERAGE(DX140:DY140)</f>
        <v>5.5049834162520721</v>
      </c>
      <c r="ER140" s="43">
        <f>EQ140-EP140</f>
        <v>-1.1335635922949372</v>
      </c>
      <c r="ES140" s="64">
        <f>IF(CU140&gt;0.000001,CU140*352,0)</f>
        <v>506.88000000000005</v>
      </c>
      <c r="ET140" s="64">
        <f>IF(DC140&gt;0.0001,DC140*682,0)</f>
        <v>654.72</v>
      </c>
      <c r="EU140" s="64">
        <f>CY140*795</f>
        <v>0</v>
      </c>
      <c r="EV140" s="64">
        <f>ES140+ET140+EU140</f>
        <v>1161.6000000000001</v>
      </c>
      <c r="EW140" s="64">
        <f>IF(AA140="YES",3.5*18.2,0)</f>
        <v>63.699999999999996</v>
      </c>
      <c r="EX140" s="64">
        <f>EV140-EW140</f>
        <v>1097.9000000000001</v>
      </c>
    </row>
    <row r="141" spans="1:154" ht="15" x14ac:dyDescent="0.2">
      <c r="A141" s="29" t="s">
        <v>1133</v>
      </c>
      <c r="B141" s="29">
        <v>3</v>
      </c>
      <c r="C141" s="29" t="s">
        <v>373</v>
      </c>
      <c r="D141" s="29" t="s">
        <v>373</v>
      </c>
      <c r="E141" s="29" t="str">
        <f>VLOOKUP(D141,Harvest_2017_Formulae!$C$2:$D$968,2,FALSE)</f>
        <v>ORNGADIDA</v>
      </c>
      <c r="F141" s="29" t="s">
        <v>777</v>
      </c>
      <c r="G141" s="29">
        <v>1</v>
      </c>
      <c r="H141" s="61" t="str">
        <f>IF(G141&lt;0.05,"Homefield",IF(G141&lt;0.5,"Midfield","outfield"))</f>
        <v>outfield</v>
      </c>
      <c r="I141" s="29" t="s">
        <v>557</v>
      </c>
      <c r="J141" s="61" t="s">
        <v>2233</v>
      </c>
      <c r="K141" s="61" t="s">
        <v>2233</v>
      </c>
      <c r="L141" s="67">
        <v>0</v>
      </c>
      <c r="O141" s="29" t="s">
        <v>547</v>
      </c>
      <c r="Q141" s="67">
        <v>0</v>
      </c>
      <c r="R141" s="29" t="s">
        <v>547</v>
      </c>
      <c r="T141" s="29" t="s">
        <v>559</v>
      </c>
      <c r="U141" s="29" t="s">
        <v>560</v>
      </c>
      <c r="W141" s="41" t="s">
        <v>635</v>
      </c>
      <c r="Z141" s="29" t="s">
        <v>547</v>
      </c>
      <c r="AA141" s="61" t="s">
        <v>548</v>
      </c>
      <c r="AB141" s="29" t="s">
        <v>568</v>
      </c>
      <c r="AC141" s="67">
        <v>0</v>
      </c>
      <c r="AD141" s="29" t="s">
        <v>547</v>
      </c>
      <c r="AF141" s="29" t="s">
        <v>547</v>
      </c>
      <c r="AG141" s="29" t="s">
        <v>547</v>
      </c>
      <c r="AH141" s="29" t="s">
        <v>548</v>
      </c>
      <c r="AI141" s="29" t="s">
        <v>546</v>
      </c>
      <c r="AJ141" s="29" t="s">
        <v>547</v>
      </c>
      <c r="AK141" s="67">
        <v>0</v>
      </c>
      <c r="AL141" s="29" t="s">
        <v>547</v>
      </c>
      <c r="AO141" s="29" t="s">
        <v>547</v>
      </c>
      <c r="AP141" s="29" t="s">
        <v>547</v>
      </c>
      <c r="AQ141" s="4">
        <f>Q141+AK141</f>
        <v>0</v>
      </c>
      <c r="AR141" s="4">
        <f>L141+AC141</f>
        <v>0</v>
      </c>
      <c r="AS141" t="str">
        <f>AQ141&amp;AR141</f>
        <v>00</v>
      </c>
      <c r="AT141" s="49">
        <f>AQ141-AR141</f>
        <v>0</v>
      </c>
      <c r="AU141">
        <v>1</v>
      </c>
      <c r="AV141" s="29" t="s">
        <v>548</v>
      </c>
      <c r="AW141" s="29">
        <v>0.5</v>
      </c>
      <c r="AX141" s="29" t="s">
        <v>548</v>
      </c>
      <c r="AY141" s="29">
        <v>2</v>
      </c>
      <c r="AZ141" s="29">
        <v>5</v>
      </c>
      <c r="BA141" s="29" t="s">
        <v>548</v>
      </c>
      <c r="BB141" s="29" t="s">
        <v>569</v>
      </c>
      <c r="BC141" s="29">
        <v>1</v>
      </c>
      <c r="BD141" s="29">
        <f>AW141+AZ141</f>
        <v>5.5</v>
      </c>
      <c r="BE141" s="29">
        <f>BD141+BC141</f>
        <v>6.5</v>
      </c>
      <c r="BF141" s="29" t="s">
        <v>548</v>
      </c>
      <c r="BG141" s="29" t="s">
        <v>548</v>
      </c>
      <c r="BH141" s="29" t="s">
        <v>548</v>
      </c>
      <c r="BI141" s="29" t="s">
        <v>546</v>
      </c>
      <c r="BJ141" s="29" t="s">
        <v>546</v>
      </c>
      <c r="BK141" s="29" t="s">
        <v>546</v>
      </c>
      <c r="BL141" s="29">
        <v>13</v>
      </c>
      <c r="BM141" s="29" t="s">
        <v>549</v>
      </c>
      <c r="BN141" s="29">
        <v>6</v>
      </c>
      <c r="BO141" s="29" t="s">
        <v>549</v>
      </c>
      <c r="BP141" s="29">
        <v>5</v>
      </c>
      <c r="BQ141" s="29" t="s">
        <v>549</v>
      </c>
      <c r="BS141" s="29" t="s">
        <v>547</v>
      </c>
      <c r="BU141" s="29" t="s">
        <v>547</v>
      </c>
      <c r="BW141" s="29">
        <f>(BL141*1)+(BN141*0.1)+(BP141*0.01)+(BR141*0.1)+(BT141*0.3)+(BV141*0.4)</f>
        <v>13.65</v>
      </c>
      <c r="BX141" s="29" t="s">
        <v>2220</v>
      </c>
      <c r="BY141" s="29">
        <v>2</v>
      </c>
      <c r="BZ141" s="29">
        <v>4</v>
      </c>
      <c r="CA141" s="29">
        <v>4</v>
      </c>
      <c r="CB141" s="29">
        <v>10</v>
      </c>
      <c r="CC141" s="29">
        <v>0</v>
      </c>
      <c r="CD141" s="29">
        <v>1</v>
      </c>
      <c r="CE141" s="29">
        <v>2</v>
      </c>
      <c r="CF141" s="29" t="s">
        <v>547</v>
      </c>
      <c r="CG141" s="29">
        <f>(CC141*15)+(CD141*0.8)+(CE141*0.3)+((AW141+AZ141)*15)</f>
        <v>83.9</v>
      </c>
      <c r="CH141" s="29" t="s">
        <v>2221</v>
      </c>
      <c r="CI141" s="29">
        <f>(BL141*1)+(BN141*0.1)+(BP141*0.01)+(BR141*0.1)+(BT141*0.3)+(BV141*0.4)+(CC141*15)+(CD141*0.8)+(CE141*0.3)+((AW141+AZ141)*15)</f>
        <v>97.55</v>
      </c>
      <c r="CJ141" s="29" t="s">
        <v>548</v>
      </c>
      <c r="CK141" s="29" t="s">
        <v>563</v>
      </c>
      <c r="CL141" s="29" t="s">
        <v>548</v>
      </c>
      <c r="CM141" s="29" t="s">
        <v>550</v>
      </c>
      <c r="CN141" s="29">
        <v>0.5</v>
      </c>
      <c r="CP141" s="29">
        <v>0.5</v>
      </c>
      <c r="CQ141" s="29" t="s">
        <v>548</v>
      </c>
      <c r="CR141" s="29">
        <v>1</v>
      </c>
      <c r="CS141" s="29">
        <v>10</v>
      </c>
      <c r="CT141" s="29" t="s">
        <v>551</v>
      </c>
      <c r="CU141" s="30">
        <v>2.4</v>
      </c>
      <c r="CW141" s="29">
        <v>999</v>
      </c>
      <c r="CX141" s="29" t="s">
        <v>551</v>
      </c>
      <c r="CY141" s="62"/>
      <c r="CZ141" s="29">
        <v>1</v>
      </c>
      <c r="DA141" s="29">
        <v>3</v>
      </c>
      <c r="DB141" s="29" t="s">
        <v>551</v>
      </c>
      <c r="DC141" s="62">
        <v>0.72</v>
      </c>
      <c r="DD141" s="29" t="s">
        <v>548</v>
      </c>
      <c r="DE141" s="29" t="s">
        <v>546</v>
      </c>
      <c r="DF141" s="29" t="s">
        <v>546</v>
      </c>
      <c r="DG141" s="29" t="s">
        <v>546</v>
      </c>
      <c r="DH141" s="29" t="s">
        <v>546</v>
      </c>
      <c r="DI141" s="29">
        <v>1</v>
      </c>
      <c r="DJ141" s="29">
        <v>3</v>
      </c>
      <c r="DK141" s="29" t="s">
        <v>1134</v>
      </c>
      <c r="DL141" s="29" t="s">
        <v>1135</v>
      </c>
      <c r="DM141" s="29">
        <v>-4.2999958992004395</v>
      </c>
      <c r="DN141" s="29">
        <v>35.850307464599609</v>
      </c>
      <c r="DO141" s="29">
        <v>1270.4000244140625</v>
      </c>
      <c r="DP141" s="29">
        <v>5</v>
      </c>
      <c r="DQ141" s="29">
        <v>1705231439</v>
      </c>
      <c r="DR141" s="29" t="s">
        <v>1136</v>
      </c>
      <c r="DS141" s="31">
        <v>42893.595185185186</v>
      </c>
      <c r="DT141" s="31">
        <v>42892.444606481484</v>
      </c>
      <c r="DU141" s="31">
        <v>42892.47828703704</v>
      </c>
      <c r="DV141" s="32">
        <v>42790</v>
      </c>
      <c r="DX141" s="44">
        <v>4.1796842105263163</v>
      </c>
      <c r="DY141" s="44">
        <v>6.0845497076023403</v>
      </c>
      <c r="DZ141" s="44">
        <v>2.8951375137513748</v>
      </c>
      <c r="EA141" s="44">
        <v>4.224422442244224</v>
      </c>
      <c r="EC141" s="29">
        <f>IF(EQ141&lt;EP141,"FALSEE",1)</f>
        <v>1</v>
      </c>
      <c r="EE141" s="29" t="s">
        <v>2171</v>
      </c>
      <c r="EF141" s="29">
        <v>1.36835634708</v>
      </c>
      <c r="EG141" s="29" t="str">
        <f>IF(EF141&lt;0.5,"Depression",IF(EF141&lt;2,"Very gentle",IF(EF141&lt;5,"Gentle",IF(EF141&lt;9,"Moderate",IF(EF141&lt;15,"Strong",IF(EF141&lt;30,"Steep",IF(EF141&lt;1,"Very steep")))))))</f>
        <v>Very gentle</v>
      </c>
      <c r="EH141" s="29" t="s">
        <v>2173</v>
      </c>
      <c r="EI141" s="29">
        <v>-9.0633422136300004E-2</v>
      </c>
      <c r="EJ141" s="43">
        <v>8.9760036468499997</v>
      </c>
      <c r="EK141" s="43">
        <f>VLOOKUP(D141,[1]SoilData!$G$15:$K$237,5,FALSE)</f>
        <v>342.94387954233508</v>
      </c>
      <c r="EL141" s="43">
        <f>VLOOKUP(D141,[1]SoilData!$G$245:$K$451,5,FALSE)</f>
        <v>265.48326035228052</v>
      </c>
      <c r="EM141" s="43">
        <f>VLOOKUP(D141,[1]SoilData!$G$15:$M$238,7,FALSE)</f>
        <v>1.7629999999999999</v>
      </c>
      <c r="EN141" s="43">
        <f>VLOOKUP(D141,[1]SoilData!$G$245:$M$454,7,FALSE)</f>
        <v>1.8480000000000001</v>
      </c>
      <c r="EO141" s="60">
        <f>EM141-EN141</f>
        <v>-8.5000000000000187E-2</v>
      </c>
      <c r="EP141" s="44">
        <f>AVERAGE(DZ141:EA141)</f>
        <v>3.5597799779977994</v>
      </c>
      <c r="EQ141" s="44">
        <f>AVERAGE(DX141:DY141)</f>
        <v>5.1321169590643283</v>
      </c>
      <c r="ER141" s="43">
        <f>EQ141-EP141</f>
        <v>1.5723369810665289</v>
      </c>
      <c r="ES141" s="64">
        <f>IF(CU141&gt;0.000001,CU141*352,0)</f>
        <v>844.8</v>
      </c>
      <c r="ET141" s="64">
        <f>IF(DC141&gt;0.0001,DC141*682,0)</f>
        <v>491.03999999999996</v>
      </c>
      <c r="EU141" s="64">
        <f>CY141*795</f>
        <v>0</v>
      </c>
      <c r="EV141" s="64">
        <f>ES141+ET141+EU141</f>
        <v>1335.84</v>
      </c>
      <c r="EW141" s="64">
        <f>IF(AA141="YES",3.5*18.2,0)</f>
        <v>63.699999999999996</v>
      </c>
      <c r="EX141" s="64">
        <f>EV141-EW141</f>
        <v>1272.1399999999999</v>
      </c>
    </row>
    <row r="142" spans="1:154" ht="15" x14ac:dyDescent="0.2">
      <c r="A142" s="29" t="s">
        <v>544</v>
      </c>
      <c r="B142" s="29">
        <v>133</v>
      </c>
      <c r="C142" s="29" t="s">
        <v>414</v>
      </c>
      <c r="D142" s="29" t="s">
        <v>414</v>
      </c>
      <c r="E142" s="29" t="str">
        <f>VLOOKUP(D142,Harvest_2017_Formulae!$C$2:$D$968,2,FALSE)</f>
        <v>AYAMANGO</v>
      </c>
      <c r="F142" s="29" t="s">
        <v>196</v>
      </c>
      <c r="G142" s="29">
        <v>2.5</v>
      </c>
      <c r="H142" s="61" t="str">
        <f>IF(G142&lt;0.05,"Homefield",IF(G142&lt;0.5,"Midfield","outfield"))</f>
        <v>outfield</v>
      </c>
      <c r="I142" s="29" t="s">
        <v>545</v>
      </c>
      <c r="J142" s="61" t="s">
        <v>545</v>
      </c>
      <c r="K142" s="61" t="s">
        <v>2234</v>
      </c>
      <c r="L142" s="67">
        <v>0</v>
      </c>
      <c r="O142" s="29" t="s">
        <v>547</v>
      </c>
      <c r="Q142" s="67">
        <v>0</v>
      </c>
      <c r="R142" s="29" t="s">
        <v>547</v>
      </c>
      <c r="U142" s="29" t="s">
        <v>547</v>
      </c>
      <c r="W142" s="29" t="s">
        <v>547</v>
      </c>
      <c r="Z142" s="29" t="s">
        <v>547</v>
      </c>
      <c r="AA142" s="61" t="s">
        <v>546</v>
      </c>
      <c r="AB142" s="29" t="s">
        <v>547</v>
      </c>
      <c r="AC142" s="67">
        <v>0</v>
      </c>
      <c r="AD142" s="29" t="s">
        <v>547</v>
      </c>
      <c r="AF142" s="29" t="s">
        <v>547</v>
      </c>
      <c r="AG142" s="29" t="s">
        <v>547</v>
      </c>
      <c r="AH142" s="29" t="s">
        <v>548</v>
      </c>
      <c r="AI142" s="29" t="s">
        <v>546</v>
      </c>
      <c r="AJ142" s="29" t="s">
        <v>547</v>
      </c>
      <c r="AK142" s="67">
        <v>0</v>
      </c>
      <c r="AL142" s="29" t="s">
        <v>547</v>
      </c>
      <c r="AO142" s="29" t="s">
        <v>547</v>
      </c>
      <c r="AP142" s="29" t="s">
        <v>547</v>
      </c>
      <c r="AQ142" s="4">
        <f>Q142+AK142</f>
        <v>0</v>
      </c>
      <c r="AR142" s="4">
        <f>L142+AC142</f>
        <v>0</v>
      </c>
      <c r="AS142" t="str">
        <f>AQ142&amp;AR142</f>
        <v>00</v>
      </c>
      <c r="AT142" s="49">
        <f>AQ142-AR142</f>
        <v>0</v>
      </c>
      <c r="AU142">
        <v>1</v>
      </c>
      <c r="AV142" s="29" t="s">
        <v>548</v>
      </c>
      <c r="AW142" s="29">
        <v>0.5</v>
      </c>
      <c r="AX142" s="29" t="s">
        <v>548</v>
      </c>
      <c r="AY142" s="29">
        <v>4</v>
      </c>
      <c r="AZ142" s="29">
        <v>10.5</v>
      </c>
      <c r="BA142" s="29" t="s">
        <v>546</v>
      </c>
      <c r="BB142" s="29" t="s">
        <v>547</v>
      </c>
      <c r="BD142" s="29">
        <f>AW142+AZ142</f>
        <v>11</v>
      </c>
      <c r="BE142" s="29">
        <f>BD142+BC142</f>
        <v>11</v>
      </c>
      <c r="BF142" s="29" t="s">
        <v>548</v>
      </c>
      <c r="BG142" s="29" t="s">
        <v>548</v>
      </c>
      <c r="BH142" s="29" t="s">
        <v>548</v>
      </c>
      <c r="BI142" s="29" t="s">
        <v>546</v>
      </c>
      <c r="BJ142" s="29" t="s">
        <v>546</v>
      </c>
      <c r="BK142" s="29" t="s">
        <v>546</v>
      </c>
      <c r="BL142" s="29">
        <v>12</v>
      </c>
      <c r="BM142" s="29" t="s">
        <v>549</v>
      </c>
      <c r="BN142" s="29">
        <v>20</v>
      </c>
      <c r="BO142" s="29" t="s">
        <v>549</v>
      </c>
      <c r="BP142" s="29">
        <v>20</v>
      </c>
      <c r="BQ142" s="29" t="s">
        <v>549</v>
      </c>
      <c r="BS142" s="29" t="s">
        <v>547</v>
      </c>
      <c r="BU142" s="29" t="s">
        <v>547</v>
      </c>
      <c r="BW142" s="29">
        <f>(BL142*1)+(BN142*0.1)+(BP142*0.01)+(BR142*0.1)+(BT142*0.3)+(BV142*0.4)</f>
        <v>14.2</v>
      </c>
      <c r="BX142" s="29" t="s">
        <v>2221</v>
      </c>
      <c r="BY142" s="29">
        <v>3</v>
      </c>
      <c r="BZ142" s="29">
        <v>1</v>
      </c>
      <c r="CA142" s="29">
        <v>5</v>
      </c>
      <c r="CB142" s="29">
        <v>9</v>
      </c>
      <c r="CC142" s="29">
        <v>0</v>
      </c>
      <c r="CD142" s="29">
        <v>0</v>
      </c>
      <c r="CE142" s="29">
        <v>1</v>
      </c>
      <c r="CF142" s="29" t="s">
        <v>547</v>
      </c>
      <c r="CG142" s="29">
        <f>(CC142*15)+(CD142*0.8)+(CE142*0.3)+((AW142+AZ142)*15)</f>
        <v>165.3</v>
      </c>
      <c r="CH142" s="29" t="s">
        <v>2221</v>
      </c>
      <c r="CI142" s="29">
        <f>(BL142*1)+(BN142*0.1)+(BP142*0.01)+(BR142*0.1)+(BT142*0.3)+(BV142*0.4)+(CC142*15)+(CD142*0.8)+(CE142*0.3)+((AW142+AZ142)*15)</f>
        <v>179.5</v>
      </c>
      <c r="CJ142" s="29" t="s">
        <v>546</v>
      </c>
      <c r="CK142" s="29" t="s">
        <v>547</v>
      </c>
      <c r="CL142" s="29" t="s">
        <v>548</v>
      </c>
      <c r="CM142" s="29" t="s">
        <v>550</v>
      </c>
      <c r="CN142" s="29">
        <v>0.25</v>
      </c>
      <c r="CO142" s="29">
        <v>4.5</v>
      </c>
      <c r="CQ142" s="29" t="s">
        <v>546</v>
      </c>
      <c r="CR142" s="29">
        <v>1</v>
      </c>
      <c r="CS142" s="29">
        <v>7</v>
      </c>
      <c r="CT142" s="29" t="s">
        <v>551</v>
      </c>
      <c r="CU142" s="30">
        <v>1.6800000000000002</v>
      </c>
      <c r="CW142" s="29">
        <v>999</v>
      </c>
      <c r="CX142" s="29" t="s">
        <v>551</v>
      </c>
      <c r="CY142" s="62"/>
      <c r="CZ142" s="29">
        <v>1</v>
      </c>
      <c r="DA142" s="29">
        <v>4</v>
      </c>
      <c r="DB142" s="29" t="s">
        <v>552</v>
      </c>
      <c r="DC142" s="62">
        <v>0.16031999999999999</v>
      </c>
      <c r="DD142" s="29" t="s">
        <v>546</v>
      </c>
      <c r="DE142" s="29" t="s">
        <v>546</v>
      </c>
      <c r="DF142" s="29" t="s">
        <v>546</v>
      </c>
      <c r="DG142" s="29" t="s">
        <v>546</v>
      </c>
      <c r="DH142" s="29" t="s">
        <v>546</v>
      </c>
      <c r="DI142" s="29">
        <v>0</v>
      </c>
      <c r="DJ142" s="29">
        <v>2</v>
      </c>
      <c r="DK142" s="29" t="s">
        <v>553</v>
      </c>
      <c r="DL142" s="29" t="s">
        <v>554</v>
      </c>
      <c r="DM142" s="29">
        <v>-4.2431855201721191</v>
      </c>
      <c r="DN142" s="29">
        <v>35.889804840087891</v>
      </c>
      <c r="DO142" s="29">
        <v>1231.699951171875</v>
      </c>
      <c r="DP142" s="29">
        <v>5</v>
      </c>
      <c r="DQ142" s="29">
        <v>1706031849</v>
      </c>
      <c r="DR142" s="29" t="s">
        <v>555</v>
      </c>
      <c r="DS142" s="31">
        <v>42907.824004629627</v>
      </c>
      <c r="DT142" s="31">
        <v>42907.593715277777</v>
      </c>
      <c r="DU142" s="31">
        <v>42907.685335648144</v>
      </c>
      <c r="DV142" s="32">
        <v>42770</v>
      </c>
      <c r="DX142" s="44">
        <v>3.1255026455026456</v>
      </c>
      <c r="DY142" s="44">
        <v>2.4321693121693126</v>
      </c>
      <c r="DZ142" s="44">
        <v>4.1709968847352021</v>
      </c>
      <c r="EA142" s="44">
        <v>3.8127102803738318</v>
      </c>
      <c r="EB142" s="29">
        <v>0</v>
      </c>
      <c r="EC142" s="29" t="str">
        <f>IF(EQ142&lt;EP142,"FALSEE",1)</f>
        <v>FALSEE</v>
      </c>
      <c r="EE142" s="29" t="s">
        <v>2171</v>
      </c>
      <c r="EF142" s="29">
        <v>2.15328860283</v>
      </c>
      <c r="EG142" s="29" t="str">
        <f>IF(EF142&lt;0.5,"Depression",IF(EF142&lt;2,"Very gentle",IF(EF142&lt;5,"Gentle",IF(EF142&lt;9,"Moderate",IF(EF142&lt;15,"Strong",IF(EF142&lt;30,"Steep",IF(EF142&lt;1,"Very steep")))))))</f>
        <v>Gentle</v>
      </c>
      <c r="EH142" s="29" t="s">
        <v>2172</v>
      </c>
      <c r="EI142" s="29">
        <v>-0.725126743317</v>
      </c>
      <c r="EJ142" s="43">
        <v>9.7927923202499993</v>
      </c>
      <c r="EK142" s="43">
        <f>VLOOKUP(D142,[1]SoilData!$G$15:$K$237,5,FALSE)</f>
        <v>80.69695571454713</v>
      </c>
      <c r="EL142" s="43">
        <f>VLOOKUP(D142,[1]SoilData!$G$245:$K$451,5,FALSE)</f>
        <v>202.98201025422367</v>
      </c>
      <c r="EM142" s="43">
        <f>VLOOKUP(D142,[1]SoilData!$G$15:$M$238,7,FALSE)</f>
        <v>0.74199999999999999</v>
      </c>
      <c r="EN142" s="43">
        <f>VLOOKUP(D142,[1]SoilData!$G$245:$M$454,7,FALSE)</f>
        <v>0.72499999999999998</v>
      </c>
      <c r="EO142" s="60">
        <f>EM142-EN142</f>
        <v>1.7000000000000015E-2</v>
      </c>
      <c r="EP142" s="44">
        <f>AVERAGE(DZ142:EA142)</f>
        <v>3.9918535825545169</v>
      </c>
      <c r="EQ142" s="44">
        <f>AVERAGE(DX142:DY142)</f>
        <v>2.7788359788359793</v>
      </c>
      <c r="ER142" s="43">
        <f>EQ142-EP142</f>
        <v>-1.2130176037185376</v>
      </c>
      <c r="ES142" s="64">
        <f>IF(CU142&gt;0.000001,CU142*352,0)</f>
        <v>591.36</v>
      </c>
      <c r="ET142" s="64">
        <f>IF(DC142&gt;0.0001,DC142*682,0)</f>
        <v>109.33824</v>
      </c>
      <c r="EU142" s="64">
        <f>CY142*795</f>
        <v>0</v>
      </c>
      <c r="EV142" s="64">
        <f>ES142+ET142+EU142</f>
        <v>700.69824000000006</v>
      </c>
      <c r="EW142" s="64">
        <f>IF(AA142="YES",3.5*18.2,0)</f>
        <v>0</v>
      </c>
      <c r="EX142" s="64">
        <f>EV142-EW142</f>
        <v>700.69824000000006</v>
      </c>
    </row>
    <row r="143" spans="1:154" ht="15" x14ac:dyDescent="0.2">
      <c r="A143" s="29" t="s">
        <v>556</v>
      </c>
      <c r="B143" s="29">
        <v>8</v>
      </c>
      <c r="C143" s="29" t="s">
        <v>1154</v>
      </c>
      <c r="D143" s="29" t="s">
        <v>431</v>
      </c>
      <c r="E143" s="29" t="str">
        <f>VLOOKUP(D143,Harvest_2017_Formulae!$C$2:$D$968,2,FALSE)</f>
        <v>ORNGADIDA</v>
      </c>
      <c r="F143" s="29" t="s">
        <v>777</v>
      </c>
      <c r="G143" s="29">
        <v>0</v>
      </c>
      <c r="H143" s="61" t="str">
        <f>IF(G143&lt;0.05,"Homefield",IF(G143&lt;0.5,"Midfield","outfield"))</f>
        <v>Homefield</v>
      </c>
      <c r="I143" s="29" t="s">
        <v>557</v>
      </c>
      <c r="J143" s="61" t="s">
        <v>2233</v>
      </c>
      <c r="K143" s="61" t="s">
        <v>2233</v>
      </c>
      <c r="L143" s="67">
        <v>0</v>
      </c>
      <c r="O143" s="29" t="s">
        <v>547</v>
      </c>
      <c r="Q143" s="67">
        <v>0</v>
      </c>
      <c r="R143" s="29" t="s">
        <v>547</v>
      </c>
      <c r="T143" s="29" t="s">
        <v>559</v>
      </c>
      <c r="U143" s="29" t="s">
        <v>560</v>
      </c>
      <c r="W143" s="29" t="s">
        <v>819</v>
      </c>
      <c r="X143" s="29">
        <v>999</v>
      </c>
      <c r="Z143" s="29" t="s">
        <v>547</v>
      </c>
      <c r="AA143" s="61" t="s">
        <v>548</v>
      </c>
      <c r="AB143" s="29" t="s">
        <v>568</v>
      </c>
      <c r="AC143" s="67">
        <v>0</v>
      </c>
      <c r="AD143" s="29" t="s">
        <v>547</v>
      </c>
      <c r="AF143" s="29" t="s">
        <v>547</v>
      </c>
      <c r="AG143" s="29" t="s">
        <v>547</v>
      </c>
      <c r="AH143" s="29" t="s">
        <v>548</v>
      </c>
      <c r="AI143" s="29" t="s">
        <v>546</v>
      </c>
      <c r="AJ143" s="29" t="s">
        <v>547</v>
      </c>
      <c r="AK143" s="67">
        <v>0</v>
      </c>
      <c r="AL143" s="29" t="s">
        <v>547</v>
      </c>
      <c r="AO143" s="29" t="s">
        <v>547</v>
      </c>
      <c r="AP143" s="29" t="s">
        <v>547</v>
      </c>
      <c r="AQ143" s="4">
        <f>Q143+AK143</f>
        <v>0</v>
      </c>
      <c r="AR143" s="4">
        <f>L143+AC143</f>
        <v>0</v>
      </c>
      <c r="AS143" t="str">
        <f>AQ143&amp;AR143</f>
        <v>00</v>
      </c>
      <c r="AT143" s="49">
        <f>AQ143-AR143</f>
        <v>0</v>
      </c>
      <c r="AU143">
        <v>1</v>
      </c>
      <c r="AV143" s="29" t="s">
        <v>548</v>
      </c>
      <c r="AW143" s="29">
        <v>1</v>
      </c>
      <c r="AX143" s="29" t="s">
        <v>548</v>
      </c>
      <c r="AY143" s="29">
        <v>3</v>
      </c>
      <c r="AZ143" s="29">
        <v>9.5</v>
      </c>
      <c r="BA143" s="29" t="s">
        <v>546</v>
      </c>
      <c r="BB143" s="29" t="s">
        <v>547</v>
      </c>
      <c r="BD143" s="29">
        <f>AW143+AZ143</f>
        <v>10.5</v>
      </c>
      <c r="BE143" s="29">
        <f>BD143+BC143</f>
        <v>10.5</v>
      </c>
      <c r="BF143" s="29" t="s">
        <v>548</v>
      </c>
      <c r="BG143" s="29" t="s">
        <v>548</v>
      </c>
      <c r="BH143" s="29" t="s">
        <v>548</v>
      </c>
      <c r="BI143" s="29" t="s">
        <v>546</v>
      </c>
      <c r="BJ143" s="29" t="s">
        <v>546</v>
      </c>
      <c r="BK143" s="29" t="s">
        <v>546</v>
      </c>
      <c r="BL143" s="29">
        <v>15</v>
      </c>
      <c r="BM143" s="29" t="s">
        <v>549</v>
      </c>
      <c r="BN143" s="29">
        <v>9</v>
      </c>
      <c r="BO143" s="29" t="s">
        <v>549</v>
      </c>
      <c r="BP143" s="29">
        <v>12</v>
      </c>
      <c r="BQ143" s="29" t="s">
        <v>549</v>
      </c>
      <c r="BS143" s="29" t="s">
        <v>547</v>
      </c>
      <c r="BU143" s="29" t="s">
        <v>547</v>
      </c>
      <c r="BW143" s="29">
        <f>(BL143*1)+(BN143*0.1)+(BP143*0.01)+(BR143*0.1)+(BT143*0.3)+(BV143*0.4)</f>
        <v>16.02</v>
      </c>
      <c r="BX143" s="29" t="s">
        <v>2221</v>
      </c>
      <c r="BY143" s="29">
        <v>2</v>
      </c>
      <c r="BZ143" s="29">
        <v>1</v>
      </c>
      <c r="CA143" s="29">
        <v>1</v>
      </c>
      <c r="CB143" s="29">
        <v>4</v>
      </c>
      <c r="CC143" s="29">
        <v>0</v>
      </c>
      <c r="CD143" s="29">
        <v>1</v>
      </c>
      <c r="CE143" s="29">
        <v>1</v>
      </c>
      <c r="CF143" s="29" t="s">
        <v>547</v>
      </c>
      <c r="CG143" s="29">
        <f>(CC143*15)+(CD143*0.8)+(CE143*0.3)+((AW143+AZ143)*15)</f>
        <v>158.6</v>
      </c>
      <c r="CH143" s="29" t="s">
        <v>2221</v>
      </c>
      <c r="CI143" s="29">
        <f>(BL143*1)+(BN143*0.1)+(BP143*0.01)+(BR143*0.1)+(BT143*0.3)+(BV143*0.4)+(CC143*15)+(CD143*0.8)+(CE143*0.3)+((AW143+AZ143)*15)</f>
        <v>174.62</v>
      </c>
      <c r="CJ143" s="29" t="s">
        <v>548</v>
      </c>
      <c r="CK143" s="29" t="s">
        <v>563</v>
      </c>
      <c r="CL143" s="29" t="s">
        <v>548</v>
      </c>
      <c r="CM143" s="29" t="s">
        <v>550</v>
      </c>
      <c r="CN143" s="29">
        <v>0.25</v>
      </c>
      <c r="CP143" s="29">
        <v>1.75</v>
      </c>
      <c r="CQ143" s="29" t="s">
        <v>548</v>
      </c>
      <c r="CR143" s="29">
        <v>1</v>
      </c>
      <c r="CS143" s="29">
        <v>15</v>
      </c>
      <c r="CT143" s="29" t="s">
        <v>551</v>
      </c>
      <c r="CU143" s="30">
        <v>3.5999999999999996</v>
      </c>
      <c r="CW143" s="29">
        <v>999</v>
      </c>
      <c r="CX143" s="29" t="s">
        <v>551</v>
      </c>
      <c r="CY143" s="62"/>
      <c r="CZ143" s="29">
        <v>1</v>
      </c>
      <c r="DA143" s="29">
        <v>3</v>
      </c>
      <c r="DB143" s="29" t="s">
        <v>551</v>
      </c>
      <c r="DC143" s="62">
        <v>0.72</v>
      </c>
      <c r="DD143" s="29" t="s">
        <v>546</v>
      </c>
      <c r="DE143" s="29" t="s">
        <v>546</v>
      </c>
      <c r="DF143" s="29" t="s">
        <v>546</v>
      </c>
      <c r="DG143" s="29" t="s">
        <v>546</v>
      </c>
      <c r="DH143" s="29" t="s">
        <v>546</v>
      </c>
      <c r="DI143" s="29">
        <v>0</v>
      </c>
      <c r="DJ143" s="29">
        <v>3</v>
      </c>
      <c r="DK143" s="29" t="s">
        <v>1155</v>
      </c>
      <c r="DL143" s="29" t="s">
        <v>1156</v>
      </c>
      <c r="DM143" s="29">
        <v>-4.3064398765563965</v>
      </c>
      <c r="DN143" s="29">
        <v>35.873340606689453</v>
      </c>
      <c r="DO143" s="29">
        <v>1240.800048828125</v>
      </c>
      <c r="DP143" s="29">
        <v>5</v>
      </c>
      <c r="DQ143" s="29">
        <v>1705231439</v>
      </c>
      <c r="DR143" s="29" t="s">
        <v>1157</v>
      </c>
      <c r="DS143" s="31">
        <v>42893.595601851848</v>
      </c>
      <c r="DT143" s="31">
        <v>42892.56695601852</v>
      </c>
      <c r="DU143" s="31">
        <v>42892.581053240741</v>
      </c>
      <c r="DV143" s="32">
        <v>42775</v>
      </c>
      <c r="DX143" s="44">
        <v>2.7571144278606963</v>
      </c>
      <c r="DY143" s="44">
        <v>2.1418905472636816</v>
      </c>
      <c r="DZ143" s="44">
        <v>3.1985663082437279</v>
      </c>
      <c r="EA143" s="44">
        <v>2.7674551971326169</v>
      </c>
      <c r="EC143" s="29" t="str">
        <f>IF(EQ143&lt;EP143,"FALSEE",1)</f>
        <v>FALSEE</v>
      </c>
      <c r="EE143" s="29" t="s">
        <v>2171</v>
      </c>
      <c r="EF143" s="29">
        <v>2.5459241867100002</v>
      </c>
      <c r="EG143" s="29" t="str">
        <f>IF(EF143&lt;0.5,"Depression",IF(EF143&lt;2,"Very gentle",IF(EF143&lt;5,"Gentle",IF(EF143&lt;9,"Moderate",IF(EF143&lt;15,"Strong",IF(EF143&lt;30,"Steep",IF(EF143&lt;1,"Very steep")))))))</f>
        <v>Gentle</v>
      </c>
      <c r="EH143" s="29" t="s">
        <v>2173</v>
      </c>
      <c r="EI143" s="29">
        <v>8.4776775111099995E-6</v>
      </c>
      <c r="EJ143" s="43">
        <v>8.8782196044900008</v>
      </c>
      <c r="EK143" s="43">
        <f>VLOOKUP(D143,[1]SoilData!$G$15:$K$237,5,FALSE)</f>
        <v>264.55943926316434</v>
      </c>
      <c r="EL143" s="43">
        <f>VLOOKUP(D143,[1]SoilData!$G$245:$K$451,5,FALSE)</f>
        <v>194.57158275436652</v>
      </c>
      <c r="EM143" s="43">
        <f>VLOOKUP(D143,[1]SoilData!$G$15:$M$238,7,FALSE)</f>
        <v>1.2290000000000001</v>
      </c>
      <c r="EN143" s="43">
        <f>VLOOKUP(D143,[1]SoilData!$G$245:$M$454,7,FALSE)</f>
        <v>1.1599999999999999</v>
      </c>
      <c r="EO143" s="60">
        <f>EM143-EN143</f>
        <v>6.9000000000000172E-2</v>
      </c>
      <c r="EP143" s="44">
        <f>AVERAGE(DZ143:EA143)</f>
        <v>2.9830107526881724</v>
      </c>
      <c r="EQ143" s="44">
        <f>AVERAGE(DX143:DY143)</f>
        <v>2.4495024875621887</v>
      </c>
      <c r="ER143" s="43">
        <f>EQ143-EP143</f>
        <v>-0.5335082651259837</v>
      </c>
      <c r="ES143" s="64">
        <f>IF(CU143&gt;0.000001,CU143*352,0)</f>
        <v>1267.1999999999998</v>
      </c>
      <c r="ET143" s="64">
        <f>IF(DC143&gt;0.0001,DC143*682,0)</f>
        <v>491.03999999999996</v>
      </c>
      <c r="EU143" s="64">
        <f>CY143*795</f>
        <v>0</v>
      </c>
      <c r="EV143" s="64">
        <f>ES143+ET143+EU143</f>
        <v>1758.2399999999998</v>
      </c>
      <c r="EW143" s="64">
        <f>IF(AA143="YES",3.5*18.2,0)</f>
        <v>63.699999999999996</v>
      </c>
      <c r="EX143" s="64">
        <f>EV143-EW143</f>
        <v>1694.5399999999997</v>
      </c>
    </row>
    <row r="144" spans="1:154" ht="15" x14ac:dyDescent="0.2">
      <c r="A144" s="29" t="s">
        <v>556</v>
      </c>
      <c r="B144" s="29">
        <v>130</v>
      </c>
      <c r="C144" s="29" t="s">
        <v>178</v>
      </c>
      <c r="D144" s="29" t="s">
        <v>178</v>
      </c>
      <c r="E144" s="29" t="str">
        <f>VLOOKUP(D144,Harvest_2017_Formulae!$C$2:$D$968,2,FALSE)</f>
        <v>HALLU</v>
      </c>
      <c r="F144" s="29" t="s">
        <v>938</v>
      </c>
      <c r="G144" s="29">
        <v>0</v>
      </c>
      <c r="H144" s="61" t="str">
        <f>IF(G144&lt;0.05,"Homefield",IF(G144&lt;0.5,"Midfield","outfield"))</f>
        <v>Homefield</v>
      </c>
      <c r="I144" s="29" t="s">
        <v>557</v>
      </c>
      <c r="J144" s="61" t="s">
        <v>2233</v>
      </c>
      <c r="K144" s="61" t="s">
        <v>2233</v>
      </c>
      <c r="L144" s="67">
        <v>0</v>
      </c>
      <c r="O144" s="29" t="s">
        <v>547</v>
      </c>
      <c r="Q144" s="67">
        <v>0</v>
      </c>
      <c r="R144" s="29" t="s">
        <v>547</v>
      </c>
      <c r="U144" s="29" t="s">
        <v>547</v>
      </c>
      <c r="W144" s="29" t="s">
        <v>547</v>
      </c>
      <c r="Z144" s="29" t="s">
        <v>547</v>
      </c>
      <c r="AA144" s="61" t="s">
        <v>548</v>
      </c>
      <c r="AB144" s="29" t="s">
        <v>568</v>
      </c>
      <c r="AC144" s="67">
        <v>0</v>
      </c>
      <c r="AD144" s="29" t="s">
        <v>547</v>
      </c>
      <c r="AF144" s="29" t="s">
        <v>547</v>
      </c>
      <c r="AG144" s="29" t="s">
        <v>547</v>
      </c>
      <c r="AH144" s="29" t="s">
        <v>548</v>
      </c>
      <c r="AI144" s="29" t="s">
        <v>546</v>
      </c>
      <c r="AJ144" s="29" t="s">
        <v>547</v>
      </c>
      <c r="AK144" s="67">
        <v>0</v>
      </c>
      <c r="AL144" s="29" t="s">
        <v>547</v>
      </c>
      <c r="AO144" s="29" t="s">
        <v>547</v>
      </c>
      <c r="AP144" s="29" t="s">
        <v>547</v>
      </c>
      <c r="AQ144" s="4">
        <f>Q144+AK144</f>
        <v>0</v>
      </c>
      <c r="AR144" s="4">
        <f>L144+AC144</f>
        <v>0</v>
      </c>
      <c r="AS144" t="str">
        <f>AQ144&amp;AR144</f>
        <v>00</v>
      </c>
      <c r="AT144" s="49">
        <f>AQ144-AR144</f>
        <v>0</v>
      </c>
      <c r="AU144">
        <v>1</v>
      </c>
      <c r="AV144" s="29" t="s">
        <v>548</v>
      </c>
      <c r="AW144" s="29">
        <v>6</v>
      </c>
      <c r="AX144" s="29" t="s">
        <v>548</v>
      </c>
      <c r="AY144" s="29">
        <v>2</v>
      </c>
      <c r="AZ144" s="29">
        <v>14</v>
      </c>
      <c r="BA144" s="29" t="s">
        <v>546</v>
      </c>
      <c r="BB144" s="29" t="s">
        <v>547</v>
      </c>
      <c r="BD144" s="29">
        <f>AW144+AZ144</f>
        <v>20</v>
      </c>
      <c r="BE144" s="29">
        <f>BD144+BC144</f>
        <v>20</v>
      </c>
      <c r="BF144" s="29" t="s">
        <v>548</v>
      </c>
      <c r="BG144" s="29" t="s">
        <v>548</v>
      </c>
      <c r="BH144" s="29" t="s">
        <v>548</v>
      </c>
      <c r="BI144" s="29" t="s">
        <v>546</v>
      </c>
      <c r="BJ144" s="29" t="s">
        <v>546</v>
      </c>
      <c r="BK144" s="29" t="s">
        <v>546</v>
      </c>
      <c r="BL144" s="29">
        <v>20</v>
      </c>
      <c r="BM144" s="29" t="s">
        <v>549</v>
      </c>
      <c r="BN144" s="29">
        <v>15</v>
      </c>
      <c r="BO144" s="29" t="s">
        <v>549</v>
      </c>
      <c r="BP144" s="29">
        <v>10</v>
      </c>
      <c r="BQ144" s="29" t="s">
        <v>549</v>
      </c>
      <c r="BS144" s="29" t="s">
        <v>547</v>
      </c>
      <c r="BU144" s="29" t="s">
        <v>547</v>
      </c>
      <c r="BW144" s="29">
        <f>(BL144*1)+(BN144*0.1)+(BP144*0.01)+(BR144*0.1)+(BT144*0.3)+(BV144*0.4)</f>
        <v>21.6</v>
      </c>
      <c r="BX144" s="29" t="s">
        <v>2221</v>
      </c>
      <c r="BY144" s="29">
        <v>4</v>
      </c>
      <c r="BZ144" s="29">
        <v>2</v>
      </c>
      <c r="CA144" s="29">
        <v>6</v>
      </c>
      <c r="CB144" s="29">
        <v>12</v>
      </c>
      <c r="CC144" s="29">
        <v>1</v>
      </c>
      <c r="CD144" s="29">
        <v>0</v>
      </c>
      <c r="CE144" s="29">
        <v>0</v>
      </c>
      <c r="CF144" s="29" t="s">
        <v>547</v>
      </c>
      <c r="CG144" s="29">
        <f>(CC144*15)+(CD144*0.8)+(CE144*0.3)+((AW144+AZ144)*15)</f>
        <v>315</v>
      </c>
      <c r="CH144" s="29" t="s">
        <v>2221</v>
      </c>
      <c r="CI144" s="29">
        <f>(BL144*1)+(BN144*0.1)+(BP144*0.01)+(BR144*0.1)+(BT144*0.3)+(BV144*0.4)+(CC144*15)+(CD144*0.8)+(CE144*0.3)+((AW144+AZ144)*15)</f>
        <v>336.6</v>
      </c>
      <c r="CJ144" s="29" t="s">
        <v>548</v>
      </c>
      <c r="CK144" s="29" t="s">
        <v>960</v>
      </c>
      <c r="CL144" s="29" t="s">
        <v>548</v>
      </c>
      <c r="CM144" s="29" t="s">
        <v>550</v>
      </c>
      <c r="CN144" s="29">
        <v>0.25</v>
      </c>
      <c r="CO144" s="29">
        <v>0.75</v>
      </c>
      <c r="CQ144" s="29" t="s">
        <v>548</v>
      </c>
      <c r="CR144" s="29">
        <v>1</v>
      </c>
      <c r="CS144" s="29">
        <v>20</v>
      </c>
      <c r="CT144" s="29" t="s">
        <v>551</v>
      </c>
      <c r="CU144" s="30">
        <v>4.8</v>
      </c>
      <c r="CW144" s="29">
        <v>999</v>
      </c>
      <c r="CX144" s="29" t="s">
        <v>551</v>
      </c>
      <c r="CY144" s="62"/>
      <c r="CZ144" s="29">
        <v>1</v>
      </c>
      <c r="DA144" s="29">
        <v>4</v>
      </c>
      <c r="DB144" s="29" t="s">
        <v>551</v>
      </c>
      <c r="DC144" s="62">
        <v>0.96</v>
      </c>
      <c r="DD144" s="29" t="s">
        <v>546</v>
      </c>
      <c r="DE144" s="29" t="s">
        <v>548</v>
      </c>
      <c r="DF144" s="29" t="s">
        <v>546</v>
      </c>
      <c r="DG144" s="29" t="s">
        <v>546</v>
      </c>
      <c r="DH144" s="29" t="s">
        <v>546</v>
      </c>
      <c r="DI144" s="29">
        <v>1</v>
      </c>
      <c r="DJ144" s="29">
        <v>4</v>
      </c>
      <c r="DK144" s="29" t="s">
        <v>968</v>
      </c>
      <c r="DL144" s="29" t="s">
        <v>969</v>
      </c>
      <c r="DM144" s="29">
        <v>-4.2846708297729492</v>
      </c>
      <c r="DN144" s="29">
        <v>35.892807006835938</v>
      </c>
      <c r="DO144" s="29">
        <v>1226.4000244140625</v>
      </c>
      <c r="DP144" s="29">
        <v>5</v>
      </c>
      <c r="DQ144" s="29">
        <v>1706031849</v>
      </c>
      <c r="DR144" s="29" t="s">
        <v>970</v>
      </c>
      <c r="DS144" s="31">
        <v>42907.593043981484</v>
      </c>
      <c r="DT144" s="31">
        <v>42906.64875</v>
      </c>
      <c r="DU144" s="31">
        <v>42906.659699074073</v>
      </c>
      <c r="DV144" s="32">
        <v>42792</v>
      </c>
      <c r="DX144" s="44">
        <v>2.6685446009389673</v>
      </c>
      <c r="DY144" s="44">
        <v>4.5746478873239447</v>
      </c>
      <c r="DZ144" s="44">
        <v>5.4636689814814829</v>
      </c>
      <c r="EA144" s="44">
        <v>5.0394907407407414</v>
      </c>
      <c r="EC144" s="29" t="str">
        <f>IF(EQ144&lt;EP144,"FALSEE",1)</f>
        <v>FALSEE</v>
      </c>
      <c r="EE144" s="29" t="s">
        <v>2171</v>
      </c>
      <c r="EF144" s="29">
        <v>0.87375217676200001</v>
      </c>
      <c r="EG144" s="29" t="str">
        <f>IF(EF144&lt;0.5,"Depression",IF(EF144&lt;2,"Very gentle",IF(EF144&lt;5,"Gentle",IF(EF144&lt;9,"Moderate",IF(EF144&lt;15,"Strong",IF(EF144&lt;30,"Steep",IF(EF144&lt;1,"Very steep")))))))</f>
        <v>Very gentle</v>
      </c>
      <c r="EH144" s="29" t="s">
        <v>2173</v>
      </c>
      <c r="EI144" s="29">
        <v>-9.0633422136300004E-2</v>
      </c>
      <c r="EJ144" s="43">
        <v>10.7202291489</v>
      </c>
      <c r="EK144" s="43"/>
      <c r="EL144" s="43"/>
      <c r="EM144" s="43"/>
      <c r="EN144" s="43"/>
      <c r="EO144" s="60"/>
      <c r="EP144" s="44">
        <f>AVERAGE(DZ144:EA144)</f>
        <v>5.2515798611111126</v>
      </c>
      <c r="EQ144" s="44">
        <f>AVERAGE(DX144:DY144)</f>
        <v>3.6215962441314558</v>
      </c>
      <c r="ER144" s="43">
        <f>EQ144-EP144</f>
        <v>-1.6299836169796569</v>
      </c>
      <c r="ES144" s="64">
        <f>IF(CU144&gt;0.000001,CU144*352,0)</f>
        <v>1689.6</v>
      </c>
      <c r="ET144" s="64">
        <f>IF(DC144&gt;0.0001,DC144*682,0)</f>
        <v>654.72</v>
      </c>
      <c r="EU144" s="64">
        <f>CY144*795</f>
        <v>0</v>
      </c>
      <c r="EV144" s="64">
        <f>ES144+ET144+EU144</f>
        <v>2344.3199999999997</v>
      </c>
      <c r="EW144" s="64">
        <f>IF(AA144="YES",3.5*18.2,0)</f>
        <v>63.699999999999996</v>
      </c>
      <c r="EX144" s="64">
        <f>EV144-EW144</f>
        <v>2280.62</v>
      </c>
    </row>
    <row r="145" spans="1:154" ht="15" x14ac:dyDescent="0.2">
      <c r="A145" s="29" t="s">
        <v>789</v>
      </c>
      <c r="B145" s="29">
        <v>57</v>
      </c>
      <c r="C145" s="29" t="s">
        <v>367</v>
      </c>
      <c r="D145" s="29" t="s">
        <v>367</v>
      </c>
      <c r="E145" s="29" t="str">
        <f>VLOOKUP(D145,Harvest_2017_Formulae!$C$2:$D$968,2,FALSE)</f>
        <v>MANDI</v>
      </c>
      <c r="F145" s="29" t="s">
        <v>1014</v>
      </c>
      <c r="G145" s="29">
        <v>0</v>
      </c>
      <c r="H145" s="61" t="str">
        <f>IF(G145&lt;0.05,"Homefield",IF(G145&lt;0.5,"Midfield","outfield"))</f>
        <v>Homefield</v>
      </c>
      <c r="I145" s="29" t="s">
        <v>557</v>
      </c>
      <c r="J145" s="61" t="s">
        <v>2233</v>
      </c>
      <c r="K145" s="61" t="s">
        <v>2233</v>
      </c>
      <c r="L145" s="67">
        <v>0</v>
      </c>
      <c r="O145" s="29" t="s">
        <v>547</v>
      </c>
      <c r="Q145" s="67">
        <v>0</v>
      </c>
      <c r="R145" s="29" t="s">
        <v>547</v>
      </c>
      <c r="T145" s="29" t="s">
        <v>559</v>
      </c>
      <c r="U145" s="29" t="s">
        <v>560</v>
      </c>
      <c r="W145" s="29" t="s">
        <v>635</v>
      </c>
      <c r="Z145" s="29" t="s">
        <v>547</v>
      </c>
      <c r="AA145" s="61" t="s">
        <v>548</v>
      </c>
      <c r="AB145" s="29" t="s">
        <v>568</v>
      </c>
      <c r="AC145" s="67">
        <v>0</v>
      </c>
      <c r="AD145" s="29" t="s">
        <v>547</v>
      </c>
      <c r="AF145" s="29" t="s">
        <v>547</v>
      </c>
      <c r="AG145" s="29" t="s">
        <v>547</v>
      </c>
      <c r="AH145" s="29" t="s">
        <v>548</v>
      </c>
      <c r="AI145" s="29" t="s">
        <v>546</v>
      </c>
      <c r="AK145" s="67">
        <v>0</v>
      </c>
      <c r="AL145" s="29" t="s">
        <v>547</v>
      </c>
      <c r="AO145" s="29" t="s">
        <v>547</v>
      </c>
      <c r="AP145" s="29" t="s">
        <v>547</v>
      </c>
      <c r="AQ145" s="4">
        <f>Q145+AK145</f>
        <v>0</v>
      </c>
      <c r="AR145" s="4">
        <f>L145+AC145</f>
        <v>0</v>
      </c>
      <c r="AS145" t="str">
        <f>AQ145&amp;AR145</f>
        <v>00</v>
      </c>
      <c r="AT145" s="49">
        <f>AQ145-AR145</f>
        <v>0</v>
      </c>
      <c r="AU145">
        <v>1</v>
      </c>
      <c r="AV145" s="29" t="s">
        <v>548</v>
      </c>
      <c r="AW145" s="29">
        <v>0.5</v>
      </c>
      <c r="AX145" s="29" t="s">
        <v>548</v>
      </c>
      <c r="AY145" s="29">
        <v>2</v>
      </c>
      <c r="AZ145" s="29">
        <v>4</v>
      </c>
      <c r="BA145" s="29" t="s">
        <v>548</v>
      </c>
      <c r="BB145" s="29" t="s">
        <v>569</v>
      </c>
      <c r="BC145" s="29">
        <v>6.75</v>
      </c>
      <c r="BD145" s="29">
        <f>AW145+AZ145</f>
        <v>4.5</v>
      </c>
      <c r="BE145" s="29">
        <f>BD145+BC145</f>
        <v>11.25</v>
      </c>
      <c r="BF145" s="29" t="s">
        <v>548</v>
      </c>
      <c r="BG145" s="29" t="s">
        <v>548</v>
      </c>
      <c r="BH145" s="29" t="s">
        <v>548</v>
      </c>
      <c r="BI145" s="29" t="s">
        <v>548</v>
      </c>
      <c r="BJ145" s="29" t="s">
        <v>548</v>
      </c>
      <c r="BK145" s="29" t="s">
        <v>546</v>
      </c>
      <c r="BL145" s="29">
        <v>20</v>
      </c>
      <c r="BM145" s="29" t="s">
        <v>580</v>
      </c>
      <c r="BN145" s="29">
        <v>10</v>
      </c>
      <c r="BO145" s="29" t="s">
        <v>580</v>
      </c>
      <c r="BP145" s="29">
        <v>5</v>
      </c>
      <c r="BQ145" s="29" t="s">
        <v>580</v>
      </c>
      <c r="BR145" s="29">
        <v>5</v>
      </c>
      <c r="BS145" s="29" t="s">
        <v>580</v>
      </c>
      <c r="BT145" s="29">
        <v>4</v>
      </c>
      <c r="BU145" s="29" t="s">
        <v>562</v>
      </c>
      <c r="BW145" s="29">
        <f>(BL145*1)+(BN145*0.1)+(BP145*0.01)+(BR145*0.1)+(BT145*0.3)+(BV145*0.4)</f>
        <v>22.75</v>
      </c>
      <c r="BX145" s="29" t="s">
        <v>2221</v>
      </c>
      <c r="BY145" s="29">
        <v>3</v>
      </c>
      <c r="BZ145" s="29">
        <v>3</v>
      </c>
      <c r="CA145" s="29">
        <v>3</v>
      </c>
      <c r="CB145" s="29">
        <v>9</v>
      </c>
      <c r="CC145" s="29">
        <v>0</v>
      </c>
      <c r="CD145" s="29">
        <v>1</v>
      </c>
      <c r="CE145" s="29">
        <v>1</v>
      </c>
      <c r="CG145" s="29">
        <f>(CC145*15)+(CD145*0.8)+(CE145*0.3)+((AW145+AZ145)*15)</f>
        <v>68.599999999999994</v>
      </c>
      <c r="CH145" s="29" t="s">
        <v>2221</v>
      </c>
      <c r="CI145" s="29">
        <f>(BL145*1)+(BN145*0.1)+(BP145*0.01)+(BR145*0.1)+(BT145*0.3)+(BV145*0.4)+(CC145*15)+(CD145*0.8)+(CE145*0.3)+((AW145+AZ145)*15)</f>
        <v>91.35</v>
      </c>
      <c r="CJ145" s="29" t="s">
        <v>548</v>
      </c>
      <c r="CK145" s="29" t="s">
        <v>797</v>
      </c>
      <c r="CL145" s="29" t="s">
        <v>548</v>
      </c>
      <c r="CM145" s="29" t="s">
        <v>793</v>
      </c>
      <c r="CN145" s="29">
        <v>0.25</v>
      </c>
      <c r="CO145" s="29">
        <v>5.75</v>
      </c>
      <c r="CP145" s="29">
        <v>0</v>
      </c>
      <c r="CQ145" s="29" t="s">
        <v>548</v>
      </c>
      <c r="CR145" s="29">
        <v>1</v>
      </c>
      <c r="CS145" s="29">
        <v>24</v>
      </c>
      <c r="CT145" s="29" t="s">
        <v>551</v>
      </c>
      <c r="CU145" s="30">
        <v>5.7600000000000007</v>
      </c>
      <c r="CV145" s="29">
        <v>1</v>
      </c>
      <c r="CW145" s="29">
        <v>2</v>
      </c>
      <c r="CX145" s="29" t="s">
        <v>551</v>
      </c>
      <c r="CY145" s="62">
        <v>0.48</v>
      </c>
      <c r="DA145" s="29">
        <v>999</v>
      </c>
      <c r="DB145" s="29" t="s">
        <v>551</v>
      </c>
      <c r="DC145" s="62"/>
      <c r="DD145" s="29" t="s">
        <v>546</v>
      </c>
      <c r="DE145" s="29" t="s">
        <v>548</v>
      </c>
      <c r="DF145" s="29" t="s">
        <v>546</v>
      </c>
      <c r="DG145" s="29" t="s">
        <v>548</v>
      </c>
      <c r="DH145" s="29" t="s">
        <v>546</v>
      </c>
      <c r="DI145" s="29">
        <v>2</v>
      </c>
      <c r="DJ145" s="29">
        <v>3</v>
      </c>
      <c r="DK145" s="29" t="s">
        <v>1081</v>
      </c>
      <c r="DL145" s="29" t="s">
        <v>1082</v>
      </c>
      <c r="DM145" s="29">
        <v>-4.3272275924682617</v>
      </c>
      <c r="DN145" s="29">
        <v>35.441505432128906</v>
      </c>
      <c r="DO145" s="29">
        <v>1555.800048828125</v>
      </c>
      <c r="DP145" s="29">
        <v>5</v>
      </c>
      <c r="DQ145" s="29">
        <v>1705231439</v>
      </c>
      <c r="DR145" s="29" t="s">
        <v>1083</v>
      </c>
      <c r="DS145" s="31">
        <v>42923.38180555556</v>
      </c>
      <c r="DT145" s="31">
        <v>42908.595023148147</v>
      </c>
      <c r="DU145" s="31">
        <v>42908.607164351852</v>
      </c>
      <c r="DV145" s="32">
        <v>42768</v>
      </c>
      <c r="DX145" s="44">
        <v>7.4814814814814827</v>
      </c>
      <c r="DY145" s="44">
        <v>5.7607407407407418</v>
      </c>
      <c r="DZ145" s="44">
        <v>3.2966666666666664</v>
      </c>
      <c r="EA145" s="44">
        <v>5.6733333333333338</v>
      </c>
      <c r="EC145" s="29">
        <f>IF(EQ145&lt;EP145,"FALSEE",1)</f>
        <v>1</v>
      </c>
      <c r="EE145" s="29" t="s">
        <v>2171</v>
      </c>
      <c r="EF145" s="29">
        <v>0</v>
      </c>
      <c r="EG145" s="29" t="str">
        <f>IF(EF145&lt;0.5,"Depression",IF(EF145&lt;2,"Very gentle",IF(EF145&lt;5,"Gentle",IF(EF145&lt;9,"Moderate",IF(EF145&lt;15,"Strong",IF(EF145&lt;30,"Steep",IF(EF145&lt;1,"Very steep")))))))</f>
        <v>Depression</v>
      </c>
      <c r="EH145" s="29" t="s">
        <v>2173</v>
      </c>
      <c r="EI145" s="29">
        <v>8.4776775111099995E-6</v>
      </c>
      <c r="EJ145" s="43">
        <v>11.4374370575</v>
      </c>
      <c r="EK145" s="43">
        <f>VLOOKUP(D145,[1]SoilData!$G$15:$K$237,5,FALSE)</f>
        <v>256.84934752251172</v>
      </c>
      <c r="EL145" s="43">
        <f>VLOOKUP(D145,[1]SoilData!$G$245:$K$451,5,FALSE)</f>
        <v>595.20000000000016</v>
      </c>
      <c r="EM145" s="43">
        <f>VLOOKUP(D145,[1]SoilData!$G$15:$M$238,7,FALSE)</f>
        <v>1.532</v>
      </c>
      <c r="EN145" s="43">
        <f>VLOOKUP(D145,[1]SoilData!$G$245:$M$454,7,FALSE)</f>
        <v>1.1279999999999999</v>
      </c>
      <c r="EO145" s="60">
        <f>EM145-EN145</f>
        <v>0.40400000000000014</v>
      </c>
      <c r="EP145" s="44">
        <f>AVERAGE(DZ145:EA145)</f>
        <v>4.4850000000000003</v>
      </c>
      <c r="EQ145" s="44">
        <f>AVERAGE(DX145:DY145)</f>
        <v>6.6211111111111123</v>
      </c>
      <c r="ER145" s="43">
        <f>EQ145-EP145</f>
        <v>2.136111111111112</v>
      </c>
      <c r="ES145" s="64">
        <f>IF(CU145&gt;0.000001,CU145*352,0)</f>
        <v>2027.5200000000002</v>
      </c>
      <c r="ET145" s="64">
        <f>IF(DC145&gt;0.0001,DC145*682,0)</f>
        <v>0</v>
      </c>
      <c r="EU145" s="64">
        <f>CY145*795</f>
        <v>381.59999999999997</v>
      </c>
      <c r="EV145" s="64">
        <f>ES145+ET145+EU145</f>
        <v>2409.1200000000003</v>
      </c>
      <c r="EW145" s="64">
        <f>IF(AA145="YES",3.5*18.2,0)</f>
        <v>63.699999999999996</v>
      </c>
      <c r="EX145" s="64">
        <f>EV145-EW145</f>
        <v>2345.4200000000005</v>
      </c>
    </row>
    <row r="146" spans="1:154" ht="15" x14ac:dyDescent="0.2">
      <c r="A146" s="29" t="s">
        <v>556</v>
      </c>
      <c r="B146" s="29">
        <v>185</v>
      </c>
      <c r="C146" s="29" t="s">
        <v>110</v>
      </c>
      <c r="D146" s="29" t="s">
        <v>110</v>
      </c>
      <c r="E146" s="29" t="str">
        <f>VLOOKUP(D146,Harvest_2017_Formulae!$C$2:$D$968,2,FALSE)</f>
        <v>DURU</v>
      </c>
      <c r="F146" s="29" t="s">
        <v>645</v>
      </c>
      <c r="G146" s="29">
        <v>0</v>
      </c>
      <c r="H146" s="61" t="str">
        <f>IF(G146&lt;0.05,"Homefield",IF(G146&lt;0.5,"Midfield","outfield"))</f>
        <v>Homefield</v>
      </c>
      <c r="I146" s="29" t="s">
        <v>557</v>
      </c>
      <c r="J146" s="61" t="s">
        <v>2233</v>
      </c>
      <c r="K146" s="61" t="s">
        <v>2233</v>
      </c>
      <c r="L146" s="67">
        <v>0</v>
      </c>
      <c r="O146" s="29" t="s">
        <v>547</v>
      </c>
      <c r="Q146" s="67">
        <v>0</v>
      </c>
      <c r="R146" s="29" t="s">
        <v>547</v>
      </c>
      <c r="U146" s="29" t="s">
        <v>547</v>
      </c>
      <c r="W146" s="29" t="s">
        <v>547</v>
      </c>
      <c r="Z146" s="29" t="s">
        <v>547</v>
      </c>
      <c r="AA146" s="61" t="s">
        <v>546</v>
      </c>
      <c r="AB146" s="29" t="s">
        <v>547</v>
      </c>
      <c r="AC146" s="67">
        <v>0</v>
      </c>
      <c r="AD146" s="29" t="s">
        <v>547</v>
      </c>
      <c r="AF146" s="29" t="s">
        <v>547</v>
      </c>
      <c r="AG146" s="29" t="s">
        <v>547</v>
      </c>
      <c r="AH146" s="29" t="s">
        <v>546</v>
      </c>
      <c r="AI146" s="29" t="s">
        <v>546</v>
      </c>
      <c r="AJ146" s="29" t="s">
        <v>547</v>
      </c>
      <c r="AK146" s="67">
        <v>0</v>
      </c>
      <c r="AL146" s="29" t="s">
        <v>547</v>
      </c>
      <c r="AO146" s="29" t="s">
        <v>547</v>
      </c>
      <c r="AP146" s="29" t="s">
        <v>547</v>
      </c>
      <c r="AQ146" s="4">
        <f>Q146+AK146</f>
        <v>0</v>
      </c>
      <c r="AR146" s="4">
        <f>L146+AC146</f>
        <v>0</v>
      </c>
      <c r="AS146" t="str">
        <f>AQ146&amp;AR146</f>
        <v>00</v>
      </c>
      <c r="AT146" s="49">
        <f>AQ146-AR146</f>
        <v>0</v>
      </c>
      <c r="AU146">
        <v>1</v>
      </c>
      <c r="AV146" s="29" t="s">
        <v>548</v>
      </c>
      <c r="AW146" s="29">
        <v>4</v>
      </c>
      <c r="AX146" s="29" t="s">
        <v>548</v>
      </c>
      <c r="AY146" s="29">
        <v>2</v>
      </c>
      <c r="AZ146" s="29">
        <v>12</v>
      </c>
      <c r="BA146" s="29" t="s">
        <v>548</v>
      </c>
      <c r="BB146" s="29" t="s">
        <v>569</v>
      </c>
      <c r="BC146" s="29">
        <v>1.75</v>
      </c>
      <c r="BD146" s="29">
        <f>AW146+AZ146</f>
        <v>16</v>
      </c>
      <c r="BE146" s="29">
        <f>BD146+BC146</f>
        <v>17.75</v>
      </c>
      <c r="BF146" s="29" t="s">
        <v>548</v>
      </c>
      <c r="BG146" s="29" t="s">
        <v>548</v>
      </c>
      <c r="BH146" s="29" t="s">
        <v>548</v>
      </c>
      <c r="BI146" s="29" t="s">
        <v>548</v>
      </c>
      <c r="BJ146" s="29" t="s">
        <v>546</v>
      </c>
      <c r="BK146" s="29" t="s">
        <v>546</v>
      </c>
      <c r="BL146" s="29">
        <v>30</v>
      </c>
      <c r="BM146" s="29" t="s">
        <v>549</v>
      </c>
      <c r="BN146" s="29">
        <v>6</v>
      </c>
      <c r="BO146" s="29" t="s">
        <v>549</v>
      </c>
      <c r="BP146" s="29">
        <v>5</v>
      </c>
      <c r="BQ146" s="29" t="s">
        <v>549</v>
      </c>
      <c r="BR146" s="29">
        <v>15</v>
      </c>
      <c r="BS146" s="29" t="s">
        <v>549</v>
      </c>
      <c r="BU146" s="29" t="s">
        <v>547</v>
      </c>
      <c r="BW146" s="29">
        <f>(BL146*1)+(BN146*0.1)+(BP146*0.01)+(BR146*0.1)+(BT146*0.3)+(BV146*0.4)</f>
        <v>32.150000000000006</v>
      </c>
      <c r="BX146" s="29" t="s">
        <v>2221</v>
      </c>
      <c r="BY146" s="29">
        <v>1</v>
      </c>
      <c r="BZ146" s="29">
        <v>2</v>
      </c>
      <c r="CA146" s="29">
        <v>2</v>
      </c>
      <c r="CB146" s="29">
        <v>5</v>
      </c>
      <c r="CC146" s="29">
        <v>0</v>
      </c>
      <c r="CD146" s="29">
        <v>1</v>
      </c>
      <c r="CE146" s="29">
        <v>2</v>
      </c>
      <c r="CF146" s="29" t="s">
        <v>547</v>
      </c>
      <c r="CG146" s="29">
        <f>(CC146*15)+(CD146*0.8)+(CE146*0.3)+((AW146+AZ146)*15)</f>
        <v>241.4</v>
      </c>
      <c r="CH146" s="29" t="s">
        <v>2221</v>
      </c>
      <c r="CI146" s="29">
        <f>(BL146*1)+(BN146*0.1)+(BP146*0.01)+(BR146*0.1)+(BT146*0.3)+(BV146*0.4)+(CC146*15)+(CD146*0.8)+(CE146*0.3)+((AW146+AZ146)*15)</f>
        <v>273.55</v>
      </c>
      <c r="CJ146" s="29" t="s">
        <v>546</v>
      </c>
      <c r="CK146" s="29" t="s">
        <v>547</v>
      </c>
      <c r="CL146" s="29" t="s">
        <v>548</v>
      </c>
      <c r="CM146" s="29" t="s">
        <v>550</v>
      </c>
      <c r="CN146" s="29">
        <v>1</v>
      </c>
      <c r="CO146" s="29">
        <v>1.75</v>
      </c>
      <c r="CQ146" s="29" t="s">
        <v>548</v>
      </c>
      <c r="CR146" s="29">
        <v>1</v>
      </c>
      <c r="CS146" s="29">
        <v>15</v>
      </c>
      <c r="CT146" s="29" t="s">
        <v>551</v>
      </c>
      <c r="CU146" s="30">
        <v>3.5999999999999996</v>
      </c>
      <c r="CW146" s="29">
        <v>999</v>
      </c>
      <c r="CX146" s="29" t="s">
        <v>551</v>
      </c>
      <c r="CY146" s="62"/>
      <c r="CZ146" s="29">
        <v>1</v>
      </c>
      <c r="DA146" s="29">
        <v>5</v>
      </c>
      <c r="DB146" s="29" t="s">
        <v>551</v>
      </c>
      <c r="DC146" s="62">
        <v>1.2</v>
      </c>
      <c r="DD146" s="29" t="s">
        <v>546</v>
      </c>
      <c r="DE146" s="29" t="s">
        <v>546</v>
      </c>
      <c r="DF146" s="29" t="s">
        <v>546</v>
      </c>
      <c r="DG146" s="29" t="s">
        <v>546</v>
      </c>
      <c r="DH146" s="29" t="s">
        <v>546</v>
      </c>
      <c r="DI146" s="29">
        <v>0</v>
      </c>
      <c r="DJ146" s="29">
        <v>4</v>
      </c>
      <c r="DK146" s="29" t="s">
        <v>705</v>
      </c>
      <c r="DL146" s="29" t="s">
        <v>706</v>
      </c>
      <c r="DM146" s="29">
        <v>-4.3386101722717285</v>
      </c>
      <c r="DN146" s="29">
        <v>35.597995758056641</v>
      </c>
      <c r="DO146" s="29">
        <v>1525.4000244140625</v>
      </c>
      <c r="DP146" s="29">
        <v>5</v>
      </c>
      <c r="DQ146" s="29">
        <v>1706031849</v>
      </c>
      <c r="DR146" s="29" t="s">
        <v>707</v>
      </c>
      <c r="DS146" s="31">
        <v>42926.575983796298</v>
      </c>
      <c r="DT146" s="31">
        <v>42921.667453703703</v>
      </c>
      <c r="DU146" s="31">
        <v>42921.690023148149</v>
      </c>
      <c r="DV146" s="32">
        <v>42777</v>
      </c>
      <c r="DX146" s="44">
        <v>15.238347107438019</v>
      </c>
      <c r="DY146" s="44">
        <v>8.674931129476585</v>
      </c>
      <c r="DZ146" s="44">
        <v>7.1371874999999996</v>
      </c>
      <c r="EA146" s="44">
        <v>6.8568749999999996</v>
      </c>
      <c r="EC146" s="29">
        <f>IF(EQ146&lt;EP146,"FALSEE",1)</f>
        <v>1</v>
      </c>
      <c r="EE146" s="29" t="s">
        <v>2171</v>
      </c>
      <c r="EF146" s="29">
        <v>4.2950010299699999</v>
      </c>
      <c r="EG146" s="29" t="str">
        <f>IF(EF146&lt;0.5,"Depression",IF(EF146&lt;2,"Very gentle",IF(EF146&lt;5,"Gentle",IF(EF146&lt;9,"Moderate",IF(EF146&lt;15,"Strong",IF(EF146&lt;30,"Steep",IF(EF146&lt;1,"Very steep")))))))</f>
        <v>Gentle</v>
      </c>
      <c r="EH146" s="29" t="s">
        <v>2173</v>
      </c>
      <c r="EI146" s="29">
        <v>-0.362559139729</v>
      </c>
      <c r="EJ146" s="43">
        <v>9.4648399353000006</v>
      </c>
      <c r="EK146" s="43">
        <f>VLOOKUP(D146,[1]SoilData!$G$15:$K$237,5,FALSE)</f>
        <v>289.32308736273313</v>
      </c>
      <c r="EL146" s="43">
        <f>VLOOKUP(D146,[1]SoilData!$G$245:$K$451,5,FALSE)</f>
        <v>231.51518964681441</v>
      </c>
      <c r="EM146" s="43">
        <f>VLOOKUP(D146,[1]SoilData!$G$15:$M$238,7,FALSE)</f>
        <v>1.0009999999999999</v>
      </c>
      <c r="EN146" s="43">
        <f>VLOOKUP(D146,[1]SoilData!$G$245:$M$454,7,FALSE)</f>
        <v>0.91</v>
      </c>
      <c r="EO146" s="60">
        <f>EM146-EN146</f>
        <v>9.0999999999999859E-2</v>
      </c>
      <c r="EP146" s="44">
        <f>AVERAGE(DZ146:EA146)</f>
        <v>6.9970312499999991</v>
      </c>
      <c r="EQ146" s="44">
        <f>AVERAGE(DX146:DY146)</f>
        <v>11.956639118457302</v>
      </c>
      <c r="ER146" s="43">
        <f>EQ146-EP146</f>
        <v>4.9596078684573026</v>
      </c>
      <c r="ES146" s="64">
        <f>IF(CU146&gt;0.000001,CU146*352,0)</f>
        <v>1267.1999999999998</v>
      </c>
      <c r="ET146" s="64">
        <f>IF(DC146&gt;0.0001,DC146*682,0)</f>
        <v>818.4</v>
      </c>
      <c r="EU146" s="64">
        <f>CY146*795</f>
        <v>0</v>
      </c>
      <c r="EV146" s="64">
        <f>ES146+ET146+EU146</f>
        <v>2085.6</v>
      </c>
      <c r="EW146" s="64">
        <f>IF(AA146="YES",3.5*18.2,0)</f>
        <v>0</v>
      </c>
      <c r="EX146" s="64">
        <f>EV146-EW146</f>
        <v>2085.6</v>
      </c>
    </row>
    <row r="147" spans="1:154" ht="15" x14ac:dyDescent="0.2">
      <c r="A147" s="29" t="s">
        <v>556</v>
      </c>
      <c r="B147" s="29">
        <v>190</v>
      </c>
      <c r="C147" s="29" t="s">
        <v>152</v>
      </c>
      <c r="D147" s="29" t="s">
        <v>152</v>
      </c>
      <c r="E147" s="29" t="str">
        <f>VLOOKUP(D147,Harvest_2017_Formulae!$C$2:$D$968,2,FALSE)</f>
        <v>ENDANOGA</v>
      </c>
      <c r="F147" s="29" t="s">
        <v>843</v>
      </c>
      <c r="G147" s="29">
        <v>0</v>
      </c>
      <c r="H147" s="61" t="str">
        <f>IF(G147&lt;0.05,"Homefield",IF(G147&lt;0.5,"Midfield","outfield"))</f>
        <v>Homefield</v>
      </c>
      <c r="I147" s="29" t="s">
        <v>557</v>
      </c>
      <c r="J147" s="61" t="s">
        <v>2234</v>
      </c>
      <c r="K147" s="61" t="s">
        <v>2234</v>
      </c>
      <c r="L147" s="67">
        <v>0</v>
      </c>
      <c r="O147" s="29" t="s">
        <v>547</v>
      </c>
      <c r="Q147" s="67">
        <v>0</v>
      </c>
      <c r="R147" s="29" t="s">
        <v>547</v>
      </c>
      <c r="U147" s="29" t="s">
        <v>547</v>
      </c>
      <c r="W147" s="29" t="s">
        <v>547</v>
      </c>
      <c r="Z147" s="29" t="s">
        <v>547</v>
      </c>
      <c r="AA147" s="61" t="s">
        <v>548</v>
      </c>
      <c r="AB147" s="29" t="s">
        <v>568</v>
      </c>
      <c r="AC147" s="67">
        <v>0</v>
      </c>
      <c r="AD147" s="29" t="s">
        <v>547</v>
      </c>
      <c r="AF147" s="29" t="s">
        <v>547</v>
      </c>
      <c r="AG147" s="29" t="s">
        <v>547</v>
      </c>
      <c r="AH147" s="29" t="s">
        <v>548</v>
      </c>
      <c r="AI147" s="29" t="s">
        <v>546</v>
      </c>
      <c r="AJ147" s="29" t="s">
        <v>547</v>
      </c>
      <c r="AK147" s="67">
        <v>0</v>
      </c>
      <c r="AL147" s="29" t="s">
        <v>547</v>
      </c>
      <c r="AO147" s="29" t="s">
        <v>547</v>
      </c>
      <c r="AP147" s="29" t="s">
        <v>547</v>
      </c>
      <c r="AQ147" s="4">
        <f>Q147+AK147</f>
        <v>0</v>
      </c>
      <c r="AR147" s="4">
        <f>L147+AC147</f>
        <v>0</v>
      </c>
      <c r="AS147" t="str">
        <f>AQ147&amp;AR147</f>
        <v>00</v>
      </c>
      <c r="AT147" s="49">
        <f>AQ147-AR147</f>
        <v>0</v>
      </c>
      <c r="AU147">
        <v>1</v>
      </c>
      <c r="AV147" s="29" t="s">
        <v>548</v>
      </c>
      <c r="AW147" s="29">
        <v>0.25</v>
      </c>
      <c r="AX147" s="29" t="s">
        <v>548</v>
      </c>
      <c r="AY147" s="29">
        <v>5</v>
      </c>
      <c r="AZ147" s="29">
        <v>9.75</v>
      </c>
      <c r="BA147" s="29" t="s">
        <v>546</v>
      </c>
      <c r="BB147" s="29" t="s">
        <v>547</v>
      </c>
      <c r="BD147" s="29">
        <f>AW147+AZ147</f>
        <v>10</v>
      </c>
      <c r="BE147" s="29">
        <f>BD147+BC147</f>
        <v>10</v>
      </c>
      <c r="BF147" s="29" t="s">
        <v>548</v>
      </c>
      <c r="BG147" s="29" t="s">
        <v>548</v>
      </c>
      <c r="BH147" s="29" t="s">
        <v>548</v>
      </c>
      <c r="BI147" s="29" t="s">
        <v>548</v>
      </c>
      <c r="BJ147" s="29" t="s">
        <v>546</v>
      </c>
      <c r="BK147" s="29" t="s">
        <v>546</v>
      </c>
      <c r="BL147" s="29">
        <v>30</v>
      </c>
      <c r="BM147" s="29" t="s">
        <v>580</v>
      </c>
      <c r="BN147" s="29">
        <v>18</v>
      </c>
      <c r="BO147" s="29" t="s">
        <v>580</v>
      </c>
      <c r="BP147" s="29">
        <v>10</v>
      </c>
      <c r="BQ147" s="29" t="s">
        <v>580</v>
      </c>
      <c r="BR147" s="29">
        <v>15</v>
      </c>
      <c r="BS147" s="29" t="s">
        <v>580</v>
      </c>
      <c r="BU147" s="29" t="s">
        <v>547</v>
      </c>
      <c r="BW147" s="29">
        <f>(BL147*1)+(BN147*0.1)+(BP147*0.01)+(BR147*0.1)+(BT147*0.3)+(BV147*0.4)</f>
        <v>33.400000000000006</v>
      </c>
      <c r="BX147" s="29" t="s">
        <v>2221</v>
      </c>
      <c r="BY147" s="29">
        <v>3</v>
      </c>
      <c r="BZ147" s="29">
        <v>2</v>
      </c>
      <c r="CA147" s="29">
        <v>5</v>
      </c>
      <c r="CB147" s="29">
        <v>10</v>
      </c>
      <c r="CC147" s="29">
        <v>0</v>
      </c>
      <c r="CD147" s="29">
        <v>0</v>
      </c>
      <c r="CE147" s="29">
        <v>0</v>
      </c>
      <c r="CF147" s="29" t="s">
        <v>547</v>
      </c>
      <c r="CG147" s="29">
        <f>(CC147*15)+(CD147*0.8)+(CE147*0.3)+((AW147+AZ147)*15)</f>
        <v>150</v>
      </c>
      <c r="CH147" s="29" t="s">
        <v>2221</v>
      </c>
      <c r="CI147" s="29">
        <f>(BL147*1)+(BN147*0.1)+(BP147*0.01)+(BR147*0.1)+(BT147*0.3)+(BV147*0.4)+(CC147*15)+(CD147*0.8)+(CE147*0.3)+((AW147+AZ147)*15)</f>
        <v>183.4</v>
      </c>
      <c r="CJ147" s="29" t="s">
        <v>546</v>
      </c>
      <c r="CK147" s="29" t="s">
        <v>547</v>
      </c>
      <c r="CL147" s="29" t="s">
        <v>546</v>
      </c>
      <c r="CM147" s="29" t="s">
        <v>547</v>
      </c>
      <c r="CN147" s="29">
        <v>0.25</v>
      </c>
      <c r="CO147" s="29">
        <v>0.75</v>
      </c>
      <c r="CQ147" s="29" t="s">
        <v>548</v>
      </c>
      <c r="CR147" s="29">
        <v>1</v>
      </c>
      <c r="CS147" s="29">
        <v>5</v>
      </c>
      <c r="CT147" s="29" t="s">
        <v>551</v>
      </c>
      <c r="CU147" s="30">
        <v>1.2</v>
      </c>
      <c r="CW147" s="29">
        <v>999</v>
      </c>
      <c r="CX147" s="29" t="s">
        <v>551</v>
      </c>
      <c r="CY147" s="62"/>
      <c r="CZ147" s="29">
        <v>1</v>
      </c>
      <c r="DA147" s="29">
        <v>1</v>
      </c>
      <c r="DB147" s="29" t="s">
        <v>552</v>
      </c>
      <c r="DC147" s="62">
        <v>4.0079999999999998E-2</v>
      </c>
      <c r="DD147" s="29" t="s">
        <v>546</v>
      </c>
      <c r="DE147" s="29" t="s">
        <v>548</v>
      </c>
      <c r="DF147" s="29" t="s">
        <v>546</v>
      </c>
      <c r="DG147" s="29" t="s">
        <v>546</v>
      </c>
      <c r="DH147" s="29" t="s">
        <v>546</v>
      </c>
      <c r="DI147" s="29">
        <v>1</v>
      </c>
      <c r="DJ147" s="29">
        <v>2</v>
      </c>
      <c r="DK147" s="29" t="s">
        <v>878</v>
      </c>
      <c r="DL147" s="29" t="s">
        <v>879</v>
      </c>
      <c r="DM147" s="29">
        <v>-4.2762656211853027</v>
      </c>
      <c r="DN147" s="29">
        <v>35.860355377197266</v>
      </c>
      <c r="DO147" s="29">
        <v>1305.5999755859375</v>
      </c>
      <c r="DP147" s="29">
        <v>5</v>
      </c>
      <c r="DQ147" s="29">
        <v>1706031849</v>
      </c>
      <c r="DR147" s="29" t="s">
        <v>880</v>
      </c>
      <c r="DS147" s="31">
        <v>42940.36005787037</v>
      </c>
      <c r="DT147" s="31">
        <v>42924.513749999998</v>
      </c>
      <c r="DU147" s="31">
        <v>42924.524479166663</v>
      </c>
      <c r="DV147" s="32">
        <v>42773</v>
      </c>
      <c r="DX147" s="44">
        <v>4.1295771878072776</v>
      </c>
      <c r="DY147" s="44">
        <v>6.4353195673549655</v>
      </c>
      <c r="DZ147" s="44">
        <v>2.0612544802867387</v>
      </c>
      <c r="EA147" s="44">
        <v>1.6285483870967743</v>
      </c>
      <c r="EC147" s="29">
        <f>IF(EQ147&lt;EP147,"FALSEE",1)</f>
        <v>1</v>
      </c>
      <c r="EE147" s="29" t="s">
        <v>2171</v>
      </c>
      <c r="EF147" s="29">
        <v>2.34390521049</v>
      </c>
      <c r="EG147" s="29" t="str">
        <f>IF(EF147&lt;0.5,"Depression",IF(EF147&lt;2,"Very gentle",IF(EF147&lt;5,"Gentle",IF(EF147&lt;9,"Moderate",IF(EF147&lt;15,"Strong",IF(EF147&lt;30,"Steep",IF(EF147&lt;1,"Very steep")))))))</f>
        <v>Gentle</v>
      </c>
      <c r="EH147" s="29" t="s">
        <v>2173</v>
      </c>
      <c r="EI147" s="29">
        <v>-0.18127532303300001</v>
      </c>
      <c r="EJ147" s="43">
        <v>10.0238084793</v>
      </c>
      <c r="EK147" s="43">
        <f>VLOOKUP(D147,[1]SoilData!$G$15:$K$238,5,FALSE)</f>
        <v>95.470797118604068</v>
      </c>
      <c r="EL147" s="43">
        <f>VLOOKUP(D147,[1]SoilData!$G$245:$K$462,5,FALSE)</f>
        <v>16.867745378028236</v>
      </c>
      <c r="EM147" s="43">
        <f>VLOOKUP(D147,[1]SoilData!$G$15:$M$238,7,FALSE)</f>
        <v>0.56200000000000006</v>
      </c>
      <c r="EN147" s="43">
        <f>VLOOKUP(D147,[1]SoilData!$G$245:$M$454,7,FALSE)</f>
        <v>0.57399999999999995</v>
      </c>
      <c r="EO147" s="60">
        <f>EM147-EN147</f>
        <v>-1.19999999999999E-2</v>
      </c>
      <c r="EP147" s="44">
        <f>AVERAGE(DZ147:EA147)</f>
        <v>1.8449014336917564</v>
      </c>
      <c r="EQ147" s="44">
        <f>AVERAGE(DX147:DY147)</f>
        <v>5.2824483775811215</v>
      </c>
      <c r="ER147" s="43">
        <f>EQ147-EP147</f>
        <v>3.4375469438893651</v>
      </c>
      <c r="ES147" s="64">
        <f>IF(CU147&gt;0.000001,CU147*352,0)</f>
        <v>422.4</v>
      </c>
      <c r="ET147" s="64">
        <f>IF(DC147&gt;0.0001,DC147*682,0)</f>
        <v>27.33456</v>
      </c>
      <c r="EU147" s="64">
        <f>CY147*795</f>
        <v>0</v>
      </c>
      <c r="EV147" s="64">
        <f>ES147+ET147+EU147</f>
        <v>449.73455999999999</v>
      </c>
      <c r="EW147" s="64">
        <f>IF(AA147="YES",3.5*18.2,0)</f>
        <v>63.699999999999996</v>
      </c>
      <c r="EX147" s="64">
        <f>EV147-EW147</f>
        <v>386.03456</v>
      </c>
    </row>
    <row r="148" spans="1:154" ht="15" x14ac:dyDescent="0.2">
      <c r="A148" s="57" t="s">
        <v>1433</v>
      </c>
      <c r="B148" s="57">
        <v>241</v>
      </c>
      <c r="C148" s="57" t="s">
        <v>1434</v>
      </c>
      <c r="D148" s="57" t="s">
        <v>547</v>
      </c>
      <c r="E148" s="57" t="e">
        <f>VLOOKUP(D148,Harvest_2017_Formulae!$C$2:$D$968,2,FALSE)</f>
        <v>#N/A</v>
      </c>
      <c r="F148" s="57" t="s">
        <v>843</v>
      </c>
      <c r="G148" s="57">
        <v>2</v>
      </c>
      <c r="H148" s="61" t="str">
        <f>IF(G148&lt;0.05,"Homefield",IF(G148&lt;0.5,"Midfield","outfield"))</f>
        <v>outfield</v>
      </c>
      <c r="I148" s="57" t="s">
        <v>1435</v>
      </c>
      <c r="J148" s="61" t="s">
        <v>545</v>
      </c>
      <c r="K148" s="61" t="s">
        <v>2234</v>
      </c>
      <c r="L148" s="67">
        <v>1</v>
      </c>
      <c r="M148" s="57">
        <v>4</v>
      </c>
      <c r="N148" s="57"/>
      <c r="O148" s="57" t="s">
        <v>567</v>
      </c>
      <c r="P148" s="57">
        <v>1</v>
      </c>
      <c r="Q148" s="67">
        <v>1</v>
      </c>
      <c r="R148" s="57" t="s">
        <v>558</v>
      </c>
      <c r="S148" s="57">
        <v>4</v>
      </c>
      <c r="T148" s="57" t="s">
        <v>559</v>
      </c>
      <c r="U148" s="57" t="s">
        <v>1192</v>
      </c>
      <c r="V148" s="57"/>
      <c r="W148" s="57" t="s">
        <v>561</v>
      </c>
      <c r="X148" s="57"/>
      <c r="Y148" s="57"/>
      <c r="Z148" s="57" t="s">
        <v>547</v>
      </c>
      <c r="AA148" s="61" t="s">
        <v>548</v>
      </c>
      <c r="AB148" s="57" t="s">
        <v>567</v>
      </c>
      <c r="AC148" s="67">
        <v>1</v>
      </c>
      <c r="AD148" s="57" t="s">
        <v>791</v>
      </c>
      <c r="AE148" s="57">
        <v>4</v>
      </c>
      <c r="AF148" s="57">
        <v>1000</v>
      </c>
      <c r="AG148" s="57" t="s">
        <v>547</v>
      </c>
      <c r="AH148" s="57" t="s">
        <v>548</v>
      </c>
      <c r="AI148" s="57" t="s">
        <v>548</v>
      </c>
      <c r="AJ148" s="57" t="s">
        <v>1167</v>
      </c>
      <c r="AK148" s="67">
        <v>1</v>
      </c>
      <c r="AL148" s="57">
        <v>1</v>
      </c>
      <c r="AM148" s="57">
        <v>1</v>
      </c>
      <c r="AN148" s="57">
        <v>4</v>
      </c>
      <c r="AO148" s="57">
        <v>2000</v>
      </c>
      <c r="AP148" s="57" t="s">
        <v>547</v>
      </c>
      <c r="AQ148" s="4">
        <f>Q148+AK148</f>
        <v>2</v>
      </c>
      <c r="AR148" s="4">
        <f>L148+AC148</f>
        <v>2</v>
      </c>
      <c r="AS148" t="str">
        <f>AQ148&amp;AR148</f>
        <v>22</v>
      </c>
      <c r="AT148" s="49">
        <f>AQ148-AR148</f>
        <v>0</v>
      </c>
      <c r="AU148">
        <v>1</v>
      </c>
      <c r="AV148" s="57" t="s">
        <v>548</v>
      </c>
      <c r="AW148" s="57">
        <v>2</v>
      </c>
      <c r="AX148" s="57" t="s">
        <v>548</v>
      </c>
      <c r="AY148" s="57">
        <v>4</v>
      </c>
      <c r="AZ148" s="57">
        <v>4</v>
      </c>
      <c r="BA148" s="57" t="s">
        <v>548</v>
      </c>
      <c r="BB148" s="57" t="s">
        <v>569</v>
      </c>
      <c r="BC148" s="57">
        <v>4</v>
      </c>
      <c r="BD148" s="29">
        <f>AW148+AZ148</f>
        <v>6</v>
      </c>
      <c r="BE148" s="29">
        <f>BD148+BC148</f>
        <v>10</v>
      </c>
      <c r="BF148" s="57" t="s">
        <v>548</v>
      </c>
      <c r="BG148" s="57" t="s">
        <v>548</v>
      </c>
      <c r="BH148" s="57" t="s">
        <v>546</v>
      </c>
      <c r="BI148" s="57" t="s">
        <v>546</v>
      </c>
      <c r="BJ148" s="57" t="s">
        <v>546</v>
      </c>
      <c r="BK148" s="57" t="s">
        <v>546</v>
      </c>
      <c r="BL148" s="57">
        <v>4</v>
      </c>
      <c r="BM148" s="57" t="s">
        <v>549</v>
      </c>
      <c r="BN148" s="57">
        <v>2</v>
      </c>
      <c r="BO148" s="57" t="s">
        <v>549</v>
      </c>
      <c r="BP148" s="57"/>
      <c r="BQ148" s="57" t="s">
        <v>547</v>
      </c>
      <c r="BR148" s="57"/>
      <c r="BS148" s="57" t="s">
        <v>547</v>
      </c>
      <c r="BT148" s="57"/>
      <c r="BU148" s="57" t="s">
        <v>547</v>
      </c>
      <c r="BV148" s="57"/>
      <c r="BW148" s="29">
        <f>(BL148*1)+(BN148*0.1)+(BP148*0.01)+(BR148*0.1)+(BT148*0.3)+(BV148*0.4)</f>
        <v>4.2</v>
      </c>
      <c r="BX148" s="29" t="s">
        <v>2219</v>
      </c>
      <c r="BY148" s="57">
        <v>2</v>
      </c>
      <c r="BZ148" s="57">
        <v>1</v>
      </c>
      <c r="CA148" s="57">
        <v>2</v>
      </c>
      <c r="CB148" s="57">
        <v>5</v>
      </c>
      <c r="CC148" s="57">
        <v>1</v>
      </c>
      <c r="CD148" s="57">
        <v>1</v>
      </c>
      <c r="CE148" s="57">
        <v>0</v>
      </c>
      <c r="CF148" s="57" t="s">
        <v>547</v>
      </c>
      <c r="CG148" s="29">
        <f>(CC148*15)+(CD148*0.8)+(CE148*0.3)+((AW148+AZ148)*15)</f>
        <v>105.8</v>
      </c>
      <c r="CH148" s="29" t="s">
        <v>2221</v>
      </c>
      <c r="CI148" s="57">
        <f>(BL148*1)+(BN148*0.1)+(BP148*0.01)+(BR148*0.1)+(BT148*0.3)+(BV148*0.4)+(CC148*15)+(CD148*0.8)+(CE148*0.3)+((AW148+AZ148)*15)</f>
        <v>110</v>
      </c>
      <c r="CJ148" s="57" t="s">
        <v>548</v>
      </c>
      <c r="CK148" s="57" t="s">
        <v>1436</v>
      </c>
      <c r="CL148" s="57" t="s">
        <v>548</v>
      </c>
      <c r="CM148" s="57" t="s">
        <v>550</v>
      </c>
      <c r="CN148" s="57">
        <v>0.25</v>
      </c>
      <c r="CO148" s="57">
        <v>0.5</v>
      </c>
      <c r="CP148" s="57">
        <v>0</v>
      </c>
      <c r="CQ148" s="57" t="s">
        <v>548</v>
      </c>
      <c r="CR148" s="57">
        <v>1</v>
      </c>
      <c r="CS148" s="57">
        <v>2</v>
      </c>
      <c r="CT148" s="57" t="s">
        <v>551</v>
      </c>
      <c r="CU148" s="57">
        <v>0.48</v>
      </c>
      <c r="CV148" s="57"/>
      <c r="CW148" s="57">
        <v>999</v>
      </c>
      <c r="CX148" s="57" t="s">
        <v>551</v>
      </c>
      <c r="CY148" s="60"/>
      <c r="CZ148" s="57">
        <v>1</v>
      </c>
      <c r="DA148" s="57">
        <v>2</v>
      </c>
      <c r="DB148" s="57" t="s">
        <v>551</v>
      </c>
      <c r="DC148" s="60">
        <v>0.48</v>
      </c>
      <c r="DD148" s="57" t="s">
        <v>548</v>
      </c>
      <c r="DE148" s="57" t="s">
        <v>548</v>
      </c>
      <c r="DF148" s="57" t="s">
        <v>548</v>
      </c>
      <c r="DG148" s="57" t="s">
        <v>548</v>
      </c>
      <c r="DH148" s="57" t="s">
        <v>548</v>
      </c>
      <c r="DI148" s="57">
        <v>5</v>
      </c>
      <c r="DJ148" s="57">
        <v>2</v>
      </c>
      <c r="DK148" s="57" t="s">
        <v>1437</v>
      </c>
      <c r="DL148" s="57" t="s">
        <v>1438</v>
      </c>
      <c r="DM148" s="57">
        <v>-4.280189037322998</v>
      </c>
      <c r="DN148" s="57">
        <v>35.850742340087891</v>
      </c>
      <c r="DO148" s="57">
        <v>1321.9000244140625</v>
      </c>
      <c r="DP148" s="57">
        <v>5</v>
      </c>
      <c r="DQ148" s="57">
        <v>1706031849</v>
      </c>
      <c r="DR148" s="57" t="s">
        <v>1439</v>
      </c>
      <c r="DS148" s="58">
        <v>42978.591238425928</v>
      </c>
      <c r="DT148" s="58">
        <v>42895.41684027778</v>
      </c>
      <c r="DU148" s="58">
        <v>42978.587650462963</v>
      </c>
      <c r="DV148" s="59">
        <v>42744</v>
      </c>
      <c r="DW148" s="57"/>
      <c r="DX148" s="57"/>
      <c r="DY148" s="57"/>
      <c r="DZ148" s="57"/>
      <c r="EA148" s="57"/>
      <c r="EB148" s="57"/>
      <c r="EC148" s="57">
        <f>IF(EQ148&lt;EP148,"FALSEE",1)</f>
        <v>1</v>
      </c>
      <c r="ED148" s="57"/>
      <c r="EE148" s="57" t="s">
        <v>2171</v>
      </c>
      <c r="EF148" s="57">
        <v>2.4939789771999998</v>
      </c>
      <c r="EG148" s="57" t="str">
        <f>IF(EF148&lt;0.5,"Depression",IF(EF148&lt;2,"Very gentle",IF(EF148&lt;5,"Gentle",IF(EF148&lt;9,"Moderate",IF(EF148&lt;15,"Strong",IF(EF148&lt;30,"Steep",IF(EF148&lt;1,"Very steep")))))))</f>
        <v>Gentle</v>
      </c>
      <c r="EH148" s="57" t="s">
        <v>2173</v>
      </c>
      <c r="EI148" s="57">
        <v>0.18129228055499999</v>
      </c>
      <c r="EJ148" s="60">
        <v>8.9852018356300007</v>
      </c>
      <c r="EK148" s="60"/>
      <c r="EL148" s="60"/>
      <c r="EM148" s="60"/>
      <c r="EN148" s="60"/>
      <c r="EO148" s="60"/>
      <c r="EP148" s="60"/>
      <c r="EQ148" s="60"/>
      <c r="ER148" s="43"/>
      <c r="ES148" s="64">
        <f>IF(CU148&gt;0.000001,CU148*352,0)</f>
        <v>168.95999999999998</v>
      </c>
      <c r="ET148" s="64">
        <f>IF(DC148&gt;0.0001,DC148*682,0)</f>
        <v>327.36</v>
      </c>
      <c r="EU148" s="64">
        <f>CY148*795</f>
        <v>0</v>
      </c>
      <c r="EV148" s="64">
        <f>ES148+ET148+EU148</f>
        <v>496.32</v>
      </c>
      <c r="EW148" s="64">
        <f>IF(AA148="YES",3.5*18.2,0)</f>
        <v>63.699999999999996</v>
      </c>
      <c r="EX148" s="64">
        <f>EV148-EW148</f>
        <v>432.62</v>
      </c>
    </row>
    <row r="149" spans="1:154" ht="15" x14ac:dyDescent="0.2">
      <c r="A149" s="29" t="s">
        <v>556</v>
      </c>
      <c r="B149" s="29">
        <v>120</v>
      </c>
      <c r="C149" s="29" t="s">
        <v>325</v>
      </c>
      <c r="D149" s="29" t="s">
        <v>325</v>
      </c>
      <c r="E149" s="29" t="str">
        <f>VLOOKUP(D149,Harvest_2017_Formulae!$C$2:$D$968,2,FALSE)</f>
        <v>AYAMANGO</v>
      </c>
      <c r="F149" s="29" t="s">
        <v>196</v>
      </c>
      <c r="G149" s="29">
        <v>0</v>
      </c>
      <c r="H149" s="61" t="str">
        <f>IF(G149&lt;0.05,"Homefield",IF(G149&lt;0.5,"Midfield","outfield"))</f>
        <v>Homefield</v>
      </c>
      <c r="I149" s="29" t="s">
        <v>557</v>
      </c>
      <c r="J149" s="61" t="s">
        <v>2233</v>
      </c>
      <c r="K149" s="61" t="s">
        <v>2233</v>
      </c>
      <c r="L149" s="67">
        <v>0</v>
      </c>
      <c r="O149" s="29" t="s">
        <v>547</v>
      </c>
      <c r="Q149" s="67">
        <v>1</v>
      </c>
      <c r="R149" s="29" t="s">
        <v>558</v>
      </c>
      <c r="S149" s="29">
        <v>20</v>
      </c>
      <c r="T149" s="29" t="s">
        <v>559</v>
      </c>
      <c r="U149" s="29" t="s">
        <v>560</v>
      </c>
      <c r="W149" s="29" t="s">
        <v>635</v>
      </c>
      <c r="Y149" s="29">
        <v>2500</v>
      </c>
      <c r="Z149" s="29" t="s">
        <v>547</v>
      </c>
      <c r="AA149" s="61" t="s">
        <v>548</v>
      </c>
      <c r="AB149" s="29" t="s">
        <v>568</v>
      </c>
      <c r="AC149" s="67">
        <v>0</v>
      </c>
      <c r="AD149" s="29" t="s">
        <v>547</v>
      </c>
      <c r="AF149" s="29" t="s">
        <v>547</v>
      </c>
      <c r="AG149" s="29" t="s">
        <v>547</v>
      </c>
      <c r="AH149" s="29" t="s">
        <v>546</v>
      </c>
      <c r="AI149" s="29" t="s">
        <v>546</v>
      </c>
      <c r="AJ149" s="29" t="s">
        <v>547</v>
      </c>
      <c r="AK149" s="67">
        <v>0</v>
      </c>
      <c r="AL149" s="29" t="s">
        <v>547</v>
      </c>
      <c r="AO149" s="29" t="s">
        <v>547</v>
      </c>
      <c r="AP149" s="29" t="s">
        <v>547</v>
      </c>
      <c r="AQ149" s="4">
        <f>Q149+AK149</f>
        <v>1</v>
      </c>
      <c r="AR149" s="4">
        <f>L149+AC149</f>
        <v>0</v>
      </c>
      <c r="AS149" t="str">
        <f>AQ149&amp;AR149</f>
        <v>10</v>
      </c>
      <c r="AT149" s="49">
        <f>AQ149-AR149</f>
        <v>1</v>
      </c>
      <c r="AU149">
        <v>2</v>
      </c>
      <c r="AV149" s="29" t="s">
        <v>546</v>
      </c>
      <c r="AX149" s="29" t="s">
        <v>546</v>
      </c>
      <c r="BA149" s="29" t="s">
        <v>548</v>
      </c>
      <c r="BB149" s="29" t="s">
        <v>636</v>
      </c>
      <c r="BC149" s="29">
        <v>2</v>
      </c>
      <c r="BD149" s="29">
        <f>AW149+AZ149</f>
        <v>0</v>
      </c>
      <c r="BE149" s="29">
        <f>BD149+BC149</f>
        <v>2</v>
      </c>
      <c r="BF149" s="29" t="s">
        <v>546</v>
      </c>
      <c r="BG149" s="29" t="s">
        <v>546</v>
      </c>
      <c r="BH149" s="29" t="s">
        <v>548</v>
      </c>
      <c r="BI149" s="29" t="s">
        <v>546</v>
      </c>
      <c r="BJ149" s="29" t="s">
        <v>546</v>
      </c>
      <c r="BK149" s="29" t="s">
        <v>546</v>
      </c>
      <c r="BM149" s="29" t="s">
        <v>547</v>
      </c>
      <c r="BO149" s="29" t="s">
        <v>547</v>
      </c>
      <c r="BP149" s="29">
        <v>5</v>
      </c>
      <c r="BQ149" s="29" t="s">
        <v>549</v>
      </c>
      <c r="BS149" s="29" t="s">
        <v>547</v>
      </c>
      <c r="BU149" s="29" t="s">
        <v>547</v>
      </c>
      <c r="BW149" s="29">
        <f>(BL149*1)+(BN149*0.1)+(BP149*0.01)+(BR149*0.1)+(BT149*0.3)+(BV149*0.4)</f>
        <v>0.05</v>
      </c>
      <c r="BX149" s="29" t="s">
        <v>2223</v>
      </c>
      <c r="BY149" s="29">
        <v>3</v>
      </c>
      <c r="BZ149" s="29">
        <v>2</v>
      </c>
      <c r="CA149" s="29">
        <v>0</v>
      </c>
      <c r="CB149" s="29">
        <v>5</v>
      </c>
      <c r="CC149" s="29">
        <v>0</v>
      </c>
      <c r="CD149" s="29">
        <v>0</v>
      </c>
      <c r="CE149" s="29">
        <v>1</v>
      </c>
      <c r="CG149" s="29">
        <f>(CC149*15)+(CD149*0.8)+(CE149*0.3)+((AW149+AZ149)*15)</f>
        <v>0.3</v>
      </c>
      <c r="CH149" s="29" t="s">
        <v>2219</v>
      </c>
      <c r="CI149" s="29">
        <f>(BL149*1)+(BN149*0.1)+(BP149*0.01)+(BR149*0.1)+(BT149*0.3)+(BV149*0.4)+(CC149*15)+(CD149*0.8)+(CE149*0.3)+((AW149+AZ149)*15)</f>
        <v>0.35</v>
      </c>
      <c r="CJ149" s="29" t="s">
        <v>548</v>
      </c>
      <c r="CK149" s="29" t="s">
        <v>637</v>
      </c>
      <c r="CL149" s="29" t="s">
        <v>548</v>
      </c>
      <c r="CM149" s="29" t="s">
        <v>550</v>
      </c>
      <c r="CN149" s="29">
        <v>0.25</v>
      </c>
      <c r="CO149" s="29">
        <v>1.25</v>
      </c>
      <c r="CQ149" s="29" t="s">
        <v>548</v>
      </c>
      <c r="CR149" s="29">
        <v>1.5</v>
      </c>
      <c r="CS149" s="29">
        <v>10</v>
      </c>
      <c r="CT149" s="29" t="s">
        <v>551</v>
      </c>
      <c r="CU149" s="30">
        <v>1.5999999999999999</v>
      </c>
      <c r="CW149" s="29">
        <v>999</v>
      </c>
      <c r="CX149" s="29" t="s">
        <v>551</v>
      </c>
      <c r="CY149" s="62"/>
      <c r="CZ149" s="29">
        <v>1.5</v>
      </c>
      <c r="DA149" s="29">
        <v>3</v>
      </c>
      <c r="DB149" s="29" t="s">
        <v>551</v>
      </c>
      <c r="DC149" s="62">
        <v>0.48</v>
      </c>
      <c r="DD149" s="29" t="s">
        <v>546</v>
      </c>
      <c r="DE149" s="29" t="s">
        <v>546</v>
      </c>
      <c r="DF149" s="29" t="s">
        <v>546</v>
      </c>
      <c r="DG149" s="29" t="s">
        <v>546</v>
      </c>
      <c r="DH149" s="29" t="s">
        <v>546</v>
      </c>
      <c r="DI149" s="29">
        <v>0</v>
      </c>
      <c r="DJ149" s="29">
        <v>3</v>
      </c>
      <c r="DK149" s="29" t="s">
        <v>638</v>
      </c>
      <c r="DL149" s="29" t="s">
        <v>639</v>
      </c>
      <c r="DM149" s="29">
        <v>-4.2508773803710938</v>
      </c>
      <c r="DN149" s="29">
        <v>35.8819580078125</v>
      </c>
      <c r="DO149" s="29">
        <v>1289.4000244140625</v>
      </c>
      <c r="DP149" s="29">
        <v>5</v>
      </c>
      <c r="DQ149" s="29">
        <v>1706031849</v>
      </c>
      <c r="DR149" s="29" t="s">
        <v>640</v>
      </c>
      <c r="DS149" s="31">
        <v>42906.49899305556</v>
      </c>
      <c r="DT149" s="31">
        <v>42905.579375000001</v>
      </c>
      <c r="DU149" s="31">
        <v>42905.599050925928</v>
      </c>
      <c r="DV149" s="32">
        <v>42792</v>
      </c>
      <c r="DX149" s="44">
        <v>6.9127969348659013</v>
      </c>
      <c r="DY149" s="44">
        <v>6.4818390804597712</v>
      </c>
      <c r="DZ149" s="44">
        <v>4.4287179487179484</v>
      </c>
      <c r="EA149" s="44">
        <v>4.4775641025641022</v>
      </c>
      <c r="EC149" s="29">
        <f>IF(EQ149&lt;EP149,"FALSEE",1)</f>
        <v>1</v>
      </c>
      <c r="EE149" s="29" t="s">
        <v>2171</v>
      </c>
      <c r="EF149" s="29">
        <v>1.31504225731</v>
      </c>
      <c r="EG149" s="29" t="str">
        <f>IF(EF149&lt;0.5,"Depression",IF(EF149&lt;2,"Very gentle",IF(EF149&lt;5,"Gentle",IF(EF149&lt;9,"Moderate",IF(EF149&lt;15,"Strong",IF(EF149&lt;30,"Steep",IF(EF149&lt;1,"Very steep")))))))</f>
        <v>Very gentle</v>
      </c>
      <c r="EH149" s="29" t="s">
        <v>2173</v>
      </c>
      <c r="EI149" s="29">
        <v>9.0650379657699995E-2</v>
      </c>
      <c r="EJ149" s="43">
        <v>9.6666603088399992</v>
      </c>
      <c r="EK149" s="43">
        <f>VLOOKUP(D149,[1]SoilData!$G$15:$K$237,5,FALSE)</f>
        <v>312.82513443133035</v>
      </c>
      <c r="EL149" s="43">
        <f>VLOOKUP(D149,[1]SoilData!$G$245:$K$451,5,FALSE)</f>
        <v>145.62949034461792</v>
      </c>
      <c r="EM149" s="43">
        <f>VLOOKUP(D149,[1]SoilData!$G$15:$M$238,7,FALSE)</f>
        <v>0.95599999999999996</v>
      </c>
      <c r="EN149" s="43">
        <f>VLOOKUP(D149,[1]SoilData!$G$245:$M$454,7,FALSE)</f>
        <v>0.85099999999999998</v>
      </c>
      <c r="EO149" s="60">
        <f>EM149-EN149</f>
        <v>0.10499999999999998</v>
      </c>
      <c r="EP149" s="44">
        <f>AVERAGE(DZ149:EA149)</f>
        <v>4.4531410256410258</v>
      </c>
      <c r="EQ149" s="44">
        <f>AVERAGE(DX149:DY149)</f>
        <v>6.6973180076628367</v>
      </c>
      <c r="ER149" s="43">
        <f>EQ149-EP149</f>
        <v>2.2441769820218109</v>
      </c>
      <c r="ES149" s="64">
        <f>IF(CU149&gt;0.000001,CU149*352,0)</f>
        <v>563.19999999999993</v>
      </c>
      <c r="ET149" s="64">
        <f>IF(DC149&gt;0.0001,DC149*682,0)</f>
        <v>327.36</v>
      </c>
      <c r="EU149" s="64">
        <f>CY149*795</f>
        <v>0</v>
      </c>
      <c r="EV149" s="64">
        <f>ES149+ET149+EU149</f>
        <v>890.56</v>
      </c>
      <c r="EW149" s="64">
        <f>IF(AA149="YES",3.5*18.2,0)</f>
        <v>63.699999999999996</v>
      </c>
      <c r="EX149" s="64">
        <f>EV149-EW149</f>
        <v>826.8599999999999</v>
      </c>
    </row>
    <row r="150" spans="1:154" ht="15" x14ac:dyDescent="0.2">
      <c r="A150" s="29" t="s">
        <v>556</v>
      </c>
      <c r="B150" s="29">
        <v>123</v>
      </c>
      <c r="C150" s="29" t="s">
        <v>184</v>
      </c>
      <c r="D150" s="29" t="s">
        <v>184</v>
      </c>
      <c r="E150" s="29" t="str">
        <f>VLOOKUP(D150,Harvest_2017_Formulae!$C$2:$D$968,2,FALSE)</f>
        <v>HALLU</v>
      </c>
      <c r="F150" s="29" t="s">
        <v>938</v>
      </c>
      <c r="G150" s="29">
        <v>0</v>
      </c>
      <c r="H150" s="61" t="str">
        <f>IF(G150&lt;0.05,"Homefield",IF(G150&lt;0.5,"Midfield","outfield"))</f>
        <v>Homefield</v>
      </c>
      <c r="I150" s="29" t="s">
        <v>557</v>
      </c>
      <c r="J150" s="61" t="s">
        <v>2233</v>
      </c>
      <c r="K150" s="61" t="s">
        <v>2233</v>
      </c>
      <c r="L150" s="67">
        <v>0</v>
      </c>
      <c r="O150" s="29" t="s">
        <v>547</v>
      </c>
      <c r="Q150" s="67">
        <v>1</v>
      </c>
      <c r="R150" s="29" t="s">
        <v>558</v>
      </c>
      <c r="S150" s="29">
        <v>2</v>
      </c>
      <c r="T150" s="29" t="s">
        <v>559</v>
      </c>
      <c r="U150" s="29" t="s">
        <v>560</v>
      </c>
      <c r="W150" s="29" t="s">
        <v>561</v>
      </c>
      <c r="Z150" s="29" t="s">
        <v>567</v>
      </c>
      <c r="AA150" s="61" t="s">
        <v>546</v>
      </c>
      <c r="AB150" s="29" t="s">
        <v>547</v>
      </c>
      <c r="AC150" s="67">
        <v>0</v>
      </c>
      <c r="AD150" s="29" t="s">
        <v>547</v>
      </c>
      <c r="AF150" s="29" t="s">
        <v>547</v>
      </c>
      <c r="AG150" s="29" t="s">
        <v>547</v>
      </c>
      <c r="AH150" s="29" t="s">
        <v>546</v>
      </c>
      <c r="AI150" s="29" t="s">
        <v>546</v>
      </c>
      <c r="AJ150" s="29" t="s">
        <v>547</v>
      </c>
      <c r="AK150" s="67">
        <v>0</v>
      </c>
      <c r="AL150" s="29" t="s">
        <v>547</v>
      </c>
      <c r="AO150" s="29" t="s">
        <v>547</v>
      </c>
      <c r="AP150" s="29" t="s">
        <v>547</v>
      </c>
      <c r="AQ150" s="4">
        <f>Q150+AK150</f>
        <v>1</v>
      </c>
      <c r="AR150" s="4">
        <f>L150+AC150</f>
        <v>0</v>
      </c>
      <c r="AS150" t="str">
        <f>AQ150&amp;AR150</f>
        <v>10</v>
      </c>
      <c r="AT150" s="49">
        <f>AQ150-AR150</f>
        <v>1</v>
      </c>
      <c r="AU150">
        <v>2</v>
      </c>
      <c r="AV150" s="29" t="s">
        <v>548</v>
      </c>
      <c r="AW150" s="29">
        <v>5</v>
      </c>
      <c r="AX150" s="29" t="s">
        <v>548</v>
      </c>
      <c r="AY150" s="29">
        <v>1</v>
      </c>
      <c r="AZ150" s="29">
        <v>5</v>
      </c>
      <c r="BA150" s="29" t="s">
        <v>546</v>
      </c>
      <c r="BB150" s="29" t="s">
        <v>547</v>
      </c>
      <c r="BD150" s="29">
        <f>AW150+AZ150</f>
        <v>10</v>
      </c>
      <c r="BE150" s="29">
        <f>BD150+BC150</f>
        <v>10</v>
      </c>
      <c r="BF150" s="29" t="s">
        <v>548</v>
      </c>
      <c r="BG150" s="29" t="s">
        <v>546</v>
      </c>
      <c r="BH150" s="29" t="s">
        <v>548</v>
      </c>
      <c r="BI150" s="29" t="s">
        <v>546</v>
      </c>
      <c r="BJ150" s="29" t="s">
        <v>546</v>
      </c>
      <c r="BK150" s="29" t="s">
        <v>546</v>
      </c>
      <c r="BL150" s="29">
        <v>1</v>
      </c>
      <c r="BM150" s="29" t="s">
        <v>562</v>
      </c>
      <c r="BO150" s="29" t="s">
        <v>547</v>
      </c>
      <c r="BP150" s="29">
        <v>2</v>
      </c>
      <c r="BQ150" s="29" t="s">
        <v>562</v>
      </c>
      <c r="BS150" s="29" t="s">
        <v>547</v>
      </c>
      <c r="BU150" s="29" t="s">
        <v>547</v>
      </c>
      <c r="BW150" s="29">
        <f>(BL150*1)+(BN150*0.1)+(BP150*0.01)+(BR150*0.1)+(BT150*0.3)+(BV150*0.4)</f>
        <v>1.02</v>
      </c>
      <c r="BX150" s="29" t="s">
        <v>2223</v>
      </c>
      <c r="BY150" s="29">
        <v>6</v>
      </c>
      <c r="BZ150" s="29">
        <v>2</v>
      </c>
      <c r="CA150" s="29">
        <v>4</v>
      </c>
      <c r="CB150" s="29">
        <v>12</v>
      </c>
      <c r="CC150" s="29">
        <v>0</v>
      </c>
      <c r="CD150" s="29">
        <v>0</v>
      </c>
      <c r="CE150" s="29">
        <v>0</v>
      </c>
      <c r="CF150" s="29" t="s">
        <v>991</v>
      </c>
      <c r="CG150" s="29">
        <f>(CC150*15)+(CD150*0.8)+(CE150*0.3)+((AW150+AZ150)*15)</f>
        <v>150</v>
      </c>
      <c r="CH150" s="29" t="s">
        <v>2221</v>
      </c>
      <c r="CI150" s="29">
        <f>(BL150*1)+(BN150*0.1)+(BP150*0.01)+(BR150*0.1)+(BT150*0.3)+(BV150*0.4)+(CC150*15)+(CD150*0.8)+(CE150*0.3)+((AW150+AZ150)*15)</f>
        <v>151.02000000000001</v>
      </c>
      <c r="CJ150" s="29" t="s">
        <v>548</v>
      </c>
      <c r="CK150" s="29" t="s">
        <v>992</v>
      </c>
      <c r="CL150" s="29" t="s">
        <v>548</v>
      </c>
      <c r="CM150" s="29" t="s">
        <v>550</v>
      </c>
      <c r="CN150" s="29">
        <v>0.25</v>
      </c>
      <c r="CO150" s="29">
        <v>2</v>
      </c>
      <c r="CQ150" s="29" t="s">
        <v>548</v>
      </c>
      <c r="CR150" s="29">
        <v>4</v>
      </c>
      <c r="CS150" s="29">
        <v>30</v>
      </c>
      <c r="CT150" s="29" t="s">
        <v>551</v>
      </c>
      <c r="CU150" s="30">
        <v>1.7999999999999998</v>
      </c>
      <c r="CW150" s="29">
        <v>999</v>
      </c>
      <c r="CX150" s="29" t="s">
        <v>551</v>
      </c>
      <c r="CY150" s="62"/>
      <c r="CZ150" s="29">
        <v>4</v>
      </c>
      <c r="DA150" s="29">
        <v>10</v>
      </c>
      <c r="DB150" s="29" t="s">
        <v>551</v>
      </c>
      <c r="DC150" s="62">
        <v>0.6</v>
      </c>
      <c r="DD150" s="29" t="s">
        <v>546</v>
      </c>
      <c r="DE150" s="29" t="s">
        <v>546</v>
      </c>
      <c r="DF150" s="29" t="s">
        <v>546</v>
      </c>
      <c r="DG150" s="29" t="s">
        <v>546</v>
      </c>
      <c r="DH150" s="29" t="s">
        <v>546</v>
      </c>
      <c r="DI150" s="29">
        <v>0</v>
      </c>
      <c r="DJ150" s="29">
        <v>3</v>
      </c>
      <c r="DK150" s="29" t="s">
        <v>993</v>
      </c>
      <c r="DL150" s="29" t="s">
        <v>994</v>
      </c>
      <c r="DM150" s="29">
        <v>-4.2634353637695312</v>
      </c>
      <c r="DN150" s="29">
        <v>35.890480041503906</v>
      </c>
      <c r="DO150" s="29">
        <v>1237.800048828125</v>
      </c>
      <c r="DP150" s="29">
        <v>5</v>
      </c>
      <c r="DQ150" s="29">
        <v>1706031849</v>
      </c>
      <c r="DR150" s="29" t="s">
        <v>995</v>
      </c>
      <c r="DS150" s="31">
        <v>42907.442789351851</v>
      </c>
      <c r="DT150" s="31">
        <v>42906.448460648149</v>
      </c>
      <c r="DU150" s="31">
        <v>42906.469780092593</v>
      </c>
      <c r="DV150" s="32">
        <v>42791</v>
      </c>
      <c r="DX150" s="44">
        <v>6.2573412698412714</v>
      </c>
      <c r="DY150" s="44">
        <v>4.8461111111111119</v>
      </c>
      <c r="DZ150" s="44">
        <v>5.1392708333333337</v>
      </c>
      <c r="EA150" s="44">
        <v>4.1579861111111116</v>
      </c>
      <c r="EC150" s="29">
        <f>IF(EQ150&lt;EP150,"FALSEE",1)</f>
        <v>1</v>
      </c>
      <c r="EE150" s="29" t="s">
        <v>2171</v>
      </c>
      <c r="EF150" s="29">
        <v>1.16094529629</v>
      </c>
      <c r="EG150" s="29" t="str">
        <f>IF(EF150&lt;0.5,"Depression",IF(EF150&lt;2,"Very gentle",IF(EF150&lt;5,"Gentle",IF(EF150&lt;9,"Moderate",IF(EF150&lt;15,"Strong",IF(EF150&lt;30,"Steep",IF(EF150&lt;1,"Very steep")))))))</f>
        <v>Very gentle</v>
      </c>
      <c r="EH150" s="29" t="s">
        <v>2173</v>
      </c>
      <c r="EI150" s="29">
        <v>-0.362559139729</v>
      </c>
      <c r="EJ150" s="43">
        <v>10.698633193999999</v>
      </c>
      <c r="EK150" s="43">
        <f>VLOOKUP(D150,[1]SoilData!$G$15:$K$237,5,FALSE)</f>
        <v>293.31897595454723</v>
      </c>
      <c r="EL150" s="43">
        <f>VLOOKUP(D150,[1]SoilData!$G$245:$K$451,5,FALSE)</f>
        <v>420.10900605363736</v>
      </c>
      <c r="EM150" s="43">
        <f>VLOOKUP(D150,[1]SoilData!$G$15:$M$238,7,FALSE)</f>
        <v>1.484</v>
      </c>
      <c r="EN150" s="43">
        <f>VLOOKUP(D150,[1]SoilData!$G$245:$M$454,7,FALSE)</f>
        <v>1.724</v>
      </c>
      <c r="EO150" s="60">
        <f>EM150-EN150</f>
        <v>-0.24</v>
      </c>
      <c r="EP150" s="44">
        <f>AVERAGE(DZ150:EA150)</f>
        <v>4.6486284722222226</v>
      </c>
      <c r="EQ150" s="44">
        <f>AVERAGE(DX150:DY150)</f>
        <v>5.5517261904761916</v>
      </c>
      <c r="ER150" s="43">
        <f>EQ150-EP150</f>
        <v>0.90309771825396901</v>
      </c>
      <c r="ES150" s="64">
        <f>IF(CU150&gt;0.000001,CU150*352,0)</f>
        <v>633.59999999999991</v>
      </c>
      <c r="ET150" s="64">
        <f>IF(DC150&gt;0.0001,DC150*682,0)</f>
        <v>409.2</v>
      </c>
      <c r="EU150" s="64">
        <f>CY150*795</f>
        <v>0</v>
      </c>
      <c r="EV150" s="64">
        <f>ES150+ET150+EU150</f>
        <v>1042.8</v>
      </c>
      <c r="EW150" s="64">
        <f>IF(AA150="YES",3.5*18.2,0)</f>
        <v>0</v>
      </c>
      <c r="EX150" s="64">
        <f>EV150-EW150</f>
        <v>1042.8</v>
      </c>
    </row>
    <row r="151" spans="1:154" ht="15" x14ac:dyDescent="0.2">
      <c r="A151" s="29" t="s">
        <v>556</v>
      </c>
      <c r="B151" s="29">
        <v>126</v>
      </c>
      <c r="C151" s="29" t="s">
        <v>356</v>
      </c>
      <c r="D151" s="29" t="s">
        <v>356</v>
      </c>
      <c r="E151" s="29" t="str">
        <f>VLOOKUP(D151,Harvest_2017_Formulae!$C$2:$D$968,2,FALSE)</f>
        <v>HALLU</v>
      </c>
      <c r="F151" s="29" t="s">
        <v>938</v>
      </c>
      <c r="G151" s="29">
        <v>0.40000000596046448</v>
      </c>
      <c r="H151" s="61" t="str">
        <f>IF(G151&lt;0.05,"Homefield",IF(G151&lt;0.5,"Midfield","outfield"))</f>
        <v>Midfield</v>
      </c>
      <c r="I151" s="29" t="s">
        <v>557</v>
      </c>
      <c r="J151" s="61" t="s">
        <v>2234</v>
      </c>
      <c r="K151" s="61" t="s">
        <v>2234</v>
      </c>
      <c r="L151" s="67">
        <v>0</v>
      </c>
      <c r="O151" s="29" t="s">
        <v>547</v>
      </c>
      <c r="Q151" s="67">
        <v>1</v>
      </c>
      <c r="R151" s="29" t="s">
        <v>558</v>
      </c>
      <c r="S151" s="29">
        <v>10</v>
      </c>
      <c r="T151" s="29" t="s">
        <v>559</v>
      </c>
      <c r="U151" s="29" t="s">
        <v>560</v>
      </c>
      <c r="W151" s="29" t="s">
        <v>561</v>
      </c>
      <c r="Y151" s="29">
        <v>5000</v>
      </c>
      <c r="Z151" s="29" t="s">
        <v>547</v>
      </c>
      <c r="AA151" s="61" t="s">
        <v>546</v>
      </c>
      <c r="AB151" s="29" t="s">
        <v>547</v>
      </c>
      <c r="AC151" s="67">
        <v>0</v>
      </c>
      <c r="AD151" s="29" t="s">
        <v>547</v>
      </c>
      <c r="AF151" s="29" t="s">
        <v>547</v>
      </c>
      <c r="AG151" s="29" t="s">
        <v>547</v>
      </c>
      <c r="AH151" s="29" t="s">
        <v>546</v>
      </c>
      <c r="AI151" s="29" t="s">
        <v>546</v>
      </c>
      <c r="AJ151" s="29" t="s">
        <v>547</v>
      </c>
      <c r="AK151" s="67">
        <v>0</v>
      </c>
      <c r="AL151" s="29" t="s">
        <v>547</v>
      </c>
      <c r="AO151" s="29" t="s">
        <v>547</v>
      </c>
      <c r="AP151" s="29" t="s">
        <v>547</v>
      </c>
      <c r="AQ151" s="4">
        <f>Q151+AK151</f>
        <v>1</v>
      </c>
      <c r="AR151" s="4">
        <f>L151+AC151</f>
        <v>0</v>
      </c>
      <c r="AS151" t="str">
        <f>AQ151&amp;AR151</f>
        <v>10</v>
      </c>
      <c r="AT151" s="49">
        <f>AQ151-AR151</f>
        <v>1</v>
      </c>
      <c r="AU151">
        <v>2</v>
      </c>
      <c r="AV151" s="29" t="s">
        <v>548</v>
      </c>
      <c r="AW151" s="29">
        <v>0.25</v>
      </c>
      <c r="AX151" s="29" t="s">
        <v>548</v>
      </c>
      <c r="AY151" s="29">
        <v>1</v>
      </c>
      <c r="AZ151" s="29">
        <v>2</v>
      </c>
      <c r="BA151" s="29" t="s">
        <v>548</v>
      </c>
      <c r="BB151" s="29" t="s">
        <v>569</v>
      </c>
      <c r="BC151" s="29">
        <v>0.25</v>
      </c>
      <c r="BD151" s="29">
        <f>AW151+AZ151</f>
        <v>2.25</v>
      </c>
      <c r="BE151" s="29">
        <f>BD151+BC151</f>
        <v>2.5</v>
      </c>
      <c r="BF151" s="29" t="s">
        <v>548</v>
      </c>
      <c r="BG151" s="29" t="s">
        <v>546</v>
      </c>
      <c r="BH151" s="29" t="s">
        <v>546</v>
      </c>
      <c r="BI151" s="29" t="s">
        <v>546</v>
      </c>
      <c r="BJ151" s="29" t="s">
        <v>546</v>
      </c>
      <c r="BK151" s="29" t="s">
        <v>546</v>
      </c>
      <c r="BL151" s="29">
        <v>2</v>
      </c>
      <c r="BM151" s="29" t="s">
        <v>562</v>
      </c>
      <c r="BO151" s="29" t="s">
        <v>547</v>
      </c>
      <c r="BQ151" s="29" t="s">
        <v>547</v>
      </c>
      <c r="BS151" s="29" t="s">
        <v>547</v>
      </c>
      <c r="BU151" s="29" t="s">
        <v>547</v>
      </c>
      <c r="BW151" s="29">
        <f>(BL151*1)+(BN151*0.1)+(BP151*0.01)+(BR151*0.1)+(BT151*0.3)+(BV151*0.4)</f>
        <v>2</v>
      </c>
      <c r="BX151" s="29" t="s">
        <v>2219</v>
      </c>
      <c r="BY151" s="29">
        <v>1</v>
      </c>
      <c r="BZ151" s="29">
        <v>1</v>
      </c>
      <c r="CA151" s="29">
        <v>1</v>
      </c>
      <c r="CB151" s="29">
        <v>3</v>
      </c>
      <c r="CC151" s="29">
        <v>0</v>
      </c>
      <c r="CD151" s="29">
        <v>0</v>
      </c>
      <c r="CE151" s="29">
        <v>0</v>
      </c>
      <c r="CF151" s="29" t="s">
        <v>547</v>
      </c>
      <c r="CG151" s="29">
        <f>(CC151*15)+(CD151*0.8)+(CE151*0.3)+((AW151+AZ151)*15)</f>
        <v>33.75</v>
      </c>
      <c r="CH151" s="29" t="s">
        <v>2220</v>
      </c>
      <c r="CI151" s="29">
        <f>(BL151*1)+(BN151*0.1)+(BP151*0.01)+(BR151*0.1)+(BT151*0.3)+(BV151*0.4)+(CC151*15)+(CD151*0.8)+(CE151*0.3)+((AW151+AZ151)*15)</f>
        <v>35.75</v>
      </c>
      <c r="CJ151" s="29" t="s">
        <v>546</v>
      </c>
      <c r="CK151" s="29" t="s">
        <v>547</v>
      </c>
      <c r="CL151" s="29" t="s">
        <v>546</v>
      </c>
      <c r="CM151" s="29" t="s">
        <v>547</v>
      </c>
      <c r="CN151" s="29">
        <v>0.125</v>
      </c>
      <c r="CO151" s="29">
        <v>0.125</v>
      </c>
      <c r="CQ151" s="29" t="s">
        <v>548</v>
      </c>
      <c r="CR151" s="29">
        <v>0.25</v>
      </c>
      <c r="CS151" s="29">
        <v>2</v>
      </c>
      <c r="CT151" s="29" t="s">
        <v>551</v>
      </c>
      <c r="CU151" s="30">
        <v>1.92</v>
      </c>
      <c r="CW151" s="29">
        <v>999</v>
      </c>
      <c r="CX151" s="29" t="s">
        <v>551</v>
      </c>
      <c r="CY151" s="62"/>
      <c r="CZ151" s="29">
        <v>0.25</v>
      </c>
      <c r="DA151" s="29">
        <v>2</v>
      </c>
      <c r="DB151" s="29" t="s">
        <v>552</v>
      </c>
      <c r="DC151" s="62">
        <v>0.32063999999999998</v>
      </c>
      <c r="DD151" s="29" t="s">
        <v>546</v>
      </c>
      <c r="DE151" s="29" t="s">
        <v>546</v>
      </c>
      <c r="DF151" s="29" t="s">
        <v>546</v>
      </c>
      <c r="DG151" s="29" t="s">
        <v>546</v>
      </c>
      <c r="DH151" s="29" t="s">
        <v>546</v>
      </c>
      <c r="DI151" s="29">
        <v>0</v>
      </c>
      <c r="DJ151" s="29">
        <v>3</v>
      </c>
      <c r="DK151" s="29" t="s">
        <v>939</v>
      </c>
      <c r="DL151" s="29" t="s">
        <v>940</v>
      </c>
      <c r="DM151" s="29">
        <v>-4.2834782600402832</v>
      </c>
      <c r="DN151" s="29">
        <v>35.898475646972656</v>
      </c>
      <c r="DO151" s="29">
        <v>1213.0999755859375</v>
      </c>
      <c r="DP151" s="29">
        <v>5</v>
      </c>
      <c r="DQ151" s="29">
        <v>1706031849</v>
      </c>
      <c r="DR151" s="29" t="s">
        <v>941</v>
      </c>
      <c r="DS151" s="31">
        <v>42907.442870370374</v>
      </c>
      <c r="DT151" s="31">
        <v>42906.542870370366</v>
      </c>
      <c r="DU151" s="31">
        <v>42906.555393518516</v>
      </c>
      <c r="DV151" s="32">
        <v>42788</v>
      </c>
      <c r="DX151" s="44">
        <v>4.4407894736842115</v>
      </c>
      <c r="DY151" s="44">
        <v>4.1684210526315795</v>
      </c>
      <c r="DZ151" s="44">
        <v>3.2742222222222215</v>
      </c>
      <c r="EA151" s="44">
        <v>2.8855555555555559</v>
      </c>
      <c r="EC151" s="29">
        <f>IF(EQ151&lt;EP151,"FALSEE",1)</f>
        <v>1</v>
      </c>
      <c r="EE151" s="29" t="s">
        <v>2171</v>
      </c>
      <c r="EF151" s="29">
        <v>2.4237968921699999</v>
      </c>
      <c r="EG151" s="29" t="str">
        <f>IF(EF151&lt;0.5,"Depression",IF(EF151&lt;2,"Very gentle",IF(EF151&lt;5,"Gentle",IF(EF151&lt;9,"Moderate",IF(EF151&lt;15,"Strong",IF(EF151&lt;30,"Steep",IF(EF151&lt;1,"Very steep")))))))</f>
        <v>Gentle</v>
      </c>
      <c r="EH151" s="29" t="s">
        <v>2177</v>
      </c>
      <c r="EI151" s="29">
        <v>0.63450175523800001</v>
      </c>
      <c r="EJ151" s="43">
        <v>8.6444921493500004</v>
      </c>
      <c r="EK151" s="43">
        <f>VLOOKUP(D151,[1]SoilData!$G$15:$K$237,5,FALSE)</f>
        <v>275.20611451181998</v>
      </c>
      <c r="EL151" s="43">
        <f>VLOOKUP(D151,[1]SoilData!$G$245:$K$451,5,FALSE)</f>
        <v>209.72115391119087</v>
      </c>
      <c r="EM151" s="43">
        <f>VLOOKUP(D151,[1]SoilData!$G$15:$M$238,7,FALSE)</f>
        <v>1.0409999999999999</v>
      </c>
      <c r="EN151" s="43">
        <f>VLOOKUP(D151,[1]SoilData!$G$245:$M$454,7,FALSE)</f>
        <v>1.054</v>
      </c>
      <c r="EO151" s="60">
        <f>EM151-EN151</f>
        <v>-1.3000000000000123E-2</v>
      </c>
      <c r="EP151" s="44">
        <f>AVERAGE(DZ151:EA151)</f>
        <v>3.0798888888888887</v>
      </c>
      <c r="EQ151" s="44">
        <f>AVERAGE(DX151:DY151)</f>
        <v>4.3046052631578959</v>
      </c>
      <c r="ER151" s="43">
        <f>EQ151-EP151</f>
        <v>1.2247163742690073</v>
      </c>
      <c r="ES151" s="64">
        <f>IF(CU151&gt;0.000001,CU151*352,0)</f>
        <v>675.83999999999992</v>
      </c>
      <c r="ET151" s="64">
        <f>IF(DC151&gt;0.0001,DC151*682,0)</f>
        <v>218.67648</v>
      </c>
      <c r="EU151" s="64">
        <f>CY151*795</f>
        <v>0</v>
      </c>
      <c r="EV151" s="64">
        <f>ES151+ET151+EU151</f>
        <v>894.51647999999989</v>
      </c>
      <c r="EW151" s="64">
        <f>IF(AA151="YES",3.5*18.2,0)</f>
        <v>0</v>
      </c>
      <c r="EX151" s="64">
        <f>EV151-EW151</f>
        <v>894.51647999999989</v>
      </c>
    </row>
    <row r="152" spans="1:154" ht="15" x14ac:dyDescent="0.2">
      <c r="A152" s="29" t="s">
        <v>556</v>
      </c>
      <c r="B152" s="29">
        <v>129</v>
      </c>
      <c r="C152" s="29" t="s">
        <v>190</v>
      </c>
      <c r="D152" s="29" t="s">
        <v>190</v>
      </c>
      <c r="E152" s="29" t="str">
        <f>VLOOKUP(D152,Harvest_2017_Formulae!$C$2:$D$968,2,FALSE)</f>
        <v>HALLU</v>
      </c>
      <c r="F152" s="29" t="s">
        <v>938</v>
      </c>
      <c r="G152" s="29">
        <v>3</v>
      </c>
      <c r="H152" s="61" t="str">
        <f>IF(G152&lt;0.05,"Homefield",IF(G152&lt;0.5,"Midfield","outfield"))</f>
        <v>outfield</v>
      </c>
      <c r="I152" s="29" t="s">
        <v>557</v>
      </c>
      <c r="J152" s="61" t="s">
        <v>2233</v>
      </c>
      <c r="K152" s="61" t="s">
        <v>2233</v>
      </c>
      <c r="L152" s="67">
        <v>0</v>
      </c>
      <c r="O152" s="29" t="s">
        <v>547</v>
      </c>
      <c r="Q152" s="67">
        <v>1</v>
      </c>
      <c r="R152" s="29" t="s">
        <v>615</v>
      </c>
      <c r="S152" s="29">
        <v>4</v>
      </c>
      <c r="T152" s="29" t="s">
        <v>559</v>
      </c>
      <c r="U152" s="29" t="s">
        <v>560</v>
      </c>
      <c r="W152" s="29" t="s">
        <v>819</v>
      </c>
      <c r="X152" s="29">
        <v>666</v>
      </c>
      <c r="Y152" s="29">
        <v>5000</v>
      </c>
      <c r="Z152" s="29" t="s">
        <v>547</v>
      </c>
      <c r="AA152" s="61" t="s">
        <v>548</v>
      </c>
      <c r="AB152" s="29" t="s">
        <v>614</v>
      </c>
      <c r="AC152" s="67">
        <v>0</v>
      </c>
      <c r="AD152" s="29" t="s">
        <v>547</v>
      </c>
      <c r="AF152" s="29" t="s">
        <v>547</v>
      </c>
      <c r="AG152" s="29" t="s">
        <v>547</v>
      </c>
      <c r="AH152" s="29" t="s">
        <v>546</v>
      </c>
      <c r="AI152" s="29" t="s">
        <v>546</v>
      </c>
      <c r="AJ152" s="29" t="s">
        <v>547</v>
      </c>
      <c r="AK152" s="67">
        <v>0</v>
      </c>
      <c r="AL152" s="29" t="s">
        <v>547</v>
      </c>
      <c r="AO152" s="29" t="s">
        <v>547</v>
      </c>
      <c r="AP152" s="29" t="s">
        <v>547</v>
      </c>
      <c r="AQ152" s="4">
        <f>Q152+AK152</f>
        <v>1</v>
      </c>
      <c r="AR152" s="4">
        <f>L152+AC152</f>
        <v>0</v>
      </c>
      <c r="AS152" t="str">
        <f>AQ152&amp;AR152</f>
        <v>10</v>
      </c>
      <c r="AT152" s="49">
        <f>AQ152-AR152</f>
        <v>1</v>
      </c>
      <c r="AU152">
        <v>2</v>
      </c>
      <c r="AV152" s="29" t="s">
        <v>548</v>
      </c>
      <c r="AW152" s="29">
        <v>0.25</v>
      </c>
      <c r="AX152" s="29" t="s">
        <v>548</v>
      </c>
      <c r="AY152" s="29">
        <v>2</v>
      </c>
      <c r="AZ152" s="29">
        <v>2.25</v>
      </c>
      <c r="BA152" s="29" t="s">
        <v>546</v>
      </c>
      <c r="BB152" s="29" t="s">
        <v>547</v>
      </c>
      <c r="BD152" s="29">
        <f>AW152+AZ152</f>
        <v>2.5</v>
      </c>
      <c r="BE152" s="29">
        <f>BD152+BC152</f>
        <v>2.5</v>
      </c>
      <c r="BF152" s="29" t="s">
        <v>548</v>
      </c>
      <c r="BG152" s="29" t="s">
        <v>546</v>
      </c>
      <c r="BH152" s="29" t="s">
        <v>546</v>
      </c>
      <c r="BI152" s="29" t="s">
        <v>546</v>
      </c>
      <c r="BJ152" s="29" t="s">
        <v>546</v>
      </c>
      <c r="BK152" s="29" t="s">
        <v>546</v>
      </c>
      <c r="BL152" s="29">
        <v>2</v>
      </c>
      <c r="BM152" s="29" t="s">
        <v>562</v>
      </c>
      <c r="BO152" s="29" t="s">
        <v>547</v>
      </c>
      <c r="BQ152" s="29" t="s">
        <v>547</v>
      </c>
      <c r="BS152" s="29" t="s">
        <v>547</v>
      </c>
      <c r="BU152" s="29" t="s">
        <v>547</v>
      </c>
      <c r="BW152" s="29">
        <f>(BL152*1)+(BN152*0.1)+(BP152*0.01)+(BR152*0.1)+(BT152*0.3)+(BV152*0.4)</f>
        <v>2</v>
      </c>
      <c r="BX152" s="29" t="s">
        <v>2219</v>
      </c>
      <c r="BY152" s="29">
        <v>1</v>
      </c>
      <c r="BZ152" s="29">
        <v>1</v>
      </c>
      <c r="CA152" s="29">
        <v>2</v>
      </c>
      <c r="CB152" s="29">
        <v>4</v>
      </c>
      <c r="CC152" s="29">
        <v>0</v>
      </c>
      <c r="CD152" s="29">
        <v>0</v>
      </c>
      <c r="CE152" s="29">
        <v>0</v>
      </c>
      <c r="CF152" s="29" t="s">
        <v>547</v>
      </c>
      <c r="CG152" s="29">
        <f>(CC152*15)+(CD152*0.8)+(CE152*0.3)+((AW152+AZ152)*15)</f>
        <v>37.5</v>
      </c>
      <c r="CH152" s="29" t="s">
        <v>2220</v>
      </c>
      <c r="CI152" s="29">
        <f>(BL152*1)+(BN152*0.1)+(BP152*0.01)+(BR152*0.1)+(BT152*0.3)+(BV152*0.4)+(CC152*15)+(CD152*0.8)+(CE152*0.3)+((AW152+AZ152)*15)</f>
        <v>39.5</v>
      </c>
      <c r="CJ152" s="29" t="s">
        <v>546</v>
      </c>
      <c r="CK152" s="29" t="s">
        <v>547</v>
      </c>
      <c r="CL152" s="29" t="s">
        <v>546</v>
      </c>
      <c r="CM152" s="29" t="s">
        <v>547</v>
      </c>
      <c r="CN152" s="29">
        <v>0.25</v>
      </c>
      <c r="CQ152" s="29" t="s">
        <v>548</v>
      </c>
      <c r="CR152" s="29">
        <v>0.25</v>
      </c>
      <c r="CS152" s="29">
        <v>3.5</v>
      </c>
      <c r="CT152" s="29" t="s">
        <v>551</v>
      </c>
      <c r="CU152" s="30">
        <v>3.3600000000000003</v>
      </c>
      <c r="CW152" s="29">
        <v>999</v>
      </c>
      <c r="CX152" s="29" t="s">
        <v>551</v>
      </c>
      <c r="CY152" s="62"/>
      <c r="CZ152" s="29">
        <v>0.25</v>
      </c>
      <c r="DA152" s="29">
        <v>1</v>
      </c>
      <c r="DB152" s="29" t="s">
        <v>552</v>
      </c>
      <c r="DC152" s="62">
        <v>0.16031999999999999</v>
      </c>
      <c r="DD152" s="29" t="s">
        <v>546</v>
      </c>
      <c r="DE152" s="29" t="s">
        <v>546</v>
      </c>
      <c r="DF152" s="29" t="s">
        <v>548</v>
      </c>
      <c r="DG152" s="29" t="s">
        <v>546</v>
      </c>
      <c r="DH152" s="29" t="s">
        <v>546</v>
      </c>
      <c r="DI152" s="29">
        <v>1</v>
      </c>
      <c r="DJ152" s="29">
        <v>2</v>
      </c>
      <c r="DK152" s="29" t="s">
        <v>1008</v>
      </c>
      <c r="DL152" s="29" t="s">
        <v>1009</v>
      </c>
      <c r="DM152" s="29">
        <v>-4.2768597602844238</v>
      </c>
      <c r="DN152" s="29">
        <v>35.906410217285156</v>
      </c>
      <c r="DO152" s="29">
        <v>1206</v>
      </c>
      <c r="DP152" s="29">
        <v>5</v>
      </c>
      <c r="DQ152" s="29">
        <v>1706031849</v>
      </c>
      <c r="DR152" s="29" t="s">
        <v>1010</v>
      </c>
      <c r="DS152" s="31">
        <v>42907.59302083333</v>
      </c>
      <c r="DT152" s="31">
        <v>42906.613715277781</v>
      </c>
      <c r="DU152" s="31">
        <v>42906.626446759255</v>
      </c>
      <c r="DV152" s="32">
        <v>42793</v>
      </c>
      <c r="DX152" s="44">
        <v>3.4472934472934473</v>
      </c>
      <c r="DY152" s="44">
        <v>4.183760683760684</v>
      </c>
      <c r="DZ152" s="44">
        <v>3.0327160493827159</v>
      </c>
      <c r="EA152" s="44">
        <v>2.3611111111111112</v>
      </c>
      <c r="EC152" s="29">
        <f>IF(EQ152&lt;EP152,"FALSEE",1)</f>
        <v>1</v>
      </c>
      <c r="EE152" s="29" t="s">
        <v>2171</v>
      </c>
      <c r="EF152" s="29">
        <v>2.1000916957900002</v>
      </c>
      <c r="EG152" s="29" t="str">
        <f>IF(EF152&lt;0.5,"Depression",IF(EF152&lt;2,"Very gentle",IF(EF152&lt;5,"Gentle",IF(EF152&lt;9,"Moderate",IF(EF152&lt;15,"Strong",IF(EF152&lt;30,"Steep",IF(EF152&lt;1,"Very steep")))))))</f>
        <v>Gentle</v>
      </c>
      <c r="EH152" s="29" t="s">
        <v>2173</v>
      </c>
      <c r="EI152" s="29">
        <v>-0.18127532303300001</v>
      </c>
      <c r="EJ152" s="43">
        <v>8.7581186294600002</v>
      </c>
      <c r="EK152" s="43">
        <f>VLOOKUP(D152,[1]SoilData!$G$15:$K$237,5,FALSE)</f>
        <v>343.47766918056078</v>
      </c>
      <c r="EL152" s="43">
        <f>VLOOKUP(D152,[1]SoilData!$G$245:$K$451,5,FALSE)</f>
        <v>243.16028272853336</v>
      </c>
      <c r="EM152" s="43">
        <f>VLOOKUP(D152,[1]SoilData!$G$15:$M$238,7,FALSE)</f>
        <v>0.997</v>
      </c>
      <c r="EN152" s="43">
        <f>VLOOKUP(D152,[1]SoilData!$G$245:$M$454,7,FALSE)</f>
        <v>1.012</v>
      </c>
      <c r="EO152" s="60">
        <f>EM152-EN152</f>
        <v>-1.5000000000000013E-2</v>
      </c>
      <c r="EP152" s="44">
        <f>AVERAGE(DZ152:EA152)</f>
        <v>2.6969135802469135</v>
      </c>
      <c r="EQ152" s="44">
        <f>AVERAGE(DX152:DY152)</f>
        <v>3.8155270655270659</v>
      </c>
      <c r="ER152" s="43">
        <f>EQ152-EP152</f>
        <v>1.1186134852801524</v>
      </c>
      <c r="ES152" s="64">
        <f>IF(CU152&gt;0.000001,CU152*352,0)</f>
        <v>1182.72</v>
      </c>
      <c r="ET152" s="64">
        <f>IF(DC152&gt;0.0001,DC152*682,0)</f>
        <v>109.33824</v>
      </c>
      <c r="EU152" s="64">
        <f>CY152*795</f>
        <v>0</v>
      </c>
      <c r="EV152" s="64">
        <f>ES152+ET152+EU152</f>
        <v>1292.0582400000001</v>
      </c>
      <c r="EW152" s="64">
        <f>IF(AA152="YES",3.5*18.2,0)</f>
        <v>63.699999999999996</v>
      </c>
      <c r="EX152" s="64">
        <f>EV152-EW152</f>
        <v>1228.35824</v>
      </c>
    </row>
    <row r="153" spans="1:154" ht="15" x14ac:dyDescent="0.2">
      <c r="A153" s="29" t="s">
        <v>789</v>
      </c>
      <c r="B153" s="29">
        <v>25</v>
      </c>
      <c r="C153" s="29" t="s">
        <v>241</v>
      </c>
      <c r="D153" s="29" t="s">
        <v>241</v>
      </c>
      <c r="E153" s="29" t="str">
        <f>VLOOKUP(D153,Harvest_2017_Formulae!$C$2:$D$968,2,FALSE)</f>
        <v>SABILO</v>
      </c>
      <c r="F153" s="29" t="s">
        <v>1175</v>
      </c>
      <c r="G153" s="29">
        <v>0</v>
      </c>
      <c r="H153" s="61" t="str">
        <f>IF(G153&lt;0.05,"Homefield",IF(G153&lt;0.5,"Midfield","outfield"))</f>
        <v>Homefield</v>
      </c>
      <c r="I153" s="29" t="s">
        <v>557</v>
      </c>
      <c r="J153" s="61" t="s">
        <v>2233</v>
      </c>
      <c r="K153" s="61" t="s">
        <v>2233</v>
      </c>
      <c r="L153" s="67">
        <v>0</v>
      </c>
      <c r="O153" s="29" t="s">
        <v>547</v>
      </c>
      <c r="Q153" s="67">
        <v>1</v>
      </c>
      <c r="R153" s="29" t="s">
        <v>615</v>
      </c>
      <c r="S153" s="29">
        <v>1</v>
      </c>
      <c r="T153" s="29">
        <v>2</v>
      </c>
      <c r="U153" s="29" t="s">
        <v>560</v>
      </c>
      <c r="W153" s="29" t="s">
        <v>635</v>
      </c>
      <c r="Y153" s="29">
        <v>5000</v>
      </c>
      <c r="Z153" s="29" t="s">
        <v>547</v>
      </c>
      <c r="AA153" s="61" t="s">
        <v>548</v>
      </c>
      <c r="AB153" s="29" t="s">
        <v>568</v>
      </c>
      <c r="AC153" s="67">
        <v>0</v>
      </c>
      <c r="AD153" s="29" t="s">
        <v>547</v>
      </c>
      <c r="AF153" s="29" t="s">
        <v>547</v>
      </c>
      <c r="AG153" s="29" t="s">
        <v>547</v>
      </c>
      <c r="AH153" s="29" t="s">
        <v>548</v>
      </c>
      <c r="AI153" s="29" t="s">
        <v>546</v>
      </c>
      <c r="AK153" s="67">
        <v>0</v>
      </c>
      <c r="AL153" s="29" t="s">
        <v>547</v>
      </c>
      <c r="AO153" s="29" t="s">
        <v>547</v>
      </c>
      <c r="AP153" s="29" t="s">
        <v>547</v>
      </c>
      <c r="AQ153" s="4">
        <f>Q153+AK153</f>
        <v>1</v>
      </c>
      <c r="AR153" s="4">
        <f>L153+AC153</f>
        <v>0</v>
      </c>
      <c r="AS153" t="str">
        <f>AQ153&amp;AR153</f>
        <v>10</v>
      </c>
      <c r="AT153" s="49">
        <f>AQ153-AR153</f>
        <v>1</v>
      </c>
      <c r="AU153">
        <v>2</v>
      </c>
      <c r="AV153" s="29" t="s">
        <v>548</v>
      </c>
      <c r="AW153" s="29">
        <v>1</v>
      </c>
      <c r="AX153" s="29" t="s">
        <v>548</v>
      </c>
      <c r="AY153" s="29">
        <v>1</v>
      </c>
      <c r="AZ153" s="29">
        <v>4</v>
      </c>
      <c r="BA153" s="29" t="s">
        <v>546</v>
      </c>
      <c r="BB153" s="29" t="s">
        <v>547</v>
      </c>
      <c r="BD153" s="29">
        <f>AW153+AZ153</f>
        <v>5</v>
      </c>
      <c r="BE153" s="29">
        <f>BD153+BC153</f>
        <v>5</v>
      </c>
      <c r="BF153" s="29" t="s">
        <v>548</v>
      </c>
      <c r="BG153" s="29" t="s">
        <v>546</v>
      </c>
      <c r="BH153" s="29" t="s">
        <v>548</v>
      </c>
      <c r="BI153" s="29" t="s">
        <v>546</v>
      </c>
      <c r="BJ153" s="29" t="s">
        <v>546</v>
      </c>
      <c r="BK153" s="29" t="s">
        <v>546</v>
      </c>
      <c r="BL153" s="29">
        <v>2</v>
      </c>
      <c r="BM153" s="29" t="s">
        <v>580</v>
      </c>
      <c r="BO153" s="29" t="s">
        <v>547</v>
      </c>
      <c r="BP153" s="29">
        <v>3</v>
      </c>
      <c r="BQ153" s="29" t="s">
        <v>580</v>
      </c>
      <c r="BS153" s="29" t="s">
        <v>547</v>
      </c>
      <c r="BU153" s="29" t="s">
        <v>547</v>
      </c>
      <c r="BW153" s="29">
        <f>(BL153*1)+(BN153*0.1)+(BP153*0.01)+(BR153*0.1)+(BT153*0.3)+(BV153*0.4)</f>
        <v>2.0299999999999998</v>
      </c>
      <c r="BX153" s="29" t="s">
        <v>2219</v>
      </c>
      <c r="BY153" s="29">
        <v>3</v>
      </c>
      <c r="BZ153" s="29">
        <v>2</v>
      </c>
      <c r="CA153" s="29">
        <v>0</v>
      </c>
      <c r="CB153" s="29">
        <v>5</v>
      </c>
      <c r="CC153" s="29">
        <v>0</v>
      </c>
      <c r="CD153" s="29">
        <v>1</v>
      </c>
      <c r="CE153" s="29">
        <v>1</v>
      </c>
      <c r="CG153" s="29">
        <f>(CC153*15)+(CD153*0.8)+(CE153*0.3)+((AW153+AZ153)*15)</f>
        <v>76.099999999999994</v>
      </c>
      <c r="CH153" s="29" t="s">
        <v>2221</v>
      </c>
      <c r="CI153" s="29">
        <f>(BL153*1)+(BN153*0.1)+(BP153*0.01)+(BR153*0.1)+(BT153*0.3)+(BV153*0.4)+(CC153*15)+(CD153*0.8)+(CE153*0.3)+((AW153+AZ153)*15)</f>
        <v>78.13</v>
      </c>
      <c r="CJ153" s="29" t="s">
        <v>548</v>
      </c>
      <c r="CK153" s="29" t="s">
        <v>797</v>
      </c>
      <c r="CL153" s="29" t="s">
        <v>548</v>
      </c>
      <c r="CM153" s="29" t="s">
        <v>793</v>
      </c>
      <c r="CN153" s="29">
        <v>0.25</v>
      </c>
      <c r="CO153" s="29">
        <v>4</v>
      </c>
      <c r="CP153" s="29">
        <v>0</v>
      </c>
      <c r="CQ153" s="29" t="s">
        <v>548</v>
      </c>
      <c r="CR153" s="29">
        <v>1</v>
      </c>
      <c r="CS153" s="29">
        <v>20.5</v>
      </c>
      <c r="CT153" s="29" t="s">
        <v>551</v>
      </c>
      <c r="CU153" s="30">
        <v>4.9200000000000008</v>
      </c>
      <c r="CW153" s="29">
        <v>999</v>
      </c>
      <c r="CX153" s="29" t="s">
        <v>551</v>
      </c>
      <c r="CY153" s="62"/>
      <c r="CZ153" s="29">
        <v>1</v>
      </c>
      <c r="DA153" s="29">
        <v>1</v>
      </c>
      <c r="DB153" s="29" t="s">
        <v>551</v>
      </c>
      <c r="DC153" s="62">
        <v>0.24</v>
      </c>
      <c r="DD153" s="29" t="s">
        <v>546</v>
      </c>
      <c r="DE153" s="29" t="s">
        <v>546</v>
      </c>
      <c r="DF153" s="29" t="s">
        <v>546</v>
      </c>
      <c r="DG153" s="29" t="s">
        <v>546</v>
      </c>
      <c r="DH153" s="29" t="s">
        <v>548</v>
      </c>
      <c r="DI153" s="29">
        <v>1</v>
      </c>
      <c r="DJ153" s="29">
        <v>2</v>
      </c>
      <c r="DK153" s="29" t="s">
        <v>1179</v>
      </c>
      <c r="DL153" s="29" t="s">
        <v>1180</v>
      </c>
      <c r="DM153" s="29">
        <v>-4.3503084182739258</v>
      </c>
      <c r="DN153" s="29">
        <v>35.483139038085938</v>
      </c>
      <c r="DO153" s="29">
        <v>1654.0999755859375</v>
      </c>
      <c r="DP153" s="29">
        <v>15</v>
      </c>
      <c r="DQ153" s="29">
        <v>1705231439</v>
      </c>
      <c r="DR153" s="29" t="s">
        <v>1181</v>
      </c>
      <c r="DS153" s="31">
        <v>42908.292557870373</v>
      </c>
      <c r="DT153" s="31">
        <v>42895.404710648145</v>
      </c>
      <c r="DU153" s="31">
        <v>42908.287673611107</v>
      </c>
      <c r="DV153" s="32">
        <v>42765</v>
      </c>
      <c r="DX153" s="44">
        <v>4.2702339181286559</v>
      </c>
      <c r="DY153" s="44">
        <v>5.1055789473684214</v>
      </c>
      <c r="DZ153" s="44">
        <v>3.1413580246913582</v>
      </c>
      <c r="EA153" s="44">
        <v>4.218395061728395</v>
      </c>
      <c r="EC153" s="29">
        <f>IF(EQ153&lt;EP153,"FALSEE",1)</f>
        <v>1</v>
      </c>
      <c r="EE153" s="29" t="s">
        <v>2171</v>
      </c>
      <c r="EF153" s="29">
        <v>3.5533039569899998</v>
      </c>
      <c r="EG153" s="29" t="str">
        <f>IF(EF153&lt;0.5,"Depression",IF(EF153&lt;2,"Very gentle",IF(EF153&lt;5,"Gentle",IF(EF153&lt;9,"Moderate",IF(EF153&lt;15,"Strong",IF(EF153&lt;30,"Steep",IF(EF153&lt;1,"Very steep")))))))</f>
        <v>Gentle</v>
      </c>
      <c r="EH153" s="29" t="s">
        <v>2173</v>
      </c>
      <c r="EI153" s="29">
        <v>-9.0633422136300004E-2</v>
      </c>
      <c r="EJ153" s="43">
        <v>8.7059078216600003</v>
      </c>
      <c r="EK153" s="43">
        <f>VLOOKUP(D153,[1]SoilData!$G$15:$K$237,5,FALSE)</f>
        <v>284.93883565271835</v>
      </c>
      <c r="EL153" s="43">
        <f>VLOOKUP(D153,[1]SoilData!$G$245:$K$451,5,FALSE)</f>
        <v>211.66561092711743</v>
      </c>
      <c r="EM153" s="43">
        <f>VLOOKUP(D153,[1]SoilData!$G$15:$M$238,7,FALSE)</f>
        <v>1.6240000000000001</v>
      </c>
      <c r="EN153" s="43">
        <f>VLOOKUP(D153,[1]SoilData!$G$245:$M$454,7,FALSE)</f>
        <v>1.931</v>
      </c>
      <c r="EO153" s="60">
        <f>EM153-EN153</f>
        <v>-0.30699999999999994</v>
      </c>
      <c r="EP153" s="44">
        <f>AVERAGE(DZ153:EA153)</f>
        <v>3.6798765432098763</v>
      </c>
      <c r="EQ153" s="44">
        <f>AVERAGE(DX153:DY153)</f>
        <v>4.6879064327485391</v>
      </c>
      <c r="ER153" s="43">
        <f>EQ153-EP153</f>
        <v>1.0080298895386628</v>
      </c>
      <c r="ES153" s="64">
        <f>IF(CU153&gt;0.000001,CU153*352,0)</f>
        <v>1731.8400000000004</v>
      </c>
      <c r="ET153" s="64">
        <f>IF(DC153&gt;0.0001,DC153*682,0)</f>
        <v>163.68</v>
      </c>
      <c r="EU153" s="64">
        <f>CY153*795</f>
        <v>0</v>
      </c>
      <c r="EV153" s="64">
        <f>ES153+ET153+EU153</f>
        <v>1895.5200000000004</v>
      </c>
      <c r="EW153" s="64">
        <f>IF(AA153="YES",3.5*18.2,0)</f>
        <v>63.699999999999996</v>
      </c>
      <c r="EX153" s="64">
        <f>EV153-EW153</f>
        <v>1831.8200000000004</v>
      </c>
    </row>
    <row r="154" spans="1:154" ht="15" x14ac:dyDescent="0.2">
      <c r="A154" s="29" t="s">
        <v>544</v>
      </c>
      <c r="B154" s="29">
        <v>96</v>
      </c>
      <c r="C154" s="29" t="s">
        <v>374</v>
      </c>
      <c r="D154" s="29" t="s">
        <v>374</v>
      </c>
      <c r="E154" s="29" t="str">
        <f>VLOOKUP(D154,Harvest_2017_Formulae!$C$2:$D$968,2,FALSE)</f>
        <v>ORNGADIDA</v>
      </c>
      <c r="F154" s="29" t="s">
        <v>777</v>
      </c>
      <c r="G154" s="29">
        <v>0</v>
      </c>
      <c r="H154" s="61" t="str">
        <f>IF(G154&lt;0.05,"Homefield",IF(G154&lt;0.5,"Midfield","outfield"))</f>
        <v>Homefield</v>
      </c>
      <c r="I154" s="29" t="s">
        <v>557</v>
      </c>
      <c r="J154" s="61" t="s">
        <v>2233</v>
      </c>
      <c r="K154" s="61" t="s">
        <v>2233</v>
      </c>
      <c r="L154" s="67">
        <v>0</v>
      </c>
      <c r="O154" s="29" t="s">
        <v>547</v>
      </c>
      <c r="Q154" s="67">
        <v>1</v>
      </c>
      <c r="R154" s="29" t="s">
        <v>615</v>
      </c>
      <c r="S154" s="29">
        <v>3</v>
      </c>
      <c r="T154" s="29">
        <v>0.5</v>
      </c>
      <c r="U154" s="29" t="s">
        <v>560</v>
      </c>
      <c r="W154" s="29" t="s">
        <v>561</v>
      </c>
      <c r="Z154" s="29" t="s">
        <v>567</v>
      </c>
      <c r="AA154" s="61" t="s">
        <v>548</v>
      </c>
      <c r="AB154" s="29" t="s">
        <v>568</v>
      </c>
      <c r="AC154" s="67">
        <v>0</v>
      </c>
      <c r="AD154" s="29" t="s">
        <v>547</v>
      </c>
      <c r="AF154" s="29" t="s">
        <v>547</v>
      </c>
      <c r="AG154" s="29" t="s">
        <v>547</v>
      </c>
      <c r="AH154" s="29" t="s">
        <v>548</v>
      </c>
      <c r="AI154" s="29" t="s">
        <v>546</v>
      </c>
      <c r="AJ154" s="29" t="s">
        <v>547</v>
      </c>
      <c r="AK154" s="67">
        <v>0</v>
      </c>
      <c r="AL154" s="29" t="s">
        <v>547</v>
      </c>
      <c r="AO154" s="29" t="s">
        <v>547</v>
      </c>
      <c r="AP154" s="29" t="s">
        <v>547</v>
      </c>
      <c r="AQ154" s="4">
        <f>Q154+AK154</f>
        <v>1</v>
      </c>
      <c r="AR154" s="4">
        <f>L154+AC154</f>
        <v>0</v>
      </c>
      <c r="AS154" t="str">
        <f>AQ154&amp;AR154</f>
        <v>10</v>
      </c>
      <c r="AT154" s="49">
        <f>AQ154-AR154</f>
        <v>1</v>
      </c>
      <c r="AU154">
        <v>2</v>
      </c>
      <c r="AV154" s="29" t="s">
        <v>548</v>
      </c>
      <c r="AW154" s="29">
        <v>0.5</v>
      </c>
      <c r="AX154" s="29" t="s">
        <v>548</v>
      </c>
      <c r="AY154" s="29">
        <v>1</v>
      </c>
      <c r="AZ154" s="29">
        <v>1</v>
      </c>
      <c r="BA154" s="29" t="s">
        <v>546</v>
      </c>
      <c r="BB154" s="29" t="s">
        <v>547</v>
      </c>
      <c r="BD154" s="29">
        <f>AW154+AZ154</f>
        <v>1.5</v>
      </c>
      <c r="BE154" s="29">
        <f>BD154+BC154</f>
        <v>1.5</v>
      </c>
      <c r="BF154" s="29" t="s">
        <v>548</v>
      </c>
      <c r="BG154" s="29" t="s">
        <v>548</v>
      </c>
      <c r="BH154" s="29" t="s">
        <v>546</v>
      </c>
      <c r="BI154" s="29" t="s">
        <v>546</v>
      </c>
      <c r="BJ154" s="29" t="s">
        <v>546</v>
      </c>
      <c r="BK154" s="29" t="s">
        <v>546</v>
      </c>
      <c r="BL154" s="29">
        <v>2</v>
      </c>
      <c r="BM154" s="29" t="s">
        <v>549</v>
      </c>
      <c r="BN154" s="29">
        <v>2</v>
      </c>
      <c r="BO154" s="29" t="s">
        <v>549</v>
      </c>
      <c r="BQ154" s="29" t="s">
        <v>547</v>
      </c>
      <c r="BS154" s="29" t="s">
        <v>547</v>
      </c>
      <c r="BU154" s="29" t="s">
        <v>547</v>
      </c>
      <c r="BW154" s="29">
        <f>(BL154*1)+(BN154*0.1)+(BP154*0.01)+(BR154*0.1)+(BT154*0.3)+(BV154*0.4)</f>
        <v>2.2000000000000002</v>
      </c>
      <c r="BX154" s="29" t="s">
        <v>2219</v>
      </c>
      <c r="BY154" s="29">
        <v>1</v>
      </c>
      <c r="BZ154" s="29">
        <v>1</v>
      </c>
      <c r="CA154" s="29">
        <v>1</v>
      </c>
      <c r="CB154" s="29">
        <v>3</v>
      </c>
      <c r="CC154" s="29">
        <v>0</v>
      </c>
      <c r="CD154" s="29">
        <v>0</v>
      </c>
      <c r="CE154" s="29">
        <v>0</v>
      </c>
      <c r="CG154" s="29">
        <f>(CC154*15)+(CD154*0.8)+(CE154*0.3)+((AW154+AZ154)*15)</f>
        <v>22.5</v>
      </c>
      <c r="CH154" s="29" t="s">
        <v>2220</v>
      </c>
      <c r="CI154" s="29">
        <f>(BL154*1)+(BN154*0.1)+(BP154*0.01)+(BR154*0.1)+(BT154*0.3)+(BV154*0.4)+(CC154*15)+(CD154*0.8)+(CE154*0.3)+((AW154+AZ154)*15)</f>
        <v>24.7</v>
      </c>
      <c r="CJ154" s="29" t="s">
        <v>546</v>
      </c>
      <c r="CK154" s="29" t="s">
        <v>547</v>
      </c>
      <c r="CL154" s="29" t="s">
        <v>548</v>
      </c>
      <c r="CM154" s="29" t="s">
        <v>550</v>
      </c>
      <c r="CN154" s="29">
        <v>0.5</v>
      </c>
      <c r="CQ154" s="29" t="s">
        <v>546</v>
      </c>
      <c r="CR154" s="29">
        <v>1</v>
      </c>
      <c r="CS154" s="29">
        <v>6</v>
      </c>
      <c r="CT154" s="29" t="s">
        <v>551</v>
      </c>
      <c r="CU154" s="30">
        <v>1.4400000000000002</v>
      </c>
      <c r="CW154" s="29">
        <v>999</v>
      </c>
      <c r="CX154" s="29" t="s">
        <v>551</v>
      </c>
      <c r="CY154" s="62"/>
      <c r="CZ154" s="29">
        <v>1</v>
      </c>
      <c r="DA154" s="29">
        <v>0.5</v>
      </c>
      <c r="DB154" s="29" t="s">
        <v>551</v>
      </c>
      <c r="DC154" s="62">
        <v>0.12</v>
      </c>
      <c r="DD154" s="29" t="s">
        <v>548</v>
      </c>
      <c r="DE154" s="29" t="s">
        <v>548</v>
      </c>
      <c r="DF154" s="29" t="s">
        <v>548</v>
      </c>
      <c r="DG154" s="29" t="s">
        <v>548</v>
      </c>
      <c r="DH154" s="29" t="s">
        <v>548</v>
      </c>
      <c r="DI154" s="29">
        <v>5</v>
      </c>
      <c r="DJ154" s="29">
        <v>4</v>
      </c>
      <c r="DK154" s="29" t="s">
        <v>1144</v>
      </c>
      <c r="DL154" s="29" t="s">
        <v>1145</v>
      </c>
      <c r="DM154" s="29">
        <v>-4.3067183494567871</v>
      </c>
      <c r="DN154" s="29">
        <v>35.864860534667969</v>
      </c>
      <c r="DO154" s="29">
        <v>1241.5999755859375</v>
      </c>
      <c r="DP154" s="29">
        <v>5</v>
      </c>
      <c r="DQ154" s="29">
        <v>1705231439</v>
      </c>
      <c r="DR154" s="29" t="s">
        <v>1146</v>
      </c>
      <c r="DS154" s="31">
        <v>42927.346979166672</v>
      </c>
      <c r="DT154" s="31">
        <v>42888.6643287037</v>
      </c>
      <c r="DU154" s="31">
        <v>42927.346655092595</v>
      </c>
      <c r="DV154" s="32">
        <v>42768</v>
      </c>
      <c r="DX154" s="44">
        <v>4.5819354838709678</v>
      </c>
      <c r="DY154" s="44">
        <v>3.6587096774193548</v>
      </c>
      <c r="DZ154" s="44">
        <v>4.4981642512077302</v>
      </c>
      <c r="EA154" s="44">
        <v>4.8912077294685998</v>
      </c>
      <c r="EC154" s="29" t="str">
        <f>IF(EQ154&lt;EP154,"FALSEE",1)</f>
        <v>FALSEE</v>
      </c>
      <c r="EE154" s="29" t="s">
        <v>2171</v>
      </c>
      <c r="EF154" s="29">
        <v>1.76406645775</v>
      </c>
      <c r="EG154" s="29" t="str">
        <f>IF(EF154&lt;0.5,"Depression",IF(EF154&lt;2,"Very gentle",IF(EF154&lt;5,"Gentle",IF(EF154&lt;9,"Moderate",IF(EF154&lt;15,"Strong",IF(EF154&lt;30,"Steep",IF(EF154&lt;1,"Very steep")))))))</f>
        <v>Very gentle</v>
      </c>
      <c r="EH154" s="29" t="s">
        <v>2173</v>
      </c>
      <c r="EI154" s="29">
        <v>0.45321798324599999</v>
      </c>
      <c r="EJ154" s="43">
        <v>9.2365970611599995</v>
      </c>
      <c r="EK154" s="43"/>
      <c r="EL154" s="43">
        <f>VLOOKUP(D154,[1]SoilData!$G$245:$K$451,5,FALSE)</f>
        <v>237.0442747080879</v>
      </c>
      <c r="EM154" s="43"/>
      <c r="EN154" s="43">
        <f>VLOOKUP(D154,[1]SoilData!$G$245:$M$454,7,FALSE)</f>
        <v>1.2929999999999999</v>
      </c>
      <c r="EO154" s="60"/>
      <c r="EP154" s="44">
        <f>AVERAGE(DZ154:EA154)</f>
        <v>4.694685990338165</v>
      </c>
      <c r="EQ154" s="44">
        <f>AVERAGE(DX154:DY154)</f>
        <v>4.1203225806451611</v>
      </c>
      <c r="ER154" s="43">
        <f>EQ154-EP154</f>
        <v>-0.57436340969300392</v>
      </c>
      <c r="ES154" s="64">
        <f>IF(CU154&gt;0.000001,CU154*352,0)</f>
        <v>506.88000000000005</v>
      </c>
      <c r="ET154" s="64">
        <f>IF(DC154&gt;0.0001,DC154*682,0)</f>
        <v>81.84</v>
      </c>
      <c r="EU154" s="64">
        <f>CY154*795</f>
        <v>0</v>
      </c>
      <c r="EV154" s="64">
        <f>ES154+ET154+EU154</f>
        <v>588.72</v>
      </c>
      <c r="EW154" s="64">
        <f>IF(AA154="YES",3.5*18.2,0)</f>
        <v>63.699999999999996</v>
      </c>
      <c r="EX154" s="64">
        <f>EV154-EW154</f>
        <v>525.02</v>
      </c>
    </row>
    <row r="155" spans="1:154" s="57" customFormat="1" ht="15" x14ac:dyDescent="0.2">
      <c r="A155" s="29" t="s">
        <v>789</v>
      </c>
      <c r="B155" s="29">
        <v>24</v>
      </c>
      <c r="C155" s="29" t="s">
        <v>1466</v>
      </c>
      <c r="D155" s="29" t="s">
        <v>1466</v>
      </c>
      <c r="E155" s="29" t="e">
        <f>VLOOKUP(D155,Harvest_2017_Formulae!$C$2:$D$968,2,FALSE)</f>
        <v>#N/A</v>
      </c>
      <c r="F155" s="29" t="s">
        <v>1175</v>
      </c>
      <c r="G155" s="29">
        <v>0</v>
      </c>
      <c r="H155" s="61" t="str">
        <f>IF(G155&lt;0.05,"Homefield",IF(G155&lt;0.5,"Midfield","outfield"))</f>
        <v>Homefield</v>
      </c>
      <c r="I155" s="29" t="s">
        <v>557</v>
      </c>
      <c r="J155" s="61" t="s">
        <v>2233</v>
      </c>
      <c r="K155" s="61" t="s">
        <v>2233</v>
      </c>
      <c r="L155" s="67">
        <v>0</v>
      </c>
      <c r="M155" s="29"/>
      <c r="N155" s="29"/>
      <c r="O155" s="29" t="s">
        <v>547</v>
      </c>
      <c r="P155" s="29"/>
      <c r="Q155" s="67">
        <v>1</v>
      </c>
      <c r="R155" s="29" t="s">
        <v>942</v>
      </c>
      <c r="S155" s="29">
        <v>2</v>
      </c>
      <c r="T155" s="29">
        <v>1</v>
      </c>
      <c r="U155" s="29" t="s">
        <v>560</v>
      </c>
      <c r="V155" s="29"/>
      <c r="W155" s="29" t="s">
        <v>635</v>
      </c>
      <c r="X155" s="29"/>
      <c r="Y155" s="29"/>
      <c r="Z155" s="29" t="s">
        <v>831</v>
      </c>
      <c r="AA155" s="61" t="s">
        <v>548</v>
      </c>
      <c r="AB155" s="29" t="s">
        <v>568</v>
      </c>
      <c r="AC155" s="67">
        <v>0</v>
      </c>
      <c r="AD155" s="29" t="s">
        <v>547</v>
      </c>
      <c r="AE155" s="29"/>
      <c r="AF155" s="29" t="s">
        <v>547</v>
      </c>
      <c r="AG155" s="29" t="s">
        <v>547</v>
      </c>
      <c r="AH155" s="29" t="s">
        <v>548</v>
      </c>
      <c r="AI155" s="29" t="s">
        <v>546</v>
      </c>
      <c r="AJ155" s="29"/>
      <c r="AK155" s="67">
        <v>0</v>
      </c>
      <c r="AL155" s="29" t="s">
        <v>547</v>
      </c>
      <c r="AM155" s="29"/>
      <c r="AN155" s="29"/>
      <c r="AO155" s="29" t="s">
        <v>547</v>
      </c>
      <c r="AP155" s="29" t="s">
        <v>547</v>
      </c>
      <c r="AQ155" s="4">
        <f>Q155+AK155</f>
        <v>1</v>
      </c>
      <c r="AR155" s="4">
        <f>L155+AC155</f>
        <v>0</v>
      </c>
      <c r="AS155" t="str">
        <f>AQ155&amp;AR155</f>
        <v>10</v>
      </c>
      <c r="AT155" s="49">
        <f>AQ155-AR155</f>
        <v>1</v>
      </c>
      <c r="AU155">
        <v>2</v>
      </c>
      <c r="AV155" s="29" t="s">
        <v>548</v>
      </c>
      <c r="AW155" s="29">
        <v>0.75</v>
      </c>
      <c r="AX155" s="29" t="s">
        <v>548</v>
      </c>
      <c r="AY155" s="29">
        <v>2</v>
      </c>
      <c r="AZ155" s="29">
        <v>2</v>
      </c>
      <c r="BA155" s="29" t="s">
        <v>548</v>
      </c>
      <c r="BB155" s="29" t="s">
        <v>569</v>
      </c>
      <c r="BC155" s="29">
        <v>6</v>
      </c>
      <c r="BD155" s="29">
        <f>AW155+AZ155</f>
        <v>2.75</v>
      </c>
      <c r="BE155" s="29">
        <f>BD155+BC155</f>
        <v>8.75</v>
      </c>
      <c r="BF155" s="29" t="s">
        <v>548</v>
      </c>
      <c r="BG155" s="29" t="s">
        <v>548</v>
      </c>
      <c r="BH155" s="29" t="s">
        <v>548</v>
      </c>
      <c r="BI155" s="29" t="s">
        <v>548</v>
      </c>
      <c r="BJ155" s="29" t="s">
        <v>546</v>
      </c>
      <c r="BK155" s="29" t="s">
        <v>546</v>
      </c>
      <c r="BL155" s="29">
        <v>2</v>
      </c>
      <c r="BM155" s="29" t="s">
        <v>580</v>
      </c>
      <c r="BN155" s="29">
        <v>6</v>
      </c>
      <c r="BO155" s="29" t="s">
        <v>580</v>
      </c>
      <c r="BP155" s="29">
        <v>6</v>
      </c>
      <c r="BQ155" s="29" t="s">
        <v>580</v>
      </c>
      <c r="BR155" s="29">
        <v>1</v>
      </c>
      <c r="BS155" s="29" t="s">
        <v>580</v>
      </c>
      <c r="BT155" s="29"/>
      <c r="BU155" s="29" t="s">
        <v>547</v>
      </c>
      <c r="BV155" s="29"/>
      <c r="BW155" s="29">
        <f>(BL155*1)+(BN155*0.1)+(BP155*0.01)+(BR155*0.1)+(BT155*0.3)+(BV155*0.4)</f>
        <v>2.7600000000000002</v>
      </c>
      <c r="BX155" s="29" t="s">
        <v>2219</v>
      </c>
      <c r="BY155" s="29">
        <v>1</v>
      </c>
      <c r="BZ155" s="29">
        <v>1</v>
      </c>
      <c r="CA155" s="29">
        <v>8</v>
      </c>
      <c r="CB155" s="29">
        <v>10</v>
      </c>
      <c r="CC155" s="29">
        <v>0</v>
      </c>
      <c r="CD155" s="29">
        <v>0</v>
      </c>
      <c r="CE155" s="29">
        <v>1</v>
      </c>
      <c r="CF155" s="29"/>
      <c r="CG155" s="29">
        <f>(CC155*15)+(CD155*0.8)+(CE155*0.3)+((AW155+AZ155)*15)</f>
        <v>41.55</v>
      </c>
      <c r="CH155" s="29" t="s">
        <v>2220</v>
      </c>
      <c r="CI155" s="29">
        <f>(BL155*1)+(BN155*0.1)+(BP155*0.01)+(BR155*0.1)+(BT155*0.3)+(BV155*0.4)+(CC155*15)+(CD155*0.8)+(CE155*0.3)+((AW155+AZ155)*15)</f>
        <v>44.31</v>
      </c>
      <c r="CJ155" s="29" t="s">
        <v>548</v>
      </c>
      <c r="CK155" s="29" t="s">
        <v>797</v>
      </c>
      <c r="CL155" s="29" t="s">
        <v>548</v>
      </c>
      <c r="CM155" s="29" t="s">
        <v>793</v>
      </c>
      <c r="CN155" s="29">
        <v>0.25</v>
      </c>
      <c r="CO155" s="29">
        <v>5.75</v>
      </c>
      <c r="CP155" s="29">
        <v>0</v>
      </c>
      <c r="CQ155" s="29" t="s">
        <v>546</v>
      </c>
      <c r="CR155" s="29">
        <v>1</v>
      </c>
      <c r="CS155" s="29">
        <v>5</v>
      </c>
      <c r="CT155" s="29" t="s">
        <v>551</v>
      </c>
      <c r="CU155" s="30">
        <v>1.2</v>
      </c>
      <c r="CV155" s="29">
        <v>1</v>
      </c>
      <c r="CW155" s="29">
        <v>1</v>
      </c>
      <c r="CX155" s="29" t="s">
        <v>551</v>
      </c>
      <c r="CY155" s="62">
        <v>0.24</v>
      </c>
      <c r="CZ155" s="29"/>
      <c r="DA155" s="29">
        <v>999</v>
      </c>
      <c r="DB155" s="29" t="s">
        <v>551</v>
      </c>
      <c r="DC155" s="62"/>
      <c r="DD155" s="29" t="s">
        <v>546</v>
      </c>
      <c r="DE155" s="29" t="s">
        <v>546</v>
      </c>
      <c r="DF155" s="29" t="s">
        <v>548</v>
      </c>
      <c r="DG155" s="29" t="s">
        <v>548</v>
      </c>
      <c r="DH155" s="29" t="s">
        <v>548</v>
      </c>
      <c r="DI155" s="29">
        <v>3</v>
      </c>
      <c r="DJ155" s="29">
        <v>4</v>
      </c>
      <c r="DK155" s="29" t="s">
        <v>1467</v>
      </c>
      <c r="DL155" s="29" t="s">
        <v>1468</v>
      </c>
      <c r="DM155" s="29">
        <v>-4.343513011932373</v>
      </c>
      <c r="DN155" s="29">
        <v>35.479499816894531</v>
      </c>
      <c r="DO155" s="29">
        <v>1647.4000244140625</v>
      </c>
      <c r="DP155" s="29">
        <v>15</v>
      </c>
      <c r="DQ155" s="29">
        <v>1705231439</v>
      </c>
      <c r="DR155" s="29" t="s">
        <v>1469</v>
      </c>
      <c r="DS155" s="31">
        <v>42908.292569444442</v>
      </c>
      <c r="DT155" s="31">
        <v>42895.472662037035</v>
      </c>
      <c r="DU155" s="31">
        <v>42908.287800925929</v>
      </c>
      <c r="DV155" s="32">
        <v>42779</v>
      </c>
      <c r="DW155" s="29"/>
      <c r="DX155" s="29"/>
      <c r="DY155" s="29"/>
      <c r="DZ155" s="29"/>
      <c r="EA155" s="29"/>
      <c r="EB155" s="29"/>
      <c r="EC155" s="29">
        <f>IF(EQ155&lt;EP155,"FALSEE",1)</f>
        <v>1</v>
      </c>
      <c r="ED155" s="29"/>
      <c r="EE155" s="29" t="s">
        <v>2171</v>
      </c>
      <c r="EF155" s="29">
        <v>2.93846130371</v>
      </c>
      <c r="EG155" s="29" t="str">
        <f>IF(EF155&lt;0.5,"Depression",IF(EF155&lt;2,"Very gentle",IF(EF155&lt;5,"Gentle",IF(EF155&lt;9,"Moderate",IF(EF155&lt;15,"Strong",IF(EF155&lt;30,"Steep",IF(EF155&lt;1,"Very steep")))))))</f>
        <v>Gentle</v>
      </c>
      <c r="EH155" s="29" t="s">
        <v>2173</v>
      </c>
      <c r="EI155" s="29">
        <v>0.45321798324599999</v>
      </c>
      <c r="EJ155" s="43">
        <v>8.7921676635699999</v>
      </c>
      <c r="EK155" s="43"/>
      <c r="EL155" s="43"/>
      <c r="EM155" s="43"/>
      <c r="EN155" s="43"/>
      <c r="EO155" s="60"/>
      <c r="EP155" s="43"/>
      <c r="EQ155" s="43"/>
      <c r="ER155" s="43"/>
      <c r="ES155" s="64">
        <f>IF(CU155&gt;0.000001,CU155*352,0)</f>
        <v>422.4</v>
      </c>
      <c r="ET155" s="64">
        <f>IF(DC155&gt;0.0001,DC155*682,0)</f>
        <v>0</v>
      </c>
      <c r="EU155" s="64">
        <f>CY155*795</f>
        <v>190.79999999999998</v>
      </c>
      <c r="EV155" s="64">
        <f>ES155+ET155+EU155</f>
        <v>613.19999999999993</v>
      </c>
      <c r="EW155" s="64">
        <f>IF(AA155="YES",3.5*18.2,0)</f>
        <v>63.699999999999996</v>
      </c>
      <c r="EX155" s="64">
        <f>EV155-EW155</f>
        <v>549.49999999999989</v>
      </c>
    </row>
    <row r="156" spans="1:154" s="57" customFormat="1" ht="15" x14ac:dyDescent="0.2">
      <c r="A156" s="29" t="s">
        <v>556</v>
      </c>
      <c r="B156" s="29">
        <v>117</v>
      </c>
      <c r="C156" s="29" t="s">
        <v>1309</v>
      </c>
      <c r="D156" s="29" t="s">
        <v>392</v>
      </c>
      <c r="E156" s="29" t="str">
        <f>VLOOKUP(D156,Harvest_2017_Formulae!$C$2:$D$968,2,FALSE)</f>
        <v>SELOTO</v>
      </c>
      <c r="F156" s="29" t="s">
        <v>1310</v>
      </c>
      <c r="G156" s="29">
        <v>0</v>
      </c>
      <c r="H156" s="61" t="str">
        <f>IF(G156&lt;0.05,"Homefield",IF(G156&lt;0.5,"Midfield","outfield"))</f>
        <v>Homefield</v>
      </c>
      <c r="I156" s="29" t="s">
        <v>557</v>
      </c>
      <c r="J156" s="61" t="s">
        <v>2233</v>
      </c>
      <c r="K156" s="61" t="s">
        <v>2233</v>
      </c>
      <c r="L156" s="67">
        <v>0</v>
      </c>
      <c r="M156" s="29"/>
      <c r="N156" s="29"/>
      <c r="O156" s="29" t="s">
        <v>547</v>
      </c>
      <c r="P156" s="29"/>
      <c r="Q156" s="67">
        <v>1</v>
      </c>
      <c r="R156" s="29" t="s">
        <v>558</v>
      </c>
      <c r="S156" s="29">
        <v>6</v>
      </c>
      <c r="T156" s="29" t="s">
        <v>559</v>
      </c>
      <c r="U156" s="29" t="s">
        <v>560</v>
      </c>
      <c r="V156" s="29"/>
      <c r="W156" s="29" t="s">
        <v>561</v>
      </c>
      <c r="X156" s="29"/>
      <c r="Y156" s="29">
        <v>5</v>
      </c>
      <c r="Z156" s="29" t="s">
        <v>547</v>
      </c>
      <c r="AA156" s="61" t="s">
        <v>546</v>
      </c>
      <c r="AB156" s="29" t="s">
        <v>547</v>
      </c>
      <c r="AC156" s="67">
        <v>0</v>
      </c>
      <c r="AD156" s="29" t="s">
        <v>547</v>
      </c>
      <c r="AE156" s="29"/>
      <c r="AF156" s="29" t="s">
        <v>547</v>
      </c>
      <c r="AG156" s="29" t="s">
        <v>547</v>
      </c>
      <c r="AH156" s="29" t="s">
        <v>546</v>
      </c>
      <c r="AI156" s="29" t="s">
        <v>546</v>
      </c>
      <c r="AJ156" s="29" t="s">
        <v>547</v>
      </c>
      <c r="AK156" s="67">
        <v>0</v>
      </c>
      <c r="AL156" s="29" t="s">
        <v>547</v>
      </c>
      <c r="AM156" s="29"/>
      <c r="AN156" s="29"/>
      <c r="AO156" s="29" t="s">
        <v>547</v>
      </c>
      <c r="AP156" s="29" t="s">
        <v>547</v>
      </c>
      <c r="AQ156" s="4">
        <f>Q156+AK156</f>
        <v>1</v>
      </c>
      <c r="AR156" s="4">
        <f>L156+AC156</f>
        <v>0</v>
      </c>
      <c r="AS156" t="str">
        <f>AQ156&amp;AR156</f>
        <v>10</v>
      </c>
      <c r="AT156" s="49">
        <f>AQ156-AR156</f>
        <v>1</v>
      </c>
      <c r="AU156">
        <v>2</v>
      </c>
      <c r="AV156" s="29" t="s">
        <v>548</v>
      </c>
      <c r="AW156" s="29">
        <v>0.25</v>
      </c>
      <c r="AX156" s="29" t="s">
        <v>548</v>
      </c>
      <c r="AY156" s="29">
        <v>1</v>
      </c>
      <c r="AZ156" s="29">
        <v>2.5</v>
      </c>
      <c r="BA156" s="29" t="s">
        <v>546</v>
      </c>
      <c r="BB156" s="29" t="s">
        <v>547</v>
      </c>
      <c r="BC156" s="29"/>
      <c r="BD156" s="29">
        <f>AW156+AZ156</f>
        <v>2.75</v>
      </c>
      <c r="BE156" s="29">
        <f>BD156+BC156</f>
        <v>2.75</v>
      </c>
      <c r="BF156" s="29" t="s">
        <v>548</v>
      </c>
      <c r="BG156" s="29" t="s">
        <v>548</v>
      </c>
      <c r="BH156" s="29" t="s">
        <v>548</v>
      </c>
      <c r="BI156" s="29" t="s">
        <v>548</v>
      </c>
      <c r="BJ156" s="29" t="s">
        <v>546</v>
      </c>
      <c r="BK156" s="29" t="s">
        <v>546</v>
      </c>
      <c r="BL156" s="29">
        <v>2</v>
      </c>
      <c r="BM156" s="29" t="s">
        <v>562</v>
      </c>
      <c r="BN156" s="29">
        <v>2</v>
      </c>
      <c r="BO156" s="29" t="s">
        <v>549</v>
      </c>
      <c r="BP156" s="29">
        <v>5</v>
      </c>
      <c r="BQ156" s="29" t="s">
        <v>549</v>
      </c>
      <c r="BR156" s="29">
        <v>6</v>
      </c>
      <c r="BS156" s="29" t="s">
        <v>549</v>
      </c>
      <c r="BT156" s="29"/>
      <c r="BU156" s="29" t="s">
        <v>547</v>
      </c>
      <c r="BV156" s="29"/>
      <c r="BW156" s="29">
        <f>(BL156*1)+(BN156*0.1)+(BP156*0.01)+(BR156*0.1)+(BT156*0.3)+(BV156*0.4)</f>
        <v>2.85</v>
      </c>
      <c r="BX156" s="29" t="s">
        <v>2219</v>
      </c>
      <c r="BY156" s="29">
        <v>3</v>
      </c>
      <c r="BZ156" s="29">
        <v>2</v>
      </c>
      <c r="CA156" s="29">
        <v>1</v>
      </c>
      <c r="CB156" s="29">
        <v>6</v>
      </c>
      <c r="CC156" s="29">
        <v>0</v>
      </c>
      <c r="CD156" s="29">
        <v>0</v>
      </c>
      <c r="CE156" s="29">
        <v>0</v>
      </c>
      <c r="CF156" s="29"/>
      <c r="CG156" s="29">
        <f>(CC156*15)+(CD156*0.8)+(CE156*0.3)+((AW156+AZ156)*15)</f>
        <v>41.25</v>
      </c>
      <c r="CH156" s="29" t="s">
        <v>2220</v>
      </c>
      <c r="CI156" s="29">
        <f>(BL156*1)+(BN156*0.1)+(BP156*0.01)+(BR156*0.1)+(BT156*0.3)+(BV156*0.4)+(CC156*15)+(CD156*0.8)+(CE156*0.3)+((AW156+AZ156)*15)</f>
        <v>44.1</v>
      </c>
      <c r="CJ156" s="29" t="s">
        <v>546</v>
      </c>
      <c r="CK156" s="29" t="s">
        <v>547</v>
      </c>
      <c r="CL156" s="29" t="s">
        <v>546</v>
      </c>
      <c r="CM156" s="29" t="s">
        <v>547</v>
      </c>
      <c r="CN156" s="29">
        <v>0.25</v>
      </c>
      <c r="CO156" s="29">
        <v>2.25</v>
      </c>
      <c r="CP156" s="29"/>
      <c r="CQ156" s="29" t="s">
        <v>546</v>
      </c>
      <c r="CR156" s="29">
        <v>2.5</v>
      </c>
      <c r="CS156" s="29">
        <v>20</v>
      </c>
      <c r="CT156" s="29" t="s">
        <v>551</v>
      </c>
      <c r="CU156" s="30">
        <v>1.92</v>
      </c>
      <c r="CV156" s="29">
        <v>2.5</v>
      </c>
      <c r="CW156" s="29">
        <v>3</v>
      </c>
      <c r="CX156" s="29" t="s">
        <v>552</v>
      </c>
      <c r="CY156" s="62">
        <v>4.8095999999999986E-2</v>
      </c>
      <c r="CZ156" s="29">
        <v>2.5</v>
      </c>
      <c r="DA156" s="29">
        <v>1</v>
      </c>
      <c r="DB156" s="29" t="s">
        <v>551</v>
      </c>
      <c r="DC156" s="62">
        <v>9.6000000000000002E-2</v>
      </c>
      <c r="DD156" s="29" t="s">
        <v>546</v>
      </c>
      <c r="DE156" s="29" t="s">
        <v>546</v>
      </c>
      <c r="DF156" s="29" t="s">
        <v>546</v>
      </c>
      <c r="DG156" s="29" t="s">
        <v>546</v>
      </c>
      <c r="DH156" s="29" t="s">
        <v>546</v>
      </c>
      <c r="DI156" s="29">
        <v>0</v>
      </c>
      <c r="DJ156" s="29">
        <v>2</v>
      </c>
      <c r="DK156" s="29" t="s">
        <v>1311</v>
      </c>
      <c r="DL156" s="29" t="s">
        <v>1312</v>
      </c>
      <c r="DM156" s="29">
        <v>-4.2573752403259277</v>
      </c>
      <c r="DN156" s="29">
        <v>35.511997222900391</v>
      </c>
      <c r="DO156" s="29">
        <v>1692.300048828125</v>
      </c>
      <c r="DP156" s="29">
        <v>5</v>
      </c>
      <c r="DQ156" s="29">
        <v>1706031849</v>
      </c>
      <c r="DR156" s="29" t="s">
        <v>1313</v>
      </c>
      <c r="DS156" s="31">
        <v>42906.498958333337</v>
      </c>
      <c r="DT156" s="31">
        <v>42903.598275462966</v>
      </c>
      <c r="DU156" s="31">
        <v>42903.612523148149</v>
      </c>
      <c r="DV156" s="32">
        <v>42752</v>
      </c>
      <c r="DW156" s="29"/>
      <c r="DX156" s="44">
        <v>5.0474336283185837</v>
      </c>
      <c r="DY156" s="44">
        <v>3.2319764011799408</v>
      </c>
      <c r="DZ156" s="44">
        <v>1.3824175824175826</v>
      </c>
      <c r="EA156" s="44">
        <v>1.4727716727716726</v>
      </c>
      <c r="EB156" s="34"/>
      <c r="EC156" s="29">
        <f>IF(EQ156&lt;EP156,"FALSEE",1)</f>
        <v>1</v>
      </c>
      <c r="ED156" s="34"/>
      <c r="EE156" s="29" t="s">
        <v>2180</v>
      </c>
      <c r="EF156" s="29">
        <v>1.2062788009600001</v>
      </c>
      <c r="EG156" s="29" t="str">
        <f>IF(EF156&lt;0.5,"Depression",IF(EF156&lt;2,"Very gentle",IF(EF156&lt;5,"Gentle",IF(EF156&lt;9,"Moderate",IF(EF156&lt;15,"Strong",IF(EF156&lt;30,"Steep",IF(EF156&lt;1,"Very steep")))))))</f>
        <v>Very gentle</v>
      </c>
      <c r="EH156" s="29" t="s">
        <v>2173</v>
      </c>
      <c r="EI156" s="29">
        <v>0.45321798324599999</v>
      </c>
      <c r="EJ156" s="43">
        <v>8.5595359802199997</v>
      </c>
      <c r="EK156" s="43">
        <f>VLOOKUP(D156,[1]SoilData!$G$15:$K$237,5,FALSE)</f>
        <v>505.88190018039694</v>
      </c>
      <c r="EL156" s="43">
        <f>VLOOKUP(D156,[1]SoilData!$G$245:$K$451,5,FALSE)</f>
        <v>328.52167339575652</v>
      </c>
      <c r="EM156" s="43">
        <f>VLOOKUP(D156,[1]SoilData!$G$15:$M$238,7,FALSE)</f>
        <v>1.86</v>
      </c>
      <c r="EN156" s="43">
        <f>VLOOKUP(D156,[1]SoilData!$G$245:$M$454,7,FALSE)</f>
        <v>1.542</v>
      </c>
      <c r="EO156" s="60">
        <f>EM156-EN156</f>
        <v>0.31800000000000006</v>
      </c>
      <c r="EP156" s="44">
        <f>AVERAGE(DZ156:EA156)</f>
        <v>1.4275946275946276</v>
      </c>
      <c r="EQ156" s="44">
        <f>AVERAGE(DX156:DY156)</f>
        <v>4.1397050147492624</v>
      </c>
      <c r="ER156" s="43">
        <f>EQ156-EP156</f>
        <v>2.7121103871546346</v>
      </c>
      <c r="ES156" s="64">
        <f>IF(CU156&gt;0.000001,CU156*352,0)</f>
        <v>675.83999999999992</v>
      </c>
      <c r="ET156" s="64">
        <f>IF(DC156&gt;0.0001,DC156*682,0)</f>
        <v>65.472000000000008</v>
      </c>
      <c r="EU156" s="64">
        <f>CY156*795</f>
        <v>38.236319999999992</v>
      </c>
      <c r="EV156" s="64">
        <f>ES156+ET156+EU156</f>
        <v>779.54831999999988</v>
      </c>
      <c r="EW156" s="64">
        <f>IF(AA156="YES",3.5*18.2,0)</f>
        <v>0</v>
      </c>
      <c r="EX156" s="64">
        <f>EV156-EW156</f>
        <v>779.54831999999988</v>
      </c>
    </row>
    <row r="157" spans="1:154" ht="15" x14ac:dyDescent="0.2">
      <c r="A157" s="29" t="s">
        <v>789</v>
      </c>
      <c r="B157" s="29">
        <v>67</v>
      </c>
      <c r="C157" s="29" t="s">
        <v>283</v>
      </c>
      <c r="D157" s="29" t="s">
        <v>283</v>
      </c>
      <c r="E157" s="29" t="str">
        <f>VLOOKUP(D157,Harvest_2017_Formulae!$C$2:$D$968,2,FALSE)</f>
        <v>SOLETO</v>
      </c>
      <c r="F157" s="29" t="s">
        <v>1310</v>
      </c>
      <c r="G157" s="29">
        <v>1.25</v>
      </c>
      <c r="H157" s="61" t="str">
        <f>IF(G157&lt;0.05,"Homefield",IF(G157&lt;0.5,"Midfield","outfield"))</f>
        <v>outfield</v>
      </c>
      <c r="I157" s="29" t="s">
        <v>557</v>
      </c>
      <c r="J157" s="61" t="s">
        <v>2233</v>
      </c>
      <c r="K157" s="61" t="s">
        <v>2233</v>
      </c>
      <c r="L157" s="67">
        <v>0</v>
      </c>
      <c r="O157" s="29" t="s">
        <v>547</v>
      </c>
      <c r="Q157" s="67">
        <v>1</v>
      </c>
      <c r="R157" s="29" t="s">
        <v>942</v>
      </c>
      <c r="S157" s="29">
        <v>2</v>
      </c>
      <c r="T157" s="29">
        <v>2</v>
      </c>
      <c r="U157" s="29" t="s">
        <v>560</v>
      </c>
      <c r="W157" s="29" t="s">
        <v>561</v>
      </c>
      <c r="Y157" s="29">
        <v>10000</v>
      </c>
      <c r="Z157" s="29" t="s">
        <v>547</v>
      </c>
      <c r="AA157" s="61" t="s">
        <v>548</v>
      </c>
      <c r="AB157" s="29" t="s">
        <v>568</v>
      </c>
      <c r="AC157" s="67">
        <v>0</v>
      </c>
      <c r="AD157" s="29" t="s">
        <v>547</v>
      </c>
      <c r="AF157" s="29" t="s">
        <v>547</v>
      </c>
      <c r="AG157" s="29" t="s">
        <v>547</v>
      </c>
      <c r="AH157" s="29" t="s">
        <v>548</v>
      </c>
      <c r="AI157" s="29" t="s">
        <v>546</v>
      </c>
      <c r="AK157" s="67">
        <v>0</v>
      </c>
      <c r="AL157" s="29" t="s">
        <v>547</v>
      </c>
      <c r="AO157" s="29" t="s">
        <v>547</v>
      </c>
      <c r="AP157" s="29" t="s">
        <v>547</v>
      </c>
      <c r="AQ157" s="4">
        <f>Q157+AK157</f>
        <v>1</v>
      </c>
      <c r="AR157" s="4">
        <f>L157+AC157</f>
        <v>0</v>
      </c>
      <c r="AS157" t="str">
        <f>AQ157&amp;AR157</f>
        <v>10</v>
      </c>
      <c r="AT157" s="49">
        <f>AQ157-AR157</f>
        <v>1</v>
      </c>
      <c r="AU157">
        <v>2</v>
      </c>
      <c r="AV157" s="29" t="s">
        <v>548</v>
      </c>
      <c r="AW157" s="29">
        <v>0.25</v>
      </c>
      <c r="AX157" s="29" t="s">
        <v>548</v>
      </c>
      <c r="AY157" s="29">
        <v>4</v>
      </c>
      <c r="AZ157" s="29">
        <v>5</v>
      </c>
      <c r="BA157" s="29" t="s">
        <v>546</v>
      </c>
      <c r="BB157" s="29" t="s">
        <v>547</v>
      </c>
      <c r="BD157" s="29">
        <f>AW157+AZ157</f>
        <v>5.25</v>
      </c>
      <c r="BE157" s="29">
        <f>BD157+BC157</f>
        <v>5.25</v>
      </c>
      <c r="BF157" s="29" t="s">
        <v>548</v>
      </c>
      <c r="BG157" s="29" t="s">
        <v>548</v>
      </c>
      <c r="BH157" s="29" t="s">
        <v>548</v>
      </c>
      <c r="BI157" s="29" t="s">
        <v>548</v>
      </c>
      <c r="BJ157" s="29" t="s">
        <v>548</v>
      </c>
      <c r="BK157" s="29" t="s">
        <v>546</v>
      </c>
      <c r="BL157" s="29">
        <v>2</v>
      </c>
      <c r="BM157" s="29" t="s">
        <v>580</v>
      </c>
      <c r="BN157" s="29">
        <v>6</v>
      </c>
      <c r="BO157" s="29" t="s">
        <v>580</v>
      </c>
      <c r="BP157" s="29">
        <v>8</v>
      </c>
      <c r="BQ157" s="29" t="s">
        <v>580</v>
      </c>
      <c r="BR157" s="29">
        <v>1</v>
      </c>
      <c r="BS157" s="29" t="s">
        <v>580</v>
      </c>
      <c r="BT157" s="29">
        <v>1</v>
      </c>
      <c r="BU157" s="29" t="s">
        <v>562</v>
      </c>
      <c r="BW157" s="29">
        <f>(BL157*1)+(BN157*0.1)+(BP157*0.01)+(BR157*0.1)+(BT157*0.3)+(BV157*0.4)</f>
        <v>3.08</v>
      </c>
      <c r="BX157" s="29" t="s">
        <v>2219</v>
      </c>
      <c r="BY157" s="29">
        <v>1</v>
      </c>
      <c r="BZ157" s="29">
        <v>1</v>
      </c>
      <c r="CA157" s="29">
        <v>6</v>
      </c>
      <c r="CB157" s="29">
        <v>8</v>
      </c>
      <c r="CC157" s="29">
        <v>0</v>
      </c>
      <c r="CD157" s="29">
        <v>1</v>
      </c>
      <c r="CE157" s="29">
        <v>0</v>
      </c>
      <c r="CG157" s="29">
        <f>(CC157*15)+(CD157*0.8)+(CE157*0.3)+((AW157+AZ157)*15)</f>
        <v>79.55</v>
      </c>
      <c r="CH157" s="29" t="s">
        <v>2221</v>
      </c>
      <c r="CI157" s="29">
        <f>(BL157*1)+(BN157*0.1)+(BP157*0.01)+(BR157*0.1)+(BT157*0.3)+(BV157*0.4)+(CC157*15)+(CD157*0.8)+(CE157*0.3)+((AW157+AZ157)*15)</f>
        <v>82.63</v>
      </c>
      <c r="CJ157" s="29" t="s">
        <v>546</v>
      </c>
      <c r="CK157" s="29" t="s">
        <v>547</v>
      </c>
      <c r="CL157" s="29" t="s">
        <v>548</v>
      </c>
      <c r="CM157" s="29" t="s">
        <v>793</v>
      </c>
      <c r="CN157" s="29">
        <v>0.75</v>
      </c>
      <c r="CO157" s="29">
        <v>4.75</v>
      </c>
      <c r="CP157" s="29">
        <v>0</v>
      </c>
      <c r="CQ157" s="29" t="s">
        <v>546</v>
      </c>
      <c r="CR157" s="29">
        <v>1</v>
      </c>
      <c r="CS157" s="29">
        <v>12</v>
      </c>
      <c r="CT157" s="29" t="s">
        <v>551</v>
      </c>
      <c r="CU157" s="30">
        <v>2.8800000000000003</v>
      </c>
      <c r="CV157" s="29">
        <v>1</v>
      </c>
      <c r="CW157" s="29">
        <v>1</v>
      </c>
      <c r="CX157" s="29" t="s">
        <v>551</v>
      </c>
      <c r="CY157" s="62">
        <v>0.24</v>
      </c>
      <c r="CZ157" s="29">
        <v>1</v>
      </c>
      <c r="DA157" s="29">
        <v>0.5</v>
      </c>
      <c r="DB157" s="29" t="s">
        <v>551</v>
      </c>
      <c r="DC157" s="62">
        <v>0.12</v>
      </c>
      <c r="DD157" s="29" t="s">
        <v>548</v>
      </c>
      <c r="DE157" s="29" t="s">
        <v>548</v>
      </c>
      <c r="DF157" s="29" t="s">
        <v>548</v>
      </c>
      <c r="DG157" s="29" t="s">
        <v>548</v>
      </c>
      <c r="DH157" s="29" t="s">
        <v>548</v>
      </c>
      <c r="DI157" s="29">
        <v>5</v>
      </c>
      <c r="DJ157" s="29">
        <v>3</v>
      </c>
      <c r="DK157" s="29" t="s">
        <v>1337</v>
      </c>
      <c r="DL157" s="29" t="s">
        <v>1338</v>
      </c>
      <c r="DM157" s="29">
        <v>-4.2602062225341797</v>
      </c>
      <c r="DN157" s="29">
        <v>35.519512176513672</v>
      </c>
      <c r="DO157" s="29">
        <v>1641.4000244140625</v>
      </c>
      <c r="DP157" s="29">
        <v>10</v>
      </c>
      <c r="DQ157" s="29">
        <v>1705231439</v>
      </c>
      <c r="DR157" s="29" t="s">
        <v>1339</v>
      </c>
      <c r="DS157" s="31">
        <v>42923.387071759258</v>
      </c>
      <c r="DT157" s="31">
        <v>42902.382766203707</v>
      </c>
      <c r="DU157" s="31">
        <v>42923.385671296295</v>
      </c>
      <c r="DV157" s="32">
        <v>42739</v>
      </c>
      <c r="DX157" s="44">
        <v>4.1839557399723377</v>
      </c>
      <c r="DY157" s="44">
        <v>4.2790456431535278</v>
      </c>
      <c r="DZ157" s="44"/>
      <c r="EA157" s="44">
        <v>3.3598432457353624</v>
      </c>
      <c r="EC157" s="29">
        <f>IF(EQ157&lt;EP157,"FALSEE",1)</f>
        <v>1</v>
      </c>
      <c r="EE157" s="29" t="s">
        <v>2171</v>
      </c>
      <c r="EF157" s="29">
        <v>2.6196329593700001</v>
      </c>
      <c r="EG157" s="29" t="str">
        <f>IF(EF157&lt;0.5,"Depression",IF(EF157&lt;2,"Very gentle",IF(EF157&lt;5,"Gentle",IF(EF157&lt;9,"Moderate",IF(EF157&lt;15,"Strong",IF(EF157&lt;30,"Steep",IF(EF157&lt;1,"Very steep")))))))</f>
        <v>Gentle</v>
      </c>
      <c r="EH157" s="29" t="s">
        <v>2173</v>
      </c>
      <c r="EI157" s="29">
        <v>0.18129228055499999</v>
      </c>
      <c r="EJ157" s="43">
        <v>9.7167339325000004</v>
      </c>
      <c r="EK157" s="43">
        <f>VLOOKUP(D157,[1]SoilData!$G$15:$K$237,5,FALSE)</f>
        <v>332.34959195945368</v>
      </c>
      <c r="EL157" s="43">
        <f>VLOOKUP(D157,[1]SoilData!$G$245:$K$451,5,FALSE)</f>
        <v>186.15334557858839</v>
      </c>
      <c r="EM157" s="43">
        <f>VLOOKUP(D157,[1]SoilData!$G$15:$M$238,7,FALSE)</f>
        <v>1.4390000000000001</v>
      </c>
      <c r="EN157" s="43">
        <f>VLOOKUP(D157,[1]SoilData!$G$245:$M$454,7,FALSE)</f>
        <v>1.3069999999999999</v>
      </c>
      <c r="EO157" s="60">
        <f>EM157-EN157</f>
        <v>0.13200000000000012</v>
      </c>
      <c r="EP157" s="44">
        <f>AVERAGE(DZ157:EA157)</f>
        <v>3.3598432457353624</v>
      </c>
      <c r="EQ157" s="44">
        <f>AVERAGE(DX157:DY157)</f>
        <v>4.2315006915629327</v>
      </c>
      <c r="ER157" s="43">
        <f>EQ157-EP157</f>
        <v>0.87165744582757032</v>
      </c>
      <c r="ES157" s="64">
        <f>IF(CU157&gt;0.000001,CU157*352,0)</f>
        <v>1013.7600000000001</v>
      </c>
      <c r="ET157" s="64">
        <f>IF(DC157&gt;0.0001,DC157*682,0)</f>
        <v>81.84</v>
      </c>
      <c r="EU157" s="64">
        <f>CY157*795</f>
        <v>190.79999999999998</v>
      </c>
      <c r="EV157" s="64">
        <f>ES157+ET157+EU157</f>
        <v>1286.4000000000001</v>
      </c>
      <c r="EW157" s="64">
        <f>IF(AA157="YES",3.5*18.2,0)</f>
        <v>63.699999999999996</v>
      </c>
      <c r="EX157" s="64">
        <f>EV157-EW157</f>
        <v>1222.7</v>
      </c>
    </row>
    <row r="158" spans="1:154" ht="15" x14ac:dyDescent="0.2">
      <c r="A158" s="29" t="s">
        <v>1182</v>
      </c>
      <c r="B158" s="29">
        <v>87</v>
      </c>
      <c r="C158" s="29" t="s">
        <v>1481</v>
      </c>
      <c r="D158" s="29" t="s">
        <v>1481</v>
      </c>
      <c r="E158" s="29" t="e">
        <f>VLOOKUP(D158,Harvest_2017_Formulae!$C$2:$D$968,2,FALSE)</f>
        <v>#N/A</v>
      </c>
      <c r="F158" s="29" t="s">
        <v>1175</v>
      </c>
      <c r="G158" s="29">
        <v>0</v>
      </c>
      <c r="H158" s="61" t="str">
        <f>IF(G158&lt;0.05,"Homefield",IF(G158&lt;0.5,"Midfield","outfield"))</f>
        <v>Homefield</v>
      </c>
      <c r="I158" s="29" t="s">
        <v>557</v>
      </c>
      <c r="J158" s="61" t="s">
        <v>2233</v>
      </c>
      <c r="K158" s="61" t="s">
        <v>2233</v>
      </c>
      <c r="L158" s="67">
        <v>0</v>
      </c>
      <c r="O158" s="29" t="s">
        <v>547</v>
      </c>
      <c r="Q158" s="67">
        <v>1</v>
      </c>
      <c r="R158" s="29" t="s">
        <v>615</v>
      </c>
      <c r="S158" s="29">
        <v>1</v>
      </c>
      <c r="T158" s="29">
        <v>1</v>
      </c>
      <c r="U158" s="29" t="s">
        <v>560</v>
      </c>
      <c r="W158" s="29" t="s">
        <v>635</v>
      </c>
      <c r="Y158" s="29">
        <v>5000</v>
      </c>
      <c r="Z158" s="29" t="s">
        <v>547</v>
      </c>
      <c r="AA158" s="61" t="s">
        <v>548</v>
      </c>
      <c r="AB158" s="29" t="s">
        <v>568</v>
      </c>
      <c r="AC158" s="67">
        <v>0</v>
      </c>
      <c r="AD158" s="29" t="s">
        <v>547</v>
      </c>
      <c r="AF158" s="29" t="s">
        <v>547</v>
      </c>
      <c r="AG158" s="29" t="s">
        <v>547</v>
      </c>
      <c r="AH158" s="29" t="s">
        <v>548</v>
      </c>
      <c r="AI158" s="29" t="s">
        <v>546</v>
      </c>
      <c r="AJ158" s="29" t="s">
        <v>547</v>
      </c>
      <c r="AK158" s="67">
        <v>0</v>
      </c>
      <c r="AL158" s="29" t="s">
        <v>547</v>
      </c>
      <c r="AO158" s="29" t="s">
        <v>547</v>
      </c>
      <c r="AP158" s="29" t="s">
        <v>547</v>
      </c>
      <c r="AQ158" s="4">
        <f>Q158+AK158</f>
        <v>1</v>
      </c>
      <c r="AR158" s="4">
        <f>L158+AC158</f>
        <v>0</v>
      </c>
      <c r="AS158" t="str">
        <f>AQ158&amp;AR158</f>
        <v>10</v>
      </c>
      <c r="AT158" s="49">
        <f>AQ158-AR158</f>
        <v>1</v>
      </c>
      <c r="AU158">
        <v>2</v>
      </c>
      <c r="AV158" s="29" t="s">
        <v>548</v>
      </c>
      <c r="AW158" s="29">
        <v>3</v>
      </c>
      <c r="AX158" s="29" t="s">
        <v>548</v>
      </c>
      <c r="AY158" s="29">
        <v>2</v>
      </c>
      <c r="AZ158" s="29">
        <v>3</v>
      </c>
      <c r="BA158" s="29" t="s">
        <v>546</v>
      </c>
      <c r="BB158" s="29" t="s">
        <v>547</v>
      </c>
      <c r="BD158" s="29">
        <f>AW158+AZ158</f>
        <v>6</v>
      </c>
      <c r="BE158" s="29">
        <f>BD158+BC158</f>
        <v>6</v>
      </c>
      <c r="BF158" s="29" t="s">
        <v>548</v>
      </c>
      <c r="BG158" s="29" t="s">
        <v>546</v>
      </c>
      <c r="BH158" s="29" t="s">
        <v>546</v>
      </c>
      <c r="BI158" s="29" t="s">
        <v>548</v>
      </c>
      <c r="BJ158" s="29" t="s">
        <v>546</v>
      </c>
      <c r="BK158" s="29" t="s">
        <v>548</v>
      </c>
      <c r="BL158" s="29">
        <v>2</v>
      </c>
      <c r="BM158" s="29" t="s">
        <v>562</v>
      </c>
      <c r="BO158" s="29" t="s">
        <v>547</v>
      </c>
      <c r="BQ158" s="29" t="s">
        <v>547</v>
      </c>
      <c r="BR158" s="29">
        <v>3</v>
      </c>
      <c r="BS158" s="29" t="s">
        <v>562</v>
      </c>
      <c r="BU158" s="29" t="s">
        <v>547</v>
      </c>
      <c r="BV158" s="29">
        <v>2</v>
      </c>
      <c r="BW158" s="29">
        <f>(BL158*1)+(BN158*0.1)+(BP158*0.01)+(BR158*0.1)+(BT158*0.3)+(BV158*0.4)</f>
        <v>3.0999999999999996</v>
      </c>
      <c r="BX158" s="29" t="s">
        <v>2219</v>
      </c>
      <c r="BY158" s="29">
        <v>1</v>
      </c>
      <c r="BZ158" s="29">
        <v>2</v>
      </c>
      <c r="CA158" s="29">
        <v>6</v>
      </c>
      <c r="CB158" s="29">
        <v>9</v>
      </c>
      <c r="CC158" s="29">
        <v>0</v>
      </c>
      <c r="CD158" s="29">
        <v>0</v>
      </c>
      <c r="CE158" s="29">
        <v>0</v>
      </c>
      <c r="CG158" s="29">
        <f>(CC158*15)+(CD158*0.8)+(CE158*0.3)+((AW158+AZ158)*15)</f>
        <v>90</v>
      </c>
      <c r="CH158" s="29" t="s">
        <v>2221</v>
      </c>
      <c r="CI158" s="29">
        <f>(BL158*1)+(BN158*0.1)+(BP158*0.01)+(BR158*0.1)+(BT158*0.3)+(BV158*0.4)+(CC158*15)+(CD158*0.8)+(CE158*0.3)+((AW158+AZ158)*15)</f>
        <v>93.1</v>
      </c>
      <c r="CJ158" s="29" t="s">
        <v>546</v>
      </c>
      <c r="CK158" s="29" t="s">
        <v>547</v>
      </c>
      <c r="CL158" s="29" t="s">
        <v>546</v>
      </c>
      <c r="CM158" s="29" t="s">
        <v>547</v>
      </c>
      <c r="CN158" s="29">
        <v>0</v>
      </c>
      <c r="CO158" s="29">
        <v>2</v>
      </c>
      <c r="CP158" s="29">
        <v>10</v>
      </c>
      <c r="CQ158" s="29" t="s">
        <v>546</v>
      </c>
      <c r="CR158" s="29">
        <v>1</v>
      </c>
      <c r="CS158" s="29">
        <v>5</v>
      </c>
      <c r="CT158" s="29" t="s">
        <v>551</v>
      </c>
      <c r="CU158" s="30">
        <v>1.2</v>
      </c>
      <c r="CV158" s="29">
        <v>1</v>
      </c>
      <c r="CW158" s="29">
        <v>0.82999998331069946</v>
      </c>
      <c r="CX158" s="29" t="s">
        <v>551</v>
      </c>
      <c r="CY158" s="62">
        <v>0.19919999599456786</v>
      </c>
      <c r="CZ158" s="29">
        <v>1</v>
      </c>
      <c r="DA158" s="29">
        <v>0.92000001668930054</v>
      </c>
      <c r="DB158" s="29" t="s">
        <v>551</v>
      </c>
      <c r="DC158" s="62">
        <v>0.22080000400543212</v>
      </c>
      <c r="DD158" s="29" t="s">
        <v>548</v>
      </c>
      <c r="DE158" s="29" t="s">
        <v>548</v>
      </c>
      <c r="DF158" s="29" t="s">
        <v>548</v>
      </c>
      <c r="DG158" s="29" t="s">
        <v>548</v>
      </c>
      <c r="DH158" s="29" t="s">
        <v>548</v>
      </c>
      <c r="DI158" s="29">
        <v>5</v>
      </c>
      <c r="DJ158" s="29">
        <v>3</v>
      </c>
      <c r="DK158" s="29" t="s">
        <v>1482</v>
      </c>
      <c r="DL158" s="29" t="s">
        <v>1483</v>
      </c>
      <c r="DM158" s="29">
        <v>-4.3497371673583984</v>
      </c>
      <c r="DN158" s="29">
        <v>35.461997985839844</v>
      </c>
      <c r="DO158" s="29">
        <v>1669.5</v>
      </c>
      <c r="DP158" s="29">
        <v>10</v>
      </c>
      <c r="DQ158" s="29">
        <v>1705231439</v>
      </c>
      <c r="DR158" s="29" t="s">
        <v>1484</v>
      </c>
      <c r="DS158" s="31">
        <v>42927.345277777778</v>
      </c>
      <c r="DT158" s="31">
        <v>42894.662222222221</v>
      </c>
      <c r="DU158" s="31">
        <v>42927.343796296293</v>
      </c>
      <c r="DV158" s="32">
        <v>42774</v>
      </c>
      <c r="EB158" s="34"/>
      <c r="EC158" s="29">
        <f>IF(EQ158&lt;EP158,"FALSEE",1)</f>
        <v>1</v>
      </c>
      <c r="ED158" s="34"/>
      <c r="EE158" s="29" t="s">
        <v>2174</v>
      </c>
      <c r="EF158" s="29">
        <v>5.1211724281300004</v>
      </c>
      <c r="EG158" s="29" t="str">
        <f>IF(EF158&lt;0.5,"Depression",IF(EF158&lt;2,"Very gentle",IF(EF158&lt;5,"Gentle",IF(EF158&lt;9,"Moderate",IF(EF158&lt;15,"Strong",IF(EF158&lt;30,"Steep",IF(EF158&lt;1,"Very steep")))))))</f>
        <v>Moderate</v>
      </c>
      <c r="EH158" s="29" t="s">
        <v>2178</v>
      </c>
      <c r="EI158" s="29">
        <v>0.45321798324599999</v>
      </c>
      <c r="EJ158" s="43">
        <v>7.87680244446</v>
      </c>
      <c r="EK158" s="43"/>
      <c r="EL158" s="43"/>
      <c r="EM158" s="43"/>
      <c r="EN158" s="43"/>
      <c r="EO158" s="60"/>
      <c r="EP158" s="43"/>
      <c r="EQ158" s="43"/>
      <c r="ER158" s="43"/>
      <c r="ES158" s="64">
        <f>IF(CU158&gt;0.000001,CU158*352,0)</f>
        <v>422.4</v>
      </c>
      <c r="ET158" s="64">
        <f>IF(DC158&gt;0.0001,DC158*682,0)</f>
        <v>150.58560273170471</v>
      </c>
      <c r="EU158" s="64">
        <f>CY158*795</f>
        <v>158.36399681568145</v>
      </c>
      <c r="EV158" s="64">
        <f>ES158+ET158+EU158</f>
        <v>731.34959954738611</v>
      </c>
      <c r="EW158" s="64">
        <f>IF(AA158="YES",3.5*18.2,0)</f>
        <v>63.699999999999996</v>
      </c>
      <c r="EX158" s="64">
        <f>EV158-EW158</f>
        <v>667.64959954738606</v>
      </c>
    </row>
    <row r="159" spans="1:154" ht="15" x14ac:dyDescent="0.2">
      <c r="A159" s="29" t="s">
        <v>544</v>
      </c>
      <c r="B159" s="29">
        <v>2</v>
      </c>
      <c r="C159" s="29" t="s">
        <v>219</v>
      </c>
      <c r="D159" s="29" t="s">
        <v>219</v>
      </c>
      <c r="E159" s="29" t="str">
        <f>VLOOKUP(D159,Harvest_2017_Formulae!$C$2:$D$968,2,FALSE)</f>
        <v>ORNGADIDA</v>
      </c>
      <c r="F159" s="29" t="s">
        <v>777</v>
      </c>
      <c r="G159" s="29">
        <v>0</v>
      </c>
      <c r="H159" s="61" t="str">
        <f>IF(G159&lt;0.05,"Homefield",IF(G159&lt;0.5,"Midfield","outfield"))</f>
        <v>Homefield</v>
      </c>
      <c r="I159" s="29" t="s">
        <v>557</v>
      </c>
      <c r="J159" s="61" t="s">
        <v>2233</v>
      </c>
      <c r="K159" s="61" t="s">
        <v>2233</v>
      </c>
      <c r="L159" s="67">
        <v>0</v>
      </c>
      <c r="O159" s="29" t="s">
        <v>547</v>
      </c>
      <c r="Q159" s="67">
        <v>1</v>
      </c>
      <c r="R159" s="29" t="s">
        <v>615</v>
      </c>
      <c r="S159" s="29">
        <v>3</v>
      </c>
      <c r="T159" s="29">
        <v>1</v>
      </c>
      <c r="U159" s="29" t="s">
        <v>560</v>
      </c>
      <c r="W159" s="29" t="s">
        <v>635</v>
      </c>
      <c r="Y159" s="29">
        <v>7000</v>
      </c>
      <c r="Z159" s="29" t="s">
        <v>547</v>
      </c>
      <c r="AA159" s="61" t="s">
        <v>548</v>
      </c>
      <c r="AB159" s="29" t="s">
        <v>568</v>
      </c>
      <c r="AC159" s="67">
        <v>0</v>
      </c>
      <c r="AD159" s="29" t="s">
        <v>547</v>
      </c>
      <c r="AF159" s="29" t="s">
        <v>547</v>
      </c>
      <c r="AG159" s="29" t="s">
        <v>547</v>
      </c>
      <c r="AH159" s="29" t="s">
        <v>548</v>
      </c>
      <c r="AI159" s="29" t="s">
        <v>546</v>
      </c>
      <c r="AJ159" s="29" t="s">
        <v>547</v>
      </c>
      <c r="AK159" s="67">
        <v>0</v>
      </c>
      <c r="AL159" s="29" t="s">
        <v>547</v>
      </c>
      <c r="AO159" s="29" t="s">
        <v>547</v>
      </c>
      <c r="AP159" s="29" t="s">
        <v>547</v>
      </c>
      <c r="AQ159" s="4">
        <f>Q159+AK159</f>
        <v>1</v>
      </c>
      <c r="AR159" s="4">
        <f>L159+AC159</f>
        <v>0</v>
      </c>
      <c r="AS159" t="str">
        <f>AQ159&amp;AR159</f>
        <v>10</v>
      </c>
      <c r="AT159" s="49">
        <f>AQ159-AR159</f>
        <v>1</v>
      </c>
      <c r="AU159">
        <v>2</v>
      </c>
      <c r="AV159" s="29" t="s">
        <v>548</v>
      </c>
      <c r="AW159" s="29">
        <v>2</v>
      </c>
      <c r="AX159" s="29" t="s">
        <v>546</v>
      </c>
      <c r="BA159" s="29" t="s">
        <v>546</v>
      </c>
      <c r="BB159" s="29" t="s">
        <v>547</v>
      </c>
      <c r="BD159" s="29">
        <f>AW159+AZ159</f>
        <v>2</v>
      </c>
      <c r="BE159" s="29">
        <f>BD159+BC159</f>
        <v>2</v>
      </c>
      <c r="BF159" s="29" t="s">
        <v>548</v>
      </c>
      <c r="BG159" s="29" t="s">
        <v>548</v>
      </c>
      <c r="BH159" s="29" t="s">
        <v>546</v>
      </c>
      <c r="BI159" s="29" t="s">
        <v>546</v>
      </c>
      <c r="BJ159" s="29" t="s">
        <v>546</v>
      </c>
      <c r="BK159" s="29" t="s">
        <v>546</v>
      </c>
      <c r="BL159" s="29">
        <v>3</v>
      </c>
      <c r="BM159" s="29" t="s">
        <v>562</v>
      </c>
      <c r="BN159" s="29">
        <v>4</v>
      </c>
      <c r="BO159" s="29" t="s">
        <v>562</v>
      </c>
      <c r="BQ159" s="29" t="s">
        <v>547</v>
      </c>
      <c r="BS159" s="29" t="s">
        <v>547</v>
      </c>
      <c r="BU159" s="29" t="s">
        <v>547</v>
      </c>
      <c r="BW159" s="29">
        <f>(BL159*1)+(BN159*0.1)+(BP159*0.01)+(BR159*0.1)+(BT159*0.3)+(BV159*0.4)</f>
        <v>3.4</v>
      </c>
      <c r="BX159" s="29" t="s">
        <v>2219</v>
      </c>
      <c r="BY159" s="29">
        <v>1</v>
      </c>
      <c r="BZ159" s="29">
        <v>2</v>
      </c>
      <c r="CA159" s="29">
        <v>3</v>
      </c>
      <c r="CB159" s="29">
        <v>6</v>
      </c>
      <c r="CC159" s="29">
        <v>0</v>
      </c>
      <c r="CD159" s="29">
        <v>0</v>
      </c>
      <c r="CE159" s="29">
        <v>0</v>
      </c>
      <c r="CF159" s="29" t="s">
        <v>547</v>
      </c>
      <c r="CG159" s="29">
        <f>(CC159*15)+(CD159*0.8)+(CE159*0.3)+((AW159+AZ159)*15)</f>
        <v>30</v>
      </c>
      <c r="CH159" s="29" t="s">
        <v>2220</v>
      </c>
      <c r="CI159" s="29">
        <f>(BL159*1)+(BN159*0.1)+(BP159*0.01)+(BR159*0.1)+(BT159*0.3)+(BV159*0.4)+(CC159*15)+(CD159*0.8)+(CE159*0.3)+((AW159+AZ159)*15)</f>
        <v>33.4</v>
      </c>
      <c r="CJ159" s="29" t="s">
        <v>548</v>
      </c>
      <c r="CK159" s="29" t="s">
        <v>1112</v>
      </c>
      <c r="CL159" s="29" t="s">
        <v>548</v>
      </c>
      <c r="CM159" s="29" t="s">
        <v>550</v>
      </c>
      <c r="CN159" s="29">
        <v>0.25</v>
      </c>
      <c r="CP159" s="29">
        <v>0.25</v>
      </c>
      <c r="CQ159" s="29" t="s">
        <v>548</v>
      </c>
      <c r="CR159" s="29">
        <v>1</v>
      </c>
      <c r="CS159" s="29">
        <v>9</v>
      </c>
      <c r="CT159" s="29" t="s">
        <v>551</v>
      </c>
      <c r="CU159" s="30">
        <v>2.16</v>
      </c>
      <c r="CW159" s="29">
        <v>999</v>
      </c>
      <c r="CX159" s="29" t="s">
        <v>551</v>
      </c>
      <c r="CY159" s="62"/>
      <c r="CZ159" s="29">
        <v>1</v>
      </c>
      <c r="DA159" s="29">
        <v>2</v>
      </c>
      <c r="DB159" s="29" t="s">
        <v>551</v>
      </c>
      <c r="DC159" s="62">
        <v>0.48</v>
      </c>
      <c r="DD159" s="29" t="s">
        <v>546</v>
      </c>
      <c r="DE159" s="29" t="s">
        <v>546</v>
      </c>
      <c r="DF159" s="29" t="s">
        <v>546</v>
      </c>
      <c r="DG159" s="29" t="s">
        <v>546</v>
      </c>
      <c r="DH159" s="29" t="s">
        <v>546</v>
      </c>
      <c r="DI159" s="29">
        <v>0</v>
      </c>
      <c r="DJ159" s="29">
        <v>3</v>
      </c>
      <c r="DK159" s="29" t="s">
        <v>1113</v>
      </c>
      <c r="DL159" s="29" t="s">
        <v>1114</v>
      </c>
      <c r="DM159" s="29">
        <v>-4.2959508895874023</v>
      </c>
      <c r="DN159" s="29">
        <v>35.849796295166016</v>
      </c>
      <c r="DO159" s="29">
        <v>1272.199951171875</v>
      </c>
      <c r="DP159" s="29">
        <v>5</v>
      </c>
      <c r="DQ159" s="29">
        <v>1705231439</v>
      </c>
      <c r="DR159" s="29" t="s">
        <v>1115</v>
      </c>
      <c r="DS159" s="31">
        <v>42893.59511574074</v>
      </c>
      <c r="DT159" s="31">
        <v>42892.40730324074</v>
      </c>
      <c r="DU159" s="31">
        <v>42892.491342592592</v>
      </c>
      <c r="DV159" s="32">
        <v>42773</v>
      </c>
      <c r="DX159" s="44">
        <v>6.4897877652933831</v>
      </c>
      <c r="DY159" s="44">
        <v>8.4080399500624221</v>
      </c>
      <c r="DZ159" s="44">
        <v>7.3222388059701498</v>
      </c>
      <c r="EA159" s="44">
        <v>6.8176119402985069</v>
      </c>
      <c r="EC159" s="29">
        <f>IF(EQ159&lt;EP159,"FALSEE",1)</f>
        <v>1</v>
      </c>
      <c r="EE159" s="29" t="s">
        <v>2171</v>
      </c>
      <c r="EF159" s="29">
        <v>1.52882194519</v>
      </c>
      <c r="EG159" s="29" t="str">
        <f>IF(EF159&lt;0.5,"Depression",IF(EF159&lt;2,"Very gentle",IF(EF159&lt;5,"Gentle",IF(EF159&lt;9,"Moderate",IF(EF159&lt;15,"Strong",IF(EF159&lt;30,"Steep",IF(EF159&lt;1,"Very steep")))))))</f>
        <v>Very gentle</v>
      </c>
      <c r="EH159" s="29" t="s">
        <v>2173</v>
      </c>
      <c r="EI159" s="29">
        <v>-9.0633422136300004E-2</v>
      </c>
      <c r="EJ159" s="43">
        <v>9.7258768081699998</v>
      </c>
      <c r="EK159" s="43">
        <f>VLOOKUP(D159,[1]SoilData!$G$15:$K$237,5,FALSE)</f>
        <v>207.05817873887941</v>
      </c>
      <c r="EL159" s="43">
        <f>VLOOKUP(D159,[1]SoilData!$G$245:$K$451,5,FALSE)</f>
        <v>273.635597321592</v>
      </c>
      <c r="EM159" s="43">
        <f>VLOOKUP(D159,[1]SoilData!$G$15:$M$238,7,FALSE)</f>
        <v>1.4359999999999999</v>
      </c>
      <c r="EN159" s="43">
        <f>VLOOKUP(D159,[1]SoilData!$G$245:$M$454,7,FALSE)</f>
        <v>1.139</v>
      </c>
      <c r="EO159" s="60">
        <f>EM159-EN159</f>
        <v>0.29699999999999993</v>
      </c>
      <c r="EP159" s="44">
        <f>AVERAGE(DZ159:EA159)</f>
        <v>7.0699253731343283</v>
      </c>
      <c r="EQ159" s="44">
        <f>AVERAGE(DX159:DY159)</f>
        <v>7.448913857677903</v>
      </c>
      <c r="ER159" s="43">
        <f>EQ159-EP159</f>
        <v>0.3789884845435747</v>
      </c>
      <c r="ES159" s="64">
        <f>IF(CU159&gt;0.000001,CU159*352,0)</f>
        <v>760.32</v>
      </c>
      <c r="ET159" s="64">
        <f>IF(DC159&gt;0.0001,DC159*682,0)</f>
        <v>327.36</v>
      </c>
      <c r="EU159" s="64">
        <f>CY159*795</f>
        <v>0</v>
      </c>
      <c r="EV159" s="64">
        <f>ES159+ET159+EU159</f>
        <v>1087.68</v>
      </c>
      <c r="EW159" s="64">
        <f>IF(AA159="YES",3.5*18.2,0)</f>
        <v>63.699999999999996</v>
      </c>
      <c r="EX159" s="64">
        <f>EV159-EW159</f>
        <v>1023.98</v>
      </c>
    </row>
    <row r="160" spans="1:154" ht="15" x14ac:dyDescent="0.2">
      <c r="A160" s="29" t="s">
        <v>556</v>
      </c>
      <c r="B160" s="29">
        <v>197</v>
      </c>
      <c r="C160" s="29" t="s">
        <v>409</v>
      </c>
      <c r="D160" s="29" t="s">
        <v>409</v>
      </c>
      <c r="E160" s="29" t="str">
        <f>VLOOKUP(D160,Harvest_2017_Formulae!$C$2:$D$968,2,FALSE)</f>
        <v>TSAMASI</v>
      </c>
      <c r="F160" s="29" t="s">
        <v>1014</v>
      </c>
      <c r="G160" s="29">
        <v>0</v>
      </c>
      <c r="H160" s="61" t="str">
        <f>IF(G160&lt;0.05,"Homefield",IF(G160&lt;0.5,"Midfield","outfield"))</f>
        <v>Homefield</v>
      </c>
      <c r="I160" s="29" t="s">
        <v>557</v>
      </c>
      <c r="J160" s="61" t="s">
        <v>2233</v>
      </c>
      <c r="K160" s="61" t="s">
        <v>2233</v>
      </c>
      <c r="L160" s="67">
        <v>0</v>
      </c>
      <c r="O160" s="29" t="s">
        <v>547</v>
      </c>
      <c r="Q160" s="67">
        <v>1</v>
      </c>
      <c r="R160" s="29" t="s">
        <v>558</v>
      </c>
      <c r="S160" s="29">
        <v>15</v>
      </c>
      <c r="T160" s="29" t="s">
        <v>559</v>
      </c>
      <c r="U160" s="29" t="s">
        <v>560</v>
      </c>
      <c r="W160" s="29" t="s">
        <v>561</v>
      </c>
      <c r="Y160" s="29">
        <v>1500</v>
      </c>
      <c r="Z160" s="29" t="s">
        <v>547</v>
      </c>
      <c r="AA160" s="61" t="s">
        <v>546</v>
      </c>
      <c r="AB160" s="29" t="s">
        <v>547</v>
      </c>
      <c r="AC160" s="67">
        <v>0</v>
      </c>
      <c r="AD160" s="29" t="s">
        <v>547</v>
      </c>
      <c r="AF160" s="29" t="s">
        <v>547</v>
      </c>
      <c r="AG160" s="29" t="s">
        <v>547</v>
      </c>
      <c r="AH160" s="29" t="s">
        <v>548</v>
      </c>
      <c r="AI160" s="29" t="s">
        <v>546</v>
      </c>
      <c r="AJ160" s="29" t="s">
        <v>547</v>
      </c>
      <c r="AK160" s="67">
        <v>0</v>
      </c>
      <c r="AL160" s="29" t="s">
        <v>547</v>
      </c>
      <c r="AO160" s="29" t="s">
        <v>547</v>
      </c>
      <c r="AP160" s="29" t="s">
        <v>547</v>
      </c>
      <c r="AQ160" s="4">
        <f>Q160+AK160</f>
        <v>1</v>
      </c>
      <c r="AR160" s="4">
        <f>L160+AC160</f>
        <v>0</v>
      </c>
      <c r="AS160" t="str">
        <f>AQ160&amp;AR160</f>
        <v>10</v>
      </c>
      <c r="AT160" s="49">
        <f>AQ160-AR160</f>
        <v>1</v>
      </c>
      <c r="AU160">
        <v>2</v>
      </c>
      <c r="AV160" s="29" t="s">
        <v>548</v>
      </c>
      <c r="AW160" s="29">
        <v>0.75</v>
      </c>
      <c r="AX160" s="29" t="s">
        <v>548</v>
      </c>
      <c r="AY160" s="29">
        <v>1</v>
      </c>
      <c r="AZ160" s="29">
        <v>0.25</v>
      </c>
      <c r="BA160" s="29" t="s">
        <v>546</v>
      </c>
      <c r="BB160" s="29" t="s">
        <v>547</v>
      </c>
      <c r="BD160" s="29">
        <f>AW160+AZ160</f>
        <v>1</v>
      </c>
      <c r="BE160" s="29">
        <f>BD160+BC160</f>
        <v>1</v>
      </c>
      <c r="BF160" s="29" t="s">
        <v>548</v>
      </c>
      <c r="BG160" s="29" t="s">
        <v>546</v>
      </c>
      <c r="BH160" s="29" t="s">
        <v>548</v>
      </c>
      <c r="BI160" s="29" t="s">
        <v>546</v>
      </c>
      <c r="BJ160" s="29" t="s">
        <v>546</v>
      </c>
      <c r="BK160" s="29" t="s">
        <v>546</v>
      </c>
      <c r="BL160" s="29">
        <v>4</v>
      </c>
      <c r="BM160" s="29" t="s">
        <v>549</v>
      </c>
      <c r="BO160" s="29" t="s">
        <v>547</v>
      </c>
      <c r="BP160" s="29">
        <v>7</v>
      </c>
      <c r="BQ160" s="29" t="s">
        <v>549</v>
      </c>
      <c r="BS160" s="29" t="s">
        <v>547</v>
      </c>
      <c r="BU160" s="29" t="s">
        <v>547</v>
      </c>
      <c r="BW160" s="29">
        <f>(BL160*1)+(BN160*0.1)+(BP160*0.01)+(BR160*0.1)+(BT160*0.3)+(BV160*0.4)</f>
        <v>4.07</v>
      </c>
      <c r="BX160" s="29" t="s">
        <v>2219</v>
      </c>
      <c r="BY160" s="29">
        <v>1</v>
      </c>
      <c r="BZ160" s="29">
        <v>1</v>
      </c>
      <c r="CA160" s="29">
        <v>6</v>
      </c>
      <c r="CB160" s="29">
        <v>8</v>
      </c>
      <c r="CC160" s="29">
        <v>0</v>
      </c>
      <c r="CD160" s="29">
        <v>0</v>
      </c>
      <c r="CE160" s="29">
        <v>1</v>
      </c>
      <c r="CF160" s="29" t="s">
        <v>547</v>
      </c>
      <c r="CG160" s="29">
        <f>(CC160*15)+(CD160*0.8)+(CE160*0.3)+((AW160+AZ160)*15)</f>
        <v>15.3</v>
      </c>
      <c r="CH160" s="29" t="s">
        <v>2220</v>
      </c>
      <c r="CI160" s="29">
        <f>(BL160*1)+(BN160*0.1)+(BP160*0.01)+(BR160*0.1)+(BT160*0.3)+(BV160*0.4)+(CC160*15)+(CD160*0.8)+(CE160*0.3)+((AW160+AZ160)*15)</f>
        <v>19.37</v>
      </c>
      <c r="CJ160" s="29" t="s">
        <v>546</v>
      </c>
      <c r="CK160" s="29" t="s">
        <v>547</v>
      </c>
      <c r="CL160" s="29" t="s">
        <v>546</v>
      </c>
      <c r="CM160" s="29" t="s">
        <v>547</v>
      </c>
      <c r="CN160" s="29">
        <v>0.25</v>
      </c>
      <c r="CO160" s="29">
        <v>0.5</v>
      </c>
      <c r="CQ160" s="29" t="s">
        <v>548</v>
      </c>
      <c r="CR160" s="29">
        <v>0.5</v>
      </c>
      <c r="CS160" s="29">
        <v>1</v>
      </c>
      <c r="CT160" s="29" t="s">
        <v>551</v>
      </c>
      <c r="CU160" s="30">
        <v>0.48</v>
      </c>
      <c r="CW160" s="29">
        <v>999</v>
      </c>
      <c r="CX160" s="29" t="s">
        <v>551</v>
      </c>
      <c r="CY160" s="62"/>
      <c r="CZ160" s="29">
        <v>0.5</v>
      </c>
      <c r="DA160" s="29">
        <v>3</v>
      </c>
      <c r="DB160" s="29" t="s">
        <v>552</v>
      </c>
      <c r="DC160" s="62">
        <v>0.24047999999999994</v>
      </c>
      <c r="DD160" s="29" t="s">
        <v>546</v>
      </c>
      <c r="DE160" s="29" t="s">
        <v>546</v>
      </c>
      <c r="DF160" s="29" t="s">
        <v>546</v>
      </c>
      <c r="DG160" s="29" t="s">
        <v>546</v>
      </c>
      <c r="DH160" s="29" t="s">
        <v>546</v>
      </c>
      <c r="DI160" s="29">
        <v>0</v>
      </c>
      <c r="DJ160" s="29">
        <v>3</v>
      </c>
      <c r="DK160" s="29" t="s">
        <v>1388</v>
      </c>
      <c r="DL160" s="29" t="s">
        <v>1389</v>
      </c>
      <c r="DM160" s="29">
        <v>-4.2876839637756348</v>
      </c>
      <c r="DN160" s="29">
        <v>35.832809448242188</v>
      </c>
      <c r="DO160" s="29">
        <v>1328.300048828125</v>
      </c>
      <c r="DP160" s="29">
        <v>5</v>
      </c>
      <c r="DQ160" s="29">
        <v>1706031849</v>
      </c>
      <c r="DR160" s="29" t="s">
        <v>1390</v>
      </c>
      <c r="DS160" s="31">
        <v>42948.907511574071</v>
      </c>
      <c r="DT160" s="31">
        <v>42938.393310185187</v>
      </c>
      <c r="DU160" s="31">
        <v>42938.40760416667</v>
      </c>
      <c r="DV160" s="32">
        <v>42790</v>
      </c>
      <c r="DX160" s="44">
        <v>1.9759759759759761</v>
      </c>
      <c r="DY160" s="44">
        <v>1.6943993993993995</v>
      </c>
      <c r="DZ160" s="44">
        <v>5.4114747474747471</v>
      </c>
      <c r="EA160" s="44">
        <v>4.6580808080808085</v>
      </c>
      <c r="EC160" s="29">
        <f>IF(EQ160&lt;EP160,"FALSEE",1)</f>
        <v>1</v>
      </c>
      <c r="EE160" s="29" t="s">
        <v>2171</v>
      </c>
      <c r="EF160" s="29">
        <v>3.1643760204300002</v>
      </c>
      <c r="EG160" s="29" t="str">
        <f>IF(EF160&lt;0.5,"Depression",IF(EF160&lt;2,"Very gentle",IF(EF160&lt;5,"Gentle",IF(EF160&lt;9,"Moderate",IF(EF160&lt;15,"Strong",IF(EF160&lt;30,"Steep",IF(EF160&lt;1,"Very steep")))))))</f>
        <v>Gentle</v>
      </c>
      <c r="EH160" s="29" t="s">
        <v>2173</v>
      </c>
      <c r="EI160" s="29">
        <v>0.27193418145199999</v>
      </c>
      <c r="EJ160" s="43">
        <v>7.7665185928299998</v>
      </c>
      <c r="EK160" s="43">
        <f>VLOOKUP(D160,[1]SoilData!$G$15:$K$237,5,FALSE)</f>
        <v>349.7371323374249</v>
      </c>
      <c r="EL160" s="43">
        <f>VLOOKUP(D160,[1]SoilData!$G$245:$K$451,5,FALSE)</f>
        <v>299.14396544609201</v>
      </c>
      <c r="EM160" s="43">
        <f>VLOOKUP(D160,[1]SoilData!$G$15:$M$238,7,FALSE)</f>
        <v>1.2689999999999999</v>
      </c>
      <c r="EN160" s="43">
        <f>VLOOKUP(D160,[1]SoilData!$G$245:$M$454,7,FALSE)</f>
        <v>1.8180000000000001</v>
      </c>
      <c r="EO160" s="60">
        <f>EM160-EN160</f>
        <v>-0.54900000000000015</v>
      </c>
      <c r="EP160" s="44"/>
      <c r="EQ160" s="44">
        <f>AVERAGE(DX160:DY160)</f>
        <v>1.8351876876876878</v>
      </c>
      <c r="ER160" s="43">
        <f>EQ160-EP160</f>
        <v>1.8351876876876878</v>
      </c>
      <c r="ES160" s="64">
        <f>IF(CU160&gt;0.000001,CU160*352,0)</f>
        <v>168.95999999999998</v>
      </c>
      <c r="ET160" s="64">
        <f>IF(DC160&gt;0.0001,DC160*682,0)</f>
        <v>164.00735999999995</v>
      </c>
      <c r="EU160" s="64">
        <f>CY160*795</f>
        <v>0</v>
      </c>
      <c r="EV160" s="64">
        <f>ES160+ET160+EU160</f>
        <v>332.96735999999993</v>
      </c>
      <c r="EW160" s="64">
        <f>IF(AA160="YES",3.5*18.2,0)</f>
        <v>0</v>
      </c>
      <c r="EX160" s="64">
        <f>EV160-EW160</f>
        <v>332.96735999999993</v>
      </c>
    </row>
    <row r="161" spans="1:154" ht="15" x14ac:dyDescent="0.2">
      <c r="A161" s="29" t="s">
        <v>893</v>
      </c>
      <c r="B161" s="29">
        <v>195</v>
      </c>
      <c r="C161" s="29" t="s">
        <v>894</v>
      </c>
      <c r="D161" s="29" t="s">
        <v>157</v>
      </c>
      <c r="E161" s="29" t="str">
        <f>VLOOKUP(D161,Harvest_2017_Formulae!$C$2:$D$968,2,FALSE)</f>
        <v>ENDANOGA</v>
      </c>
      <c r="F161" s="29" t="s">
        <v>843</v>
      </c>
      <c r="G161" s="29">
        <v>0</v>
      </c>
      <c r="H161" s="61" t="str">
        <f>IF(G161&lt;0.05,"Homefield",IF(G161&lt;0.5,"Midfield","outfield"))</f>
        <v>Homefield</v>
      </c>
      <c r="I161" s="29" t="s">
        <v>557</v>
      </c>
      <c r="J161" s="61" t="s">
        <v>2233</v>
      </c>
      <c r="K161" s="61" t="s">
        <v>2233</v>
      </c>
      <c r="L161" s="67">
        <v>0</v>
      </c>
      <c r="O161" s="29" t="s">
        <v>547</v>
      </c>
      <c r="Q161" s="67">
        <v>1</v>
      </c>
      <c r="R161" s="29" t="s">
        <v>866</v>
      </c>
      <c r="S161" s="29">
        <v>20</v>
      </c>
      <c r="T161" s="29">
        <v>5</v>
      </c>
      <c r="U161" s="29" t="s">
        <v>895</v>
      </c>
      <c r="W161" s="29" t="s">
        <v>635</v>
      </c>
      <c r="Y161" s="29">
        <v>5000</v>
      </c>
      <c r="Z161" s="29" t="s">
        <v>547</v>
      </c>
      <c r="AA161" s="61" t="s">
        <v>548</v>
      </c>
      <c r="AB161" s="29" t="s">
        <v>568</v>
      </c>
      <c r="AC161" s="67">
        <v>0</v>
      </c>
      <c r="AD161" s="29" t="s">
        <v>547</v>
      </c>
      <c r="AF161" s="29" t="s">
        <v>547</v>
      </c>
      <c r="AG161" s="29" t="s">
        <v>547</v>
      </c>
      <c r="AH161" s="29" t="s">
        <v>548</v>
      </c>
      <c r="AI161" s="29" t="s">
        <v>546</v>
      </c>
      <c r="AJ161" s="29" t="s">
        <v>547</v>
      </c>
      <c r="AK161" s="67">
        <v>0</v>
      </c>
      <c r="AL161" s="29" t="s">
        <v>547</v>
      </c>
      <c r="AO161" s="29" t="s">
        <v>547</v>
      </c>
      <c r="AP161" s="29" t="s">
        <v>547</v>
      </c>
      <c r="AQ161" s="4">
        <f>Q161+AK161</f>
        <v>1</v>
      </c>
      <c r="AR161" s="4">
        <f>L161+AC161</f>
        <v>0</v>
      </c>
      <c r="AS161" t="str">
        <f>AQ161&amp;AR161</f>
        <v>10</v>
      </c>
      <c r="AT161" s="49">
        <f>AQ161-AR161</f>
        <v>1</v>
      </c>
      <c r="AU161">
        <v>2</v>
      </c>
      <c r="AV161" s="29" t="s">
        <v>548</v>
      </c>
      <c r="AW161" s="29">
        <v>0.25</v>
      </c>
      <c r="AX161" s="29" t="s">
        <v>548</v>
      </c>
      <c r="AY161" s="29">
        <v>2</v>
      </c>
      <c r="AZ161" s="29">
        <v>3</v>
      </c>
      <c r="BA161" s="29" t="s">
        <v>546</v>
      </c>
      <c r="BB161" s="29" t="s">
        <v>547</v>
      </c>
      <c r="BD161" s="29">
        <f>AW161+AZ161</f>
        <v>3.25</v>
      </c>
      <c r="BE161" s="29">
        <f>BD161+BC161</f>
        <v>3.25</v>
      </c>
      <c r="BF161" s="29" t="s">
        <v>548</v>
      </c>
      <c r="BG161" s="29" t="s">
        <v>546</v>
      </c>
      <c r="BH161" s="29" t="s">
        <v>548</v>
      </c>
      <c r="BI161" s="29" t="s">
        <v>546</v>
      </c>
      <c r="BJ161" s="29" t="s">
        <v>546</v>
      </c>
      <c r="BK161" s="29" t="s">
        <v>546</v>
      </c>
      <c r="BL161" s="29">
        <v>4</v>
      </c>
      <c r="BM161" s="29" t="s">
        <v>562</v>
      </c>
      <c r="BO161" s="29" t="s">
        <v>547</v>
      </c>
      <c r="BP161" s="29">
        <v>15</v>
      </c>
      <c r="BQ161" s="29" t="s">
        <v>562</v>
      </c>
      <c r="BS161" s="29" t="s">
        <v>547</v>
      </c>
      <c r="BU161" s="29" t="s">
        <v>547</v>
      </c>
      <c r="BW161" s="29">
        <f>(BL161*1)+(BN161*0.1)+(BP161*0.01)+(BR161*0.1)+(BT161*0.3)+(BV161*0.4)</f>
        <v>4.1500000000000004</v>
      </c>
      <c r="BX161" s="29" t="s">
        <v>2219</v>
      </c>
      <c r="BY161" s="29">
        <v>1</v>
      </c>
      <c r="BZ161" s="29">
        <v>1</v>
      </c>
      <c r="CA161" s="29">
        <v>5</v>
      </c>
      <c r="CB161" s="29">
        <v>7</v>
      </c>
      <c r="CC161" s="29">
        <v>0</v>
      </c>
      <c r="CD161" s="29">
        <v>0</v>
      </c>
      <c r="CE161" s="29">
        <v>0</v>
      </c>
      <c r="CF161" s="29" t="s">
        <v>547</v>
      </c>
      <c r="CG161" s="29">
        <f>(CC161*15)+(CD161*0.8)+(CE161*0.3)+((AW161+AZ161)*15)</f>
        <v>48.75</v>
      </c>
      <c r="CH161" s="29" t="s">
        <v>2220</v>
      </c>
      <c r="CI161" s="29">
        <f>(BL161*1)+(BN161*0.1)+(BP161*0.01)+(BR161*0.1)+(BT161*0.3)+(BV161*0.4)+(CC161*15)+(CD161*0.8)+(CE161*0.3)+((AW161+AZ161)*15)</f>
        <v>52.9</v>
      </c>
      <c r="CJ161" s="29" t="s">
        <v>548</v>
      </c>
      <c r="CK161" s="29" t="s">
        <v>563</v>
      </c>
      <c r="CL161" s="29" t="s">
        <v>548</v>
      </c>
      <c r="CM161" s="29" t="s">
        <v>550</v>
      </c>
      <c r="CN161" s="29">
        <v>0.25</v>
      </c>
      <c r="CO161" s="29">
        <v>3</v>
      </c>
      <c r="CP161" s="29">
        <v>3</v>
      </c>
      <c r="CQ161" s="29" t="s">
        <v>548</v>
      </c>
      <c r="CR161" s="29">
        <v>2</v>
      </c>
      <c r="CS161" s="29">
        <v>12</v>
      </c>
      <c r="CT161" s="29" t="s">
        <v>551</v>
      </c>
      <c r="CU161" s="30">
        <v>1.4400000000000002</v>
      </c>
      <c r="CV161" s="29">
        <v>0</v>
      </c>
      <c r="CW161" s="29">
        <v>999</v>
      </c>
      <c r="CX161" s="29" t="s">
        <v>551</v>
      </c>
      <c r="CY161" s="62"/>
      <c r="CZ161" s="29">
        <v>2</v>
      </c>
      <c r="DA161" s="29">
        <v>2</v>
      </c>
      <c r="DB161" s="29" t="s">
        <v>551</v>
      </c>
      <c r="DC161" s="62">
        <v>0.24</v>
      </c>
      <c r="DD161" s="29" t="s">
        <v>548</v>
      </c>
      <c r="DE161" s="29" t="s">
        <v>548</v>
      </c>
      <c r="DF161" s="29" t="s">
        <v>548</v>
      </c>
      <c r="DG161" s="29" t="s">
        <v>548</v>
      </c>
      <c r="DH161" s="29" t="s">
        <v>548</v>
      </c>
      <c r="DI161" s="29">
        <v>5</v>
      </c>
      <c r="DJ161" s="29">
        <v>2</v>
      </c>
      <c r="DK161" s="29" t="s">
        <v>896</v>
      </c>
      <c r="DL161" s="29" t="s">
        <v>897</v>
      </c>
      <c r="DM161" s="29">
        <v>-4.2657060623168945</v>
      </c>
      <c r="DN161" s="29">
        <v>35.845195770263672</v>
      </c>
      <c r="DO161" s="29">
        <v>1368.4000244140625</v>
      </c>
      <c r="DP161" s="29">
        <v>5</v>
      </c>
      <c r="DQ161" s="29">
        <v>1706031849</v>
      </c>
      <c r="DR161" s="29" t="s">
        <v>898</v>
      </c>
      <c r="DS161" s="31">
        <v>42940.360127314816</v>
      </c>
      <c r="DT161" s="31">
        <v>42926.477256944447</v>
      </c>
      <c r="DU161" s="31">
        <v>42934.87663194444</v>
      </c>
      <c r="DV161" s="32">
        <v>42794</v>
      </c>
      <c r="DX161" s="44">
        <v>8.3568008948545867</v>
      </c>
      <c r="DY161" s="44">
        <v>6.4513646532438473</v>
      </c>
      <c r="DZ161" s="44">
        <v>6.3141530054644814</v>
      </c>
      <c r="EA161" s="44">
        <v>6.2491256830601083</v>
      </c>
      <c r="EC161" s="29">
        <f>IF(EQ161&lt;EP161,"FALSEE",1)</f>
        <v>1</v>
      </c>
      <c r="EE161" s="29" t="s">
        <v>2171</v>
      </c>
      <c r="EF161" s="29">
        <v>3.1718769073500002</v>
      </c>
      <c r="EG161" s="29" t="str">
        <f>IF(EF161&lt;0.5,"Depression",IF(EF161&lt;2,"Very gentle",IF(EF161&lt;5,"Gentle",IF(EF161&lt;9,"Moderate",IF(EF161&lt;15,"Strong",IF(EF161&lt;30,"Steep",IF(EF161&lt;1,"Very steep")))))))</f>
        <v>Gentle</v>
      </c>
      <c r="EH161" s="29" t="s">
        <v>2173</v>
      </c>
      <c r="EI161" s="29">
        <v>9.0650379657699995E-2</v>
      </c>
      <c r="EJ161" s="43">
        <v>12.1861162186</v>
      </c>
      <c r="EK161" s="43">
        <f>VLOOKUP(D161,[1]SoilData!$G$15:$K$237,5,FALSE)</f>
        <v>303.32686075376108</v>
      </c>
      <c r="EL161" s="43"/>
      <c r="EM161" s="43">
        <f>VLOOKUP(D161,[1]SoilData!$G$15:$M$238,7,FALSE)</f>
        <v>1.202</v>
      </c>
      <c r="EN161" s="43"/>
      <c r="EO161" s="60"/>
      <c r="EP161" s="44">
        <f>AVERAGE(DZ161:EA161)</f>
        <v>6.2816393442622953</v>
      </c>
      <c r="EQ161" s="44">
        <f>AVERAGE(DX161:DY161)</f>
        <v>7.4040827740492166</v>
      </c>
      <c r="ER161" s="43">
        <f>EQ161-EP161</f>
        <v>1.1224434297869212</v>
      </c>
      <c r="ES161" s="64">
        <f>IF(CU161&gt;0.000001,CU161*352,0)</f>
        <v>506.88000000000005</v>
      </c>
      <c r="ET161" s="64">
        <f>IF(DC161&gt;0.0001,DC161*682,0)</f>
        <v>163.68</v>
      </c>
      <c r="EU161" s="64">
        <f>CY161*795</f>
        <v>0</v>
      </c>
      <c r="EV161" s="64">
        <f>ES161+ET161+EU161</f>
        <v>670.56000000000006</v>
      </c>
      <c r="EW161" s="64">
        <f>IF(AA161="YES",3.5*18.2,0)</f>
        <v>63.699999999999996</v>
      </c>
      <c r="EX161" s="64">
        <f>EV161-EW161</f>
        <v>606.86</v>
      </c>
    </row>
    <row r="162" spans="1:154" ht="15" x14ac:dyDescent="0.2">
      <c r="A162" s="29" t="s">
        <v>556</v>
      </c>
      <c r="B162" s="29">
        <v>6</v>
      </c>
      <c r="C162" s="29" t="s">
        <v>1527</v>
      </c>
      <c r="D162" s="29" t="s">
        <v>547</v>
      </c>
      <c r="E162" s="29" t="e">
        <f>VLOOKUP(D162,Harvest_2017_Formulae!$C$2:$D$968,2,FALSE)</f>
        <v>#N/A</v>
      </c>
      <c r="F162" s="29" t="s">
        <v>777</v>
      </c>
      <c r="G162" s="29">
        <v>0</v>
      </c>
      <c r="H162" s="61" t="str">
        <f>IF(G162&lt;0.05,"Homefield",IF(G162&lt;0.5,"Midfield","outfield"))</f>
        <v>Homefield</v>
      </c>
      <c r="I162" s="29" t="s">
        <v>557</v>
      </c>
      <c r="J162" s="61" t="s">
        <v>2233</v>
      </c>
      <c r="K162" s="61" t="s">
        <v>2233</v>
      </c>
      <c r="L162" s="67">
        <v>0</v>
      </c>
      <c r="O162" s="29" t="s">
        <v>547</v>
      </c>
      <c r="Q162" s="67">
        <v>1</v>
      </c>
      <c r="R162" s="29" t="s">
        <v>615</v>
      </c>
      <c r="S162" s="29">
        <v>16</v>
      </c>
      <c r="T162" s="29">
        <v>1</v>
      </c>
      <c r="U162" s="29" t="s">
        <v>560</v>
      </c>
      <c r="W162" s="29" t="s">
        <v>635</v>
      </c>
      <c r="Y162" s="29">
        <v>5000</v>
      </c>
      <c r="Z162" s="29" t="s">
        <v>547</v>
      </c>
      <c r="AA162" s="61" t="s">
        <v>548</v>
      </c>
      <c r="AB162" s="29" t="s">
        <v>568</v>
      </c>
      <c r="AC162" s="67">
        <v>0</v>
      </c>
      <c r="AD162" s="29" t="s">
        <v>547</v>
      </c>
      <c r="AF162" s="29" t="s">
        <v>547</v>
      </c>
      <c r="AG162" s="29" t="s">
        <v>547</v>
      </c>
      <c r="AH162" s="29" t="s">
        <v>548</v>
      </c>
      <c r="AI162" s="29" t="s">
        <v>546</v>
      </c>
      <c r="AJ162" s="29" t="s">
        <v>547</v>
      </c>
      <c r="AK162" s="67">
        <v>0</v>
      </c>
      <c r="AL162" s="29" t="s">
        <v>547</v>
      </c>
      <c r="AO162" s="29" t="s">
        <v>547</v>
      </c>
      <c r="AP162" s="29" t="s">
        <v>547</v>
      </c>
      <c r="AQ162" s="4">
        <f>Q162+AK162</f>
        <v>1</v>
      </c>
      <c r="AR162" s="4">
        <f>L162+AC162</f>
        <v>0</v>
      </c>
      <c r="AS162" t="str">
        <f>AQ162&amp;AR162</f>
        <v>10</v>
      </c>
      <c r="AT162" s="49">
        <f>AQ162-AR162</f>
        <v>1</v>
      </c>
      <c r="AU162">
        <v>2</v>
      </c>
      <c r="AV162" s="29" t="s">
        <v>548</v>
      </c>
      <c r="AW162" s="29">
        <v>2.5</v>
      </c>
      <c r="AX162" s="29" t="s">
        <v>548</v>
      </c>
      <c r="AY162" s="29">
        <v>1</v>
      </c>
      <c r="AZ162" s="29">
        <v>3</v>
      </c>
      <c r="BA162" s="29" t="s">
        <v>546</v>
      </c>
      <c r="BB162" s="29" t="s">
        <v>547</v>
      </c>
      <c r="BD162" s="29">
        <f>AW162+AZ162</f>
        <v>5.5</v>
      </c>
      <c r="BE162" s="29">
        <f>BD162+BC162</f>
        <v>5.5</v>
      </c>
      <c r="BF162" s="29" t="s">
        <v>548</v>
      </c>
      <c r="BG162" s="29" t="s">
        <v>548</v>
      </c>
      <c r="BH162" s="29" t="s">
        <v>548</v>
      </c>
      <c r="BI162" s="29" t="s">
        <v>546</v>
      </c>
      <c r="BJ162" s="29" t="s">
        <v>546</v>
      </c>
      <c r="BK162" s="29" t="s">
        <v>546</v>
      </c>
      <c r="BL162" s="29">
        <v>4</v>
      </c>
      <c r="BM162" s="29" t="s">
        <v>562</v>
      </c>
      <c r="BN162" s="29">
        <v>3</v>
      </c>
      <c r="BO162" s="29" t="s">
        <v>562</v>
      </c>
      <c r="BP162" s="29">
        <v>8</v>
      </c>
      <c r="BQ162" s="29" t="s">
        <v>580</v>
      </c>
      <c r="BS162" s="29" t="s">
        <v>547</v>
      </c>
      <c r="BU162" s="29" t="s">
        <v>547</v>
      </c>
      <c r="BW162" s="29">
        <f>(BL162*1)+(BN162*0.1)+(BP162*0.01)+(BR162*0.1)+(BT162*0.3)+(BV162*0.4)</f>
        <v>4.38</v>
      </c>
      <c r="BX162" s="29" t="s">
        <v>2219</v>
      </c>
      <c r="BY162" s="29">
        <v>1</v>
      </c>
      <c r="BZ162" s="29">
        <v>2</v>
      </c>
      <c r="CA162" s="29">
        <v>1</v>
      </c>
      <c r="CB162" s="29">
        <v>4</v>
      </c>
      <c r="CC162" s="29">
        <v>0</v>
      </c>
      <c r="CD162" s="29">
        <v>0</v>
      </c>
      <c r="CE162" s="29">
        <v>0</v>
      </c>
      <c r="CF162" s="29" t="s">
        <v>547</v>
      </c>
      <c r="CG162" s="29">
        <f>(CC162*15)+(CD162*0.8)+(CE162*0.3)+((AW162+AZ162)*15)</f>
        <v>82.5</v>
      </c>
      <c r="CH162" s="29" t="s">
        <v>2221</v>
      </c>
      <c r="CI162" s="29">
        <f>(BL162*1)+(BN162*0.1)+(BP162*0.01)+(BR162*0.1)+(BT162*0.3)+(BV162*0.4)+(CC162*15)+(CD162*0.8)+(CE162*0.3)+((AW162+AZ162)*15)</f>
        <v>86.88</v>
      </c>
      <c r="CJ162" s="29" t="s">
        <v>548</v>
      </c>
      <c r="CK162" s="29" t="s">
        <v>960</v>
      </c>
      <c r="CL162" s="29" t="s">
        <v>546</v>
      </c>
      <c r="CM162" s="29" t="s">
        <v>547</v>
      </c>
      <c r="CN162" s="29">
        <v>0.25</v>
      </c>
      <c r="CP162" s="29">
        <v>0.75</v>
      </c>
      <c r="CQ162" s="29" t="s">
        <v>548</v>
      </c>
      <c r="CR162" s="29">
        <v>1</v>
      </c>
      <c r="CS162" s="29">
        <v>3</v>
      </c>
      <c r="CT162" s="29" t="s">
        <v>551</v>
      </c>
      <c r="CU162" s="30">
        <v>0.72000000000000008</v>
      </c>
      <c r="CW162" s="29">
        <v>999</v>
      </c>
      <c r="CX162" s="29" t="s">
        <v>551</v>
      </c>
      <c r="CY162" s="62"/>
      <c r="CZ162" s="29">
        <v>1</v>
      </c>
      <c r="DA162" s="29">
        <v>1</v>
      </c>
      <c r="DB162" s="29" t="s">
        <v>551</v>
      </c>
      <c r="DC162" s="62">
        <v>0.24</v>
      </c>
      <c r="DD162" s="29" t="s">
        <v>546</v>
      </c>
      <c r="DE162" s="29" t="s">
        <v>546</v>
      </c>
      <c r="DF162" s="29" t="s">
        <v>546</v>
      </c>
      <c r="DG162" s="29" t="s">
        <v>546</v>
      </c>
      <c r="DH162" s="29" t="s">
        <v>546</v>
      </c>
      <c r="DI162" s="29">
        <v>0</v>
      </c>
      <c r="DJ162" s="29">
        <v>3</v>
      </c>
      <c r="DK162" s="29" t="s">
        <v>1528</v>
      </c>
      <c r="DL162" s="29" t="s">
        <v>1529</v>
      </c>
      <c r="DM162" s="29">
        <v>-4.3017787933349609</v>
      </c>
      <c r="DN162" s="29">
        <v>35.871902465820312</v>
      </c>
      <c r="DO162" s="29">
        <v>1248.300048828125</v>
      </c>
      <c r="DP162" s="29">
        <v>5</v>
      </c>
      <c r="DQ162" s="29">
        <v>1705231439</v>
      </c>
      <c r="DR162" s="29" t="s">
        <v>1530</v>
      </c>
      <c r="DS162" s="31">
        <v>42893.595324074078</v>
      </c>
      <c r="DT162" s="31">
        <v>42892.531631944439</v>
      </c>
      <c r="DU162" s="31">
        <v>42892.545011574075</v>
      </c>
      <c r="DV162" s="32">
        <v>42792</v>
      </c>
      <c r="EC162" s="29">
        <f>IF(EQ162&lt;EP162,"FALSEE",1)</f>
        <v>1</v>
      </c>
      <c r="EE162" s="29" t="s">
        <v>2171</v>
      </c>
      <c r="EF162" s="29">
        <v>2.93846130371</v>
      </c>
      <c r="EG162" s="29" t="str">
        <f>IF(EF162&lt;0.5,"Depression",IF(EF162&lt;2,"Very gentle",IF(EF162&lt;5,"Gentle",IF(EF162&lt;9,"Moderate",IF(EF162&lt;15,"Strong",IF(EF162&lt;30,"Steep",IF(EF162&lt;1,"Very steep")))))))</f>
        <v>Gentle</v>
      </c>
      <c r="EH162" s="29" t="s">
        <v>2173</v>
      </c>
      <c r="EI162" s="29">
        <v>0.18129228055499999</v>
      </c>
      <c r="EJ162" s="43">
        <v>8.0064697265600007</v>
      </c>
      <c r="EK162" s="43"/>
      <c r="EL162" s="43"/>
      <c r="EM162" s="43"/>
      <c r="EN162" s="43"/>
      <c r="EO162" s="60"/>
      <c r="EP162" s="43"/>
      <c r="EQ162" s="43"/>
      <c r="ER162" s="43"/>
      <c r="ES162" s="64">
        <f>IF(CU162&gt;0.000001,CU162*352,0)</f>
        <v>253.44000000000003</v>
      </c>
      <c r="ET162" s="64">
        <f>IF(DC162&gt;0.0001,DC162*682,0)</f>
        <v>163.68</v>
      </c>
      <c r="EU162" s="64">
        <f>CY162*795</f>
        <v>0</v>
      </c>
      <c r="EV162" s="64">
        <f>ES162+ET162+EU162</f>
        <v>417.12</v>
      </c>
      <c r="EW162" s="64">
        <f>IF(AA162="YES",3.5*18.2,0)</f>
        <v>63.699999999999996</v>
      </c>
      <c r="EX162" s="64">
        <f>EV162-EW162</f>
        <v>353.42</v>
      </c>
    </row>
    <row r="163" spans="1:154" ht="15" x14ac:dyDescent="0.2">
      <c r="A163" s="29" t="s">
        <v>556</v>
      </c>
      <c r="B163" s="29">
        <v>210</v>
      </c>
      <c r="C163" s="29" t="s">
        <v>680</v>
      </c>
      <c r="D163" s="29" t="s">
        <v>332</v>
      </c>
      <c r="E163" s="29" t="str">
        <f>VLOOKUP(D163,Harvest_2017_Formulae!$C$2:$D$968,2,FALSE)</f>
        <v>DURU</v>
      </c>
      <c r="F163" s="29" t="s">
        <v>645</v>
      </c>
      <c r="G163" s="29">
        <v>0</v>
      </c>
      <c r="H163" s="61" t="str">
        <f>IF(G163&lt;0.05,"Homefield",IF(G163&lt;0.5,"Midfield","outfield"))</f>
        <v>Homefield</v>
      </c>
      <c r="I163" s="29" t="s">
        <v>557</v>
      </c>
      <c r="J163" s="61" t="s">
        <v>2233</v>
      </c>
      <c r="K163" s="61" t="s">
        <v>2233</v>
      </c>
      <c r="L163" s="67">
        <v>0</v>
      </c>
      <c r="O163" s="29" t="s">
        <v>547</v>
      </c>
      <c r="Q163" s="67">
        <v>1</v>
      </c>
      <c r="R163" s="29" t="s">
        <v>558</v>
      </c>
      <c r="S163" s="29">
        <v>8</v>
      </c>
      <c r="T163" s="29" t="s">
        <v>559</v>
      </c>
      <c r="U163" s="29" t="s">
        <v>560</v>
      </c>
      <c r="W163" s="29" t="s">
        <v>635</v>
      </c>
      <c r="Y163" s="29">
        <v>5000</v>
      </c>
      <c r="Z163" s="29" t="s">
        <v>547</v>
      </c>
      <c r="AA163" s="61" t="s">
        <v>548</v>
      </c>
      <c r="AB163" s="29" t="s">
        <v>568</v>
      </c>
      <c r="AC163" s="67">
        <v>0</v>
      </c>
      <c r="AD163" s="29" t="s">
        <v>547</v>
      </c>
      <c r="AF163" s="29" t="s">
        <v>547</v>
      </c>
      <c r="AG163" s="29" t="s">
        <v>547</v>
      </c>
      <c r="AH163" s="29" t="s">
        <v>548</v>
      </c>
      <c r="AI163" s="29" t="s">
        <v>546</v>
      </c>
      <c r="AJ163" s="29" t="s">
        <v>547</v>
      </c>
      <c r="AK163" s="67">
        <v>0</v>
      </c>
      <c r="AL163" s="29" t="s">
        <v>547</v>
      </c>
      <c r="AO163" s="29" t="s">
        <v>547</v>
      </c>
      <c r="AP163" s="29" t="s">
        <v>547</v>
      </c>
      <c r="AQ163" s="4">
        <f>Q163+AK163</f>
        <v>1</v>
      </c>
      <c r="AR163" s="4">
        <f>L163+AC163</f>
        <v>0</v>
      </c>
      <c r="AS163" t="str">
        <f>AQ163&amp;AR163</f>
        <v>10</v>
      </c>
      <c r="AT163" s="49">
        <f>AQ163-AR163</f>
        <v>1</v>
      </c>
      <c r="AU163">
        <v>2</v>
      </c>
      <c r="AV163" s="29" t="s">
        <v>548</v>
      </c>
      <c r="AW163" s="29">
        <v>1</v>
      </c>
      <c r="AX163" s="29" t="s">
        <v>548</v>
      </c>
      <c r="AY163" s="29">
        <v>3</v>
      </c>
      <c r="AZ163" s="29">
        <v>3.5</v>
      </c>
      <c r="BA163" s="29" t="s">
        <v>546</v>
      </c>
      <c r="BB163" s="29" t="s">
        <v>547</v>
      </c>
      <c r="BD163" s="29">
        <f>AW163+AZ163</f>
        <v>4.5</v>
      </c>
      <c r="BE163" s="29">
        <f>BD163+BC163</f>
        <v>4.5</v>
      </c>
      <c r="BF163" s="29" t="s">
        <v>548</v>
      </c>
      <c r="BG163" s="29" t="s">
        <v>548</v>
      </c>
      <c r="BH163" s="29" t="s">
        <v>548</v>
      </c>
      <c r="BI163" s="29" t="s">
        <v>548</v>
      </c>
      <c r="BJ163" s="29" t="s">
        <v>546</v>
      </c>
      <c r="BK163" s="29" t="s">
        <v>546</v>
      </c>
      <c r="BL163" s="29">
        <v>4</v>
      </c>
      <c r="BM163" s="29" t="s">
        <v>549</v>
      </c>
      <c r="BN163" s="29">
        <v>5</v>
      </c>
      <c r="BO163" s="29" t="s">
        <v>549</v>
      </c>
      <c r="BP163" s="29">
        <v>12</v>
      </c>
      <c r="BQ163" s="29" t="s">
        <v>549</v>
      </c>
      <c r="BR163" s="29">
        <v>2</v>
      </c>
      <c r="BS163" s="29" t="s">
        <v>549</v>
      </c>
      <c r="BU163" s="29" t="s">
        <v>547</v>
      </c>
      <c r="BW163" s="29">
        <f>(BL163*1)+(BN163*0.1)+(BP163*0.01)+(BR163*0.1)+(BT163*0.3)+(BV163*0.4)</f>
        <v>4.82</v>
      </c>
      <c r="BX163" s="29" t="s">
        <v>2219</v>
      </c>
      <c r="BY163" s="29">
        <v>3</v>
      </c>
      <c r="BZ163" s="29">
        <v>1</v>
      </c>
      <c r="CA163" s="29">
        <v>4</v>
      </c>
      <c r="CB163" s="29">
        <v>8</v>
      </c>
      <c r="CC163" s="29">
        <v>0</v>
      </c>
      <c r="CD163" s="29">
        <v>0</v>
      </c>
      <c r="CE163" s="29">
        <v>1</v>
      </c>
      <c r="CF163" s="29" t="s">
        <v>547</v>
      </c>
      <c r="CG163" s="29">
        <f>(CC163*15)+(CD163*0.8)+(CE163*0.3)+((AW163+AZ163)*15)</f>
        <v>67.8</v>
      </c>
      <c r="CH163" s="29" t="s">
        <v>2221</v>
      </c>
      <c r="CI163" s="29">
        <f>(BL163*1)+(BN163*0.1)+(BP163*0.01)+(BR163*0.1)+(BT163*0.3)+(BV163*0.4)+(CC163*15)+(CD163*0.8)+(CE163*0.3)+((AW163+AZ163)*15)</f>
        <v>72.62</v>
      </c>
      <c r="CJ163" s="29" t="s">
        <v>546</v>
      </c>
      <c r="CK163" s="29" t="s">
        <v>547</v>
      </c>
      <c r="CL163" s="29" t="s">
        <v>548</v>
      </c>
      <c r="CM163" s="29" t="s">
        <v>550</v>
      </c>
      <c r="CN163" s="29">
        <v>0.25</v>
      </c>
      <c r="CO163" s="29">
        <v>1.25</v>
      </c>
      <c r="CQ163" s="29" t="s">
        <v>548</v>
      </c>
      <c r="CR163" s="29">
        <v>1.5</v>
      </c>
      <c r="CS163" s="29">
        <v>12</v>
      </c>
      <c r="CT163" s="29" t="s">
        <v>551</v>
      </c>
      <c r="CU163" s="30">
        <v>1.9200000000000002</v>
      </c>
      <c r="CW163" s="29">
        <v>999</v>
      </c>
      <c r="CX163" s="29" t="s">
        <v>551</v>
      </c>
      <c r="CY163" s="62"/>
      <c r="CZ163" s="29">
        <v>1.5</v>
      </c>
      <c r="DA163" s="29">
        <v>3</v>
      </c>
      <c r="DB163" s="29" t="s">
        <v>551</v>
      </c>
      <c r="DC163" s="62">
        <v>0.48</v>
      </c>
      <c r="DD163" s="29" t="s">
        <v>546</v>
      </c>
      <c r="DE163" s="29" t="s">
        <v>546</v>
      </c>
      <c r="DF163" s="29" t="s">
        <v>546</v>
      </c>
      <c r="DG163" s="29" t="s">
        <v>546</v>
      </c>
      <c r="DH163" s="29" t="s">
        <v>546</v>
      </c>
      <c r="DI163" s="29">
        <v>0</v>
      </c>
      <c r="DJ163" s="29">
        <v>2</v>
      </c>
      <c r="DK163" s="29" t="s">
        <v>681</v>
      </c>
      <c r="DL163" s="29" t="s">
        <v>682</v>
      </c>
      <c r="DM163" s="29">
        <v>-4.310267448425293</v>
      </c>
      <c r="DN163" s="29">
        <v>35.595977783203125</v>
      </c>
      <c r="DO163" s="29">
        <v>1642.5999755859375</v>
      </c>
      <c r="DP163" s="29">
        <v>5</v>
      </c>
      <c r="DQ163" s="29">
        <v>1706031849</v>
      </c>
      <c r="DR163" s="29" t="s">
        <v>683</v>
      </c>
      <c r="DS163" s="31">
        <v>42950.967199074075</v>
      </c>
      <c r="DT163" s="31">
        <v>42921.487800925926</v>
      </c>
      <c r="DU163" s="31">
        <v>42950.829629629632</v>
      </c>
      <c r="DV163" s="32">
        <v>42770</v>
      </c>
      <c r="DX163" s="44">
        <v>7.0366528354080229</v>
      </c>
      <c r="DY163" s="44">
        <v>5.3503918856615957</v>
      </c>
      <c r="DZ163" s="44">
        <v>4.7101198709082537</v>
      </c>
      <c r="EA163" s="44">
        <v>4.2790456431535278</v>
      </c>
      <c r="EC163" s="29">
        <f>IF(EQ163&lt;EP163,"FALSEE",1)</f>
        <v>1</v>
      </c>
      <c r="EE163" s="29" t="s">
        <v>2180</v>
      </c>
      <c r="EF163" s="29">
        <v>5.0538773536699999</v>
      </c>
      <c r="EG163" s="29" t="str">
        <f>IF(EF163&lt;0.5,"Depression",IF(EF163&lt;2,"Very gentle",IF(EF163&lt;5,"Gentle",IF(EF163&lt;9,"Moderate",IF(EF163&lt;15,"Strong",IF(EF163&lt;30,"Steep",IF(EF163&lt;1,"Very steep")))))))</f>
        <v>Moderate</v>
      </c>
      <c r="EH163" s="29" t="s">
        <v>2178</v>
      </c>
      <c r="EI163" s="29">
        <v>0.18129228055499999</v>
      </c>
      <c r="EJ163" s="43">
        <v>7.6397376060499997</v>
      </c>
      <c r="EK163" s="43">
        <f>VLOOKUP(D163,[1]SoilData!$G$15:$K$237,5,FALSE)</f>
        <v>350.44415435084073</v>
      </c>
      <c r="EL163" s="43"/>
      <c r="EM163" s="43">
        <f>VLOOKUP(D163,[1]SoilData!$G$15:$M$238,7,FALSE)</f>
        <v>1.3740000000000001</v>
      </c>
      <c r="EN163" s="43"/>
      <c r="EO163" s="60"/>
      <c r="EP163" s="44">
        <f>AVERAGE(DZ163:EA163)</f>
        <v>4.4945827570308907</v>
      </c>
      <c r="EQ163" s="44">
        <f>AVERAGE(DX163:DY163)</f>
        <v>6.1935223605348089</v>
      </c>
      <c r="ER163" s="43">
        <f>EQ163-EP163</f>
        <v>1.6989396035039181</v>
      </c>
      <c r="ES163" s="64">
        <f>IF(CU163&gt;0.000001,CU163*352,0)</f>
        <v>675.84</v>
      </c>
      <c r="ET163" s="64">
        <f>IF(DC163&gt;0.0001,DC163*682,0)</f>
        <v>327.36</v>
      </c>
      <c r="EU163" s="64">
        <f>CY163*795</f>
        <v>0</v>
      </c>
      <c r="EV163" s="64">
        <f>ES163+ET163+EU163</f>
        <v>1003.2</v>
      </c>
      <c r="EW163" s="64">
        <f>IF(AA163="YES",3.5*18.2,0)</f>
        <v>63.699999999999996</v>
      </c>
      <c r="EX163" s="64">
        <f>EV163-EW163</f>
        <v>939.5</v>
      </c>
    </row>
    <row r="164" spans="1:154" ht="15" x14ac:dyDescent="0.2">
      <c r="A164" s="29" t="s">
        <v>556</v>
      </c>
      <c r="B164" s="29">
        <v>112</v>
      </c>
      <c r="C164" s="29" t="s">
        <v>1485</v>
      </c>
      <c r="D164" s="29" t="s">
        <v>1486</v>
      </c>
      <c r="E164" s="29" t="e">
        <f>VLOOKUP(D164,Harvest_2017_Formulae!$C$2:$D$968,2,FALSE)</f>
        <v>#N/A</v>
      </c>
      <c r="F164" s="29" t="s">
        <v>1310</v>
      </c>
      <c r="G164" s="29">
        <v>0</v>
      </c>
      <c r="H164" s="61" t="str">
        <f>IF(G164&lt;0.05,"Homefield",IF(G164&lt;0.5,"Midfield","outfield"))</f>
        <v>Homefield</v>
      </c>
      <c r="I164" s="29" t="s">
        <v>557</v>
      </c>
      <c r="J164" s="61" t="s">
        <v>2233</v>
      </c>
      <c r="K164" s="61" t="s">
        <v>2233</v>
      </c>
      <c r="L164" s="67">
        <v>0</v>
      </c>
      <c r="O164" s="29" t="s">
        <v>547</v>
      </c>
      <c r="Q164" s="67">
        <v>1</v>
      </c>
      <c r="R164" s="29" t="s">
        <v>558</v>
      </c>
      <c r="S164" s="29">
        <v>8</v>
      </c>
      <c r="T164" s="29" t="s">
        <v>559</v>
      </c>
      <c r="U164" s="29" t="s">
        <v>560</v>
      </c>
      <c r="W164" s="29" t="s">
        <v>635</v>
      </c>
      <c r="Y164" s="29">
        <v>10000</v>
      </c>
      <c r="Z164" s="29" t="s">
        <v>547</v>
      </c>
      <c r="AA164" s="61" t="s">
        <v>548</v>
      </c>
      <c r="AB164" s="29" t="s">
        <v>568</v>
      </c>
      <c r="AC164" s="67">
        <v>0</v>
      </c>
      <c r="AD164" s="29" t="s">
        <v>547</v>
      </c>
      <c r="AF164" s="29" t="s">
        <v>547</v>
      </c>
      <c r="AG164" s="29" t="s">
        <v>547</v>
      </c>
      <c r="AH164" s="29" t="s">
        <v>548</v>
      </c>
      <c r="AI164" s="29" t="s">
        <v>548</v>
      </c>
      <c r="AJ164" s="29" t="s">
        <v>1487</v>
      </c>
      <c r="AK164" s="67">
        <v>0</v>
      </c>
      <c r="AL164" s="29" t="s">
        <v>547</v>
      </c>
      <c r="AO164" s="29" t="s">
        <v>547</v>
      </c>
      <c r="AP164" s="29" t="s">
        <v>547</v>
      </c>
      <c r="AQ164" s="4">
        <f>Q164+AK164</f>
        <v>1</v>
      </c>
      <c r="AR164" s="4">
        <f>L164+AC164</f>
        <v>0</v>
      </c>
      <c r="AS164" t="str">
        <f>AQ164&amp;AR164</f>
        <v>10</v>
      </c>
      <c r="AT164" s="49">
        <f>AQ164-AR164</f>
        <v>1</v>
      </c>
      <c r="AU164">
        <v>2</v>
      </c>
      <c r="AV164" s="29" t="s">
        <v>548</v>
      </c>
      <c r="AW164" s="29">
        <v>1</v>
      </c>
      <c r="AX164" s="29" t="s">
        <v>546</v>
      </c>
      <c r="BA164" s="29" t="s">
        <v>548</v>
      </c>
      <c r="BB164" s="29" t="s">
        <v>569</v>
      </c>
      <c r="BC164" s="29">
        <v>2</v>
      </c>
      <c r="BD164" s="29">
        <f>AW164+AZ164</f>
        <v>1</v>
      </c>
      <c r="BE164" s="29">
        <f>BD164+BC164</f>
        <v>3</v>
      </c>
      <c r="BF164" s="29" t="s">
        <v>548</v>
      </c>
      <c r="BG164" s="29" t="s">
        <v>546</v>
      </c>
      <c r="BH164" s="29" t="s">
        <v>548</v>
      </c>
      <c r="BI164" s="29" t="s">
        <v>546</v>
      </c>
      <c r="BJ164" s="29" t="s">
        <v>546</v>
      </c>
      <c r="BK164" s="29" t="s">
        <v>546</v>
      </c>
      <c r="BL164" s="29">
        <v>5</v>
      </c>
      <c r="BM164" s="29" t="s">
        <v>549</v>
      </c>
      <c r="BO164" s="29" t="s">
        <v>547</v>
      </c>
      <c r="BP164" s="29">
        <v>10</v>
      </c>
      <c r="BQ164" s="29" t="s">
        <v>562</v>
      </c>
      <c r="BS164" s="29" t="s">
        <v>547</v>
      </c>
      <c r="BU164" s="29" t="s">
        <v>547</v>
      </c>
      <c r="BW164" s="29">
        <f>(BL164*1)+(BN164*0.1)+(BP164*0.01)+(BR164*0.1)+(BT164*0.3)+(BV164*0.4)</f>
        <v>5.0999999999999996</v>
      </c>
      <c r="BX164" s="29" t="s">
        <v>2219</v>
      </c>
      <c r="BY164" s="29">
        <v>1</v>
      </c>
      <c r="BZ164" s="29">
        <v>2</v>
      </c>
      <c r="CA164" s="29">
        <v>2</v>
      </c>
      <c r="CB164" s="29">
        <v>5</v>
      </c>
      <c r="CC164" s="29">
        <v>0</v>
      </c>
      <c r="CD164" s="29">
        <v>0</v>
      </c>
      <c r="CE164" s="29">
        <v>1</v>
      </c>
      <c r="CG164" s="29">
        <f>(CC164*15)+(CD164*0.8)+(CE164*0.3)+((AW164+AZ164)*15)</f>
        <v>15.3</v>
      </c>
      <c r="CH164" s="29" t="s">
        <v>2220</v>
      </c>
      <c r="CI164" s="29">
        <f>(BL164*1)+(BN164*0.1)+(BP164*0.01)+(BR164*0.1)+(BT164*0.3)+(BV164*0.4)+(CC164*15)+(CD164*0.8)+(CE164*0.3)+((AW164+AZ164)*15)</f>
        <v>20.399999999999999</v>
      </c>
      <c r="CJ164" s="29" t="s">
        <v>548</v>
      </c>
      <c r="CK164" s="29" t="s">
        <v>1488</v>
      </c>
      <c r="CL164" s="29" t="s">
        <v>548</v>
      </c>
      <c r="CM164" s="29" t="s">
        <v>550</v>
      </c>
      <c r="CN164" s="29">
        <v>0.25</v>
      </c>
      <c r="CO164" s="29">
        <v>0</v>
      </c>
      <c r="CP164" s="29">
        <v>0.5</v>
      </c>
      <c r="CQ164" s="29" t="s">
        <v>548</v>
      </c>
      <c r="CR164" s="29">
        <v>0.75</v>
      </c>
      <c r="CS164" s="29">
        <v>17</v>
      </c>
      <c r="CT164" s="29" t="s">
        <v>551</v>
      </c>
      <c r="CU164" s="30">
        <v>5.44</v>
      </c>
      <c r="CW164" s="29">
        <v>999</v>
      </c>
      <c r="CX164" s="29" t="s">
        <v>551</v>
      </c>
      <c r="CY164" s="62"/>
      <c r="CZ164" s="29">
        <v>999</v>
      </c>
      <c r="DA164" s="29">
        <v>9999</v>
      </c>
      <c r="DB164" s="29" t="s">
        <v>552</v>
      </c>
      <c r="DC164" s="62">
        <v>0.40116108108108106</v>
      </c>
      <c r="DD164" s="29" t="s">
        <v>548</v>
      </c>
      <c r="DE164" s="29" t="s">
        <v>548</v>
      </c>
      <c r="DF164" s="29" t="s">
        <v>548</v>
      </c>
      <c r="DG164" s="29" t="s">
        <v>548</v>
      </c>
      <c r="DH164" s="29" t="s">
        <v>548</v>
      </c>
      <c r="DI164" s="29">
        <v>5</v>
      </c>
      <c r="DJ164" s="29">
        <v>3</v>
      </c>
      <c r="DK164" s="29" t="s">
        <v>1489</v>
      </c>
      <c r="DL164" s="29" t="s">
        <v>1490</v>
      </c>
      <c r="DM164" s="29">
        <v>-4.2550787925720215</v>
      </c>
      <c r="DN164" s="29">
        <v>35.521110534667969</v>
      </c>
      <c r="DO164" s="29">
        <v>1629.9000244140625</v>
      </c>
      <c r="DP164" s="29">
        <v>5</v>
      </c>
      <c r="DQ164" s="29">
        <v>1706031849</v>
      </c>
      <c r="DR164" s="29" t="s">
        <v>1491</v>
      </c>
      <c r="DS164" s="31">
        <v>42903.412928240738</v>
      </c>
      <c r="DT164" s="31">
        <v>42901.591550925921</v>
      </c>
      <c r="DU164" s="31">
        <v>42901.605092592596</v>
      </c>
      <c r="DV164" s="32">
        <v>42742</v>
      </c>
      <c r="EC164" s="29">
        <f>IF(EQ164&lt;EP164,"FALSEE",1)</f>
        <v>1</v>
      </c>
      <c r="EE164" s="29" t="s">
        <v>2171</v>
      </c>
      <c r="EF164" s="29">
        <v>0.93315756320999999</v>
      </c>
      <c r="EG164" s="29" t="str">
        <f>IF(EF164&lt;0.5,"Depression",IF(EF164&lt;2,"Very gentle",IF(EF164&lt;5,"Gentle",IF(EF164&lt;9,"Moderate",IF(EF164&lt;15,"Strong",IF(EF164&lt;30,"Steep",IF(EF164&lt;1,"Very steep")))))))</f>
        <v>Very gentle</v>
      </c>
      <c r="EH164" s="29" t="s">
        <v>2173</v>
      </c>
      <c r="EI164" s="29">
        <v>9.0650379657699995E-2</v>
      </c>
      <c r="EJ164" s="43">
        <v>10.7247610092</v>
      </c>
      <c r="EK164" s="43"/>
      <c r="EL164" s="43"/>
      <c r="EM164" s="43"/>
      <c r="EN164" s="43"/>
      <c r="EO164" s="60"/>
      <c r="EP164" s="43"/>
      <c r="EQ164" s="43"/>
      <c r="ER164" s="43"/>
      <c r="ES164" s="64">
        <f>IF(CU164&gt;0.000001,CU164*352,0)</f>
        <v>1914.88</v>
      </c>
      <c r="ET164" s="64">
        <f>IF(DC164&gt;0.0001,DC164*682,0)</f>
        <v>273.59185729729728</v>
      </c>
      <c r="EU164" s="64">
        <f>CY164*795</f>
        <v>0</v>
      </c>
      <c r="EV164" s="64">
        <f>ES164+ET164+EU164</f>
        <v>2188.4718572972974</v>
      </c>
      <c r="EW164" s="64">
        <f>IF(AA164="YES",3.5*18.2,0)</f>
        <v>63.699999999999996</v>
      </c>
      <c r="EX164" s="64">
        <f>EV164-EW164</f>
        <v>2124.7718572972976</v>
      </c>
    </row>
    <row r="165" spans="1:154" ht="15" x14ac:dyDescent="0.2">
      <c r="A165" s="29" t="s">
        <v>789</v>
      </c>
      <c r="B165" s="29">
        <v>33</v>
      </c>
      <c r="C165" s="29" t="s">
        <v>391</v>
      </c>
      <c r="D165" s="29" t="s">
        <v>391</v>
      </c>
      <c r="E165" s="29" t="str">
        <f>VLOOKUP(D165,Harvest_2017_Formulae!$C$2:$D$968,2,FALSE)</f>
        <v>Sangara</v>
      </c>
      <c r="F165" s="29" t="s">
        <v>1014</v>
      </c>
      <c r="G165" s="29">
        <v>1</v>
      </c>
      <c r="H165" s="61" t="str">
        <f>IF(G165&lt;0.05,"Homefield",IF(G165&lt;0.5,"Midfield","outfield"))</f>
        <v>outfield</v>
      </c>
      <c r="I165" s="29" t="s">
        <v>557</v>
      </c>
      <c r="J165" s="61" t="s">
        <v>2233</v>
      </c>
      <c r="K165" s="61" t="s">
        <v>2233</v>
      </c>
      <c r="L165" s="67">
        <v>0</v>
      </c>
      <c r="O165" s="29" t="s">
        <v>547</v>
      </c>
      <c r="Q165" s="67">
        <v>1</v>
      </c>
      <c r="R165" s="29" t="s">
        <v>615</v>
      </c>
      <c r="S165" s="29">
        <v>2</v>
      </c>
      <c r="T165" s="29">
        <v>0.5</v>
      </c>
      <c r="U165" s="29" t="s">
        <v>560</v>
      </c>
      <c r="W165" s="29" t="s">
        <v>561</v>
      </c>
      <c r="Y165" s="29">
        <v>5000</v>
      </c>
      <c r="Z165" s="29" t="s">
        <v>547</v>
      </c>
      <c r="AA165" s="61" t="s">
        <v>548</v>
      </c>
      <c r="AB165" s="29" t="s">
        <v>568</v>
      </c>
      <c r="AC165" s="67">
        <v>0</v>
      </c>
      <c r="AD165" s="29" t="s">
        <v>547</v>
      </c>
      <c r="AF165" s="29" t="s">
        <v>547</v>
      </c>
      <c r="AG165" s="29" t="s">
        <v>547</v>
      </c>
      <c r="AH165" s="29" t="s">
        <v>548</v>
      </c>
      <c r="AI165" s="29" t="s">
        <v>546</v>
      </c>
      <c r="AK165" s="67">
        <v>0</v>
      </c>
      <c r="AL165" s="29" t="s">
        <v>547</v>
      </c>
      <c r="AO165" s="29" t="s">
        <v>547</v>
      </c>
      <c r="AP165" s="29" t="s">
        <v>547</v>
      </c>
      <c r="AQ165" s="4">
        <f>Q165+AK165</f>
        <v>1</v>
      </c>
      <c r="AR165" s="4">
        <f>L165+AC165</f>
        <v>0</v>
      </c>
      <c r="AS165" t="str">
        <f>AQ165&amp;AR165</f>
        <v>10</v>
      </c>
      <c r="AT165" s="49">
        <f>AQ165-AR165</f>
        <v>1</v>
      </c>
      <c r="AU165">
        <v>2</v>
      </c>
      <c r="AV165" s="29" t="s">
        <v>548</v>
      </c>
      <c r="AW165" s="29">
        <v>1</v>
      </c>
      <c r="AX165" s="29" t="s">
        <v>548</v>
      </c>
      <c r="AY165" s="29">
        <v>6</v>
      </c>
      <c r="AZ165" s="29">
        <v>10</v>
      </c>
      <c r="BA165" s="29" t="s">
        <v>548</v>
      </c>
      <c r="BB165" s="29" t="s">
        <v>569</v>
      </c>
      <c r="BC165" s="29">
        <v>12.5</v>
      </c>
      <c r="BD165" s="29">
        <f>AW165+AZ165</f>
        <v>11</v>
      </c>
      <c r="BE165" s="29">
        <f>BD165+BC165</f>
        <v>23.5</v>
      </c>
      <c r="BF165" s="29" t="s">
        <v>548</v>
      </c>
      <c r="BG165" s="29" t="s">
        <v>548</v>
      </c>
      <c r="BH165" s="29" t="s">
        <v>546</v>
      </c>
      <c r="BI165" s="29" t="s">
        <v>546</v>
      </c>
      <c r="BJ165" s="29" t="s">
        <v>546</v>
      </c>
      <c r="BK165" s="29" t="s">
        <v>546</v>
      </c>
      <c r="BL165" s="29">
        <v>5</v>
      </c>
      <c r="BM165" s="29" t="s">
        <v>562</v>
      </c>
      <c r="BN165" s="29">
        <v>4</v>
      </c>
      <c r="BO165" s="29" t="s">
        <v>562</v>
      </c>
      <c r="BQ165" s="29" t="s">
        <v>547</v>
      </c>
      <c r="BS165" s="29" t="s">
        <v>547</v>
      </c>
      <c r="BU165" s="29" t="s">
        <v>547</v>
      </c>
      <c r="BW165" s="29">
        <f>(BL165*1)+(BN165*0.1)+(BP165*0.01)+(BR165*0.1)+(BT165*0.3)+(BV165*0.4)</f>
        <v>5.4</v>
      </c>
      <c r="BX165" s="29" t="s">
        <v>2219</v>
      </c>
      <c r="BY165" s="29">
        <v>2</v>
      </c>
      <c r="BZ165" s="29">
        <v>6</v>
      </c>
      <c r="CA165" s="29">
        <v>1</v>
      </c>
      <c r="CB165" s="29">
        <v>9</v>
      </c>
      <c r="CC165" s="29">
        <v>0</v>
      </c>
      <c r="CD165" s="29">
        <v>0</v>
      </c>
      <c r="CE165" s="29">
        <v>0</v>
      </c>
      <c r="CG165" s="29">
        <f>(CC165*15)+(CD165*0.8)+(CE165*0.3)+((AW165+AZ165)*15)</f>
        <v>165</v>
      </c>
      <c r="CH165" s="29" t="s">
        <v>2221</v>
      </c>
      <c r="CI165" s="29">
        <f>(BL165*1)+(BN165*0.1)+(BP165*0.01)+(BR165*0.1)+(BT165*0.3)+(BV165*0.4)+(CC165*15)+(CD165*0.8)+(CE165*0.3)+((AW165+AZ165)*15)</f>
        <v>170.4</v>
      </c>
      <c r="CJ165" s="29" t="s">
        <v>548</v>
      </c>
      <c r="CK165" s="29" t="s">
        <v>1305</v>
      </c>
      <c r="CL165" s="29" t="s">
        <v>548</v>
      </c>
      <c r="CM165" s="29" t="s">
        <v>793</v>
      </c>
      <c r="CN165" s="29">
        <v>8</v>
      </c>
      <c r="CO165" s="29">
        <v>3</v>
      </c>
      <c r="CP165" s="29">
        <v>0</v>
      </c>
      <c r="CQ165" s="29" t="s">
        <v>548</v>
      </c>
      <c r="CR165" s="29">
        <v>1</v>
      </c>
      <c r="CS165" s="29">
        <v>21</v>
      </c>
      <c r="CT165" s="29" t="s">
        <v>551</v>
      </c>
      <c r="CU165" s="30">
        <v>5.04</v>
      </c>
      <c r="CV165" s="29">
        <v>1</v>
      </c>
      <c r="CW165" s="29">
        <v>10</v>
      </c>
      <c r="CX165" s="29" t="s">
        <v>551</v>
      </c>
      <c r="CY165" s="62">
        <v>2.4</v>
      </c>
      <c r="CZ165" s="29">
        <v>1</v>
      </c>
      <c r="DA165" s="29">
        <v>4</v>
      </c>
      <c r="DB165" s="29" t="s">
        <v>551</v>
      </c>
      <c r="DC165" s="62">
        <v>0.96</v>
      </c>
      <c r="DD165" s="29" t="s">
        <v>548</v>
      </c>
      <c r="DE165" s="29" t="s">
        <v>546</v>
      </c>
      <c r="DF165" s="29" t="s">
        <v>548</v>
      </c>
      <c r="DG165" s="29" t="s">
        <v>546</v>
      </c>
      <c r="DH165" s="29" t="s">
        <v>548</v>
      </c>
      <c r="DI165" s="29">
        <v>3</v>
      </c>
      <c r="DJ165" s="29">
        <v>5</v>
      </c>
      <c r="DK165" s="29" t="s">
        <v>1306</v>
      </c>
      <c r="DL165" s="29" t="s">
        <v>1307</v>
      </c>
      <c r="DM165" s="29">
        <v>-4.2983689308166504</v>
      </c>
      <c r="DN165" s="29">
        <v>35.643024444580078</v>
      </c>
      <c r="DO165" s="29">
        <v>1384.800048828125</v>
      </c>
      <c r="DP165" s="29">
        <v>15</v>
      </c>
      <c r="DQ165" s="29">
        <v>1705231439</v>
      </c>
      <c r="DR165" s="29" t="s">
        <v>1308</v>
      </c>
      <c r="DS165" s="31">
        <v>42908.292638888888</v>
      </c>
      <c r="DT165" s="31">
        <v>42899.399884259255</v>
      </c>
      <c r="DU165" s="31">
        <v>42908.289155092592</v>
      </c>
      <c r="DV165" s="32">
        <v>42741</v>
      </c>
      <c r="DX165" s="44"/>
      <c r="DY165" s="44"/>
      <c r="DZ165" s="44"/>
      <c r="EA165" s="44"/>
      <c r="EB165" s="34"/>
      <c r="EC165" s="29">
        <f>IF(EQ165&lt;EP165,"FALSEE",1)</f>
        <v>1</v>
      </c>
      <c r="ED165" s="34"/>
      <c r="EE165" s="29" t="s">
        <v>2171</v>
      </c>
      <c r="EF165" s="29">
        <v>1.7775242328600001</v>
      </c>
      <c r="EG165" s="29" t="str">
        <f>IF(EF165&lt;0.5,"Depression",IF(EF165&lt;2,"Very gentle",IF(EF165&lt;5,"Gentle",IF(EF165&lt;9,"Moderate",IF(EF165&lt;15,"Strong",IF(EF165&lt;30,"Steep",IF(EF165&lt;1,"Very steep")))))))</f>
        <v>Very gentle</v>
      </c>
      <c r="EH165" s="29" t="s">
        <v>2173</v>
      </c>
      <c r="EI165" s="29">
        <v>0.18129228055499999</v>
      </c>
      <c r="EJ165" s="43">
        <v>9.9929609298699997</v>
      </c>
      <c r="EK165" s="43">
        <f>VLOOKUP(D165,[1]SoilData!$G$15:$K$237,5,FALSE)</f>
        <v>271.43823040193337</v>
      </c>
      <c r="EL165" s="43"/>
      <c r="EM165" s="56"/>
      <c r="EN165" s="43"/>
      <c r="EO165" s="60"/>
      <c r="EP165" s="44"/>
      <c r="EQ165" s="44"/>
      <c r="ER165" s="43"/>
      <c r="ES165" s="64">
        <f>IF(CU165&gt;0.000001,CU165*352,0)</f>
        <v>1774.08</v>
      </c>
      <c r="ET165" s="64">
        <f>IF(DC165&gt;0.0001,DC165*682,0)</f>
        <v>654.72</v>
      </c>
      <c r="EU165" s="64">
        <f>CY165*795</f>
        <v>1908</v>
      </c>
      <c r="EV165" s="64">
        <f>ES165+ET165+EU165</f>
        <v>4336.8</v>
      </c>
      <c r="EW165" s="64">
        <f>IF(AA165="YES",3.5*18.2,0)</f>
        <v>63.699999999999996</v>
      </c>
      <c r="EX165" s="64">
        <f>EV165-EW165</f>
        <v>4273.1000000000004</v>
      </c>
    </row>
    <row r="166" spans="1:154" ht="15" x14ac:dyDescent="0.2">
      <c r="A166" s="29" t="s">
        <v>1298</v>
      </c>
      <c r="B166" s="29">
        <v>40</v>
      </c>
      <c r="C166" s="29" t="s">
        <v>272</v>
      </c>
      <c r="D166" s="29" t="s">
        <v>272</v>
      </c>
      <c r="E166" s="29" t="str">
        <f>VLOOKUP(D166,Harvest_2017_Formulae!$C$2:$D$968,2,FALSE)</f>
        <v>Sangara</v>
      </c>
      <c r="F166" s="29" t="s">
        <v>1014</v>
      </c>
      <c r="G166" s="29">
        <v>0</v>
      </c>
      <c r="H166" s="61" t="str">
        <f>IF(G166&lt;0.05,"Homefield",IF(G166&lt;0.5,"Midfield","outfield"))</f>
        <v>Homefield</v>
      </c>
      <c r="I166" s="29" t="s">
        <v>557</v>
      </c>
      <c r="J166" s="61" t="s">
        <v>2234</v>
      </c>
      <c r="K166" s="61" t="s">
        <v>2234</v>
      </c>
      <c r="L166" s="67">
        <v>0</v>
      </c>
      <c r="O166" s="29" t="s">
        <v>547</v>
      </c>
      <c r="Q166" s="67">
        <v>1</v>
      </c>
      <c r="R166" s="29" t="s">
        <v>615</v>
      </c>
      <c r="S166" s="29">
        <v>6</v>
      </c>
      <c r="T166" s="29">
        <v>2</v>
      </c>
      <c r="U166" s="29" t="s">
        <v>560</v>
      </c>
      <c r="W166" s="29" t="s">
        <v>819</v>
      </c>
      <c r="X166" s="29">
        <v>999</v>
      </c>
      <c r="Z166" s="29" t="s">
        <v>831</v>
      </c>
      <c r="AA166" s="61" t="s">
        <v>546</v>
      </c>
      <c r="AB166" s="29" t="s">
        <v>547</v>
      </c>
      <c r="AC166" s="67">
        <v>0</v>
      </c>
      <c r="AD166" s="29" t="s">
        <v>547</v>
      </c>
      <c r="AF166" s="29" t="s">
        <v>547</v>
      </c>
      <c r="AG166" s="29" t="s">
        <v>547</v>
      </c>
      <c r="AH166" s="29" t="s">
        <v>548</v>
      </c>
      <c r="AI166" s="29" t="s">
        <v>546</v>
      </c>
      <c r="AK166" s="67">
        <v>0</v>
      </c>
      <c r="AL166" s="29" t="s">
        <v>547</v>
      </c>
      <c r="AO166" s="29" t="s">
        <v>547</v>
      </c>
      <c r="AP166" s="29" t="s">
        <v>547</v>
      </c>
      <c r="AQ166" s="4">
        <f>Q166+AK166</f>
        <v>1</v>
      </c>
      <c r="AR166" s="4">
        <f>L166+AC166</f>
        <v>0</v>
      </c>
      <c r="AS166" t="str">
        <f>AQ166&amp;AR166</f>
        <v>10</v>
      </c>
      <c r="AT166" s="49">
        <f>AQ166-AR166</f>
        <v>1</v>
      </c>
      <c r="AU166">
        <v>2</v>
      </c>
      <c r="AV166" s="29" t="s">
        <v>548</v>
      </c>
      <c r="AW166" s="29">
        <v>2</v>
      </c>
      <c r="AX166" s="29" t="s">
        <v>546</v>
      </c>
      <c r="BA166" s="29" t="s">
        <v>546</v>
      </c>
      <c r="BB166" s="29" t="s">
        <v>547</v>
      </c>
      <c r="BD166" s="29">
        <f>AW166+AZ166</f>
        <v>2</v>
      </c>
      <c r="BE166" s="29">
        <f>BD166+BC166</f>
        <v>2</v>
      </c>
      <c r="BF166" s="29" t="s">
        <v>548</v>
      </c>
      <c r="BG166" s="29" t="s">
        <v>548</v>
      </c>
      <c r="BH166" s="29" t="s">
        <v>548</v>
      </c>
      <c r="BI166" s="29" t="s">
        <v>546</v>
      </c>
      <c r="BJ166" s="29" t="s">
        <v>546</v>
      </c>
      <c r="BK166" s="29" t="s">
        <v>546</v>
      </c>
      <c r="BL166" s="29">
        <v>5</v>
      </c>
      <c r="BM166" s="29" t="s">
        <v>580</v>
      </c>
      <c r="BN166" s="29">
        <v>4</v>
      </c>
      <c r="BO166" s="29" t="s">
        <v>580</v>
      </c>
      <c r="BP166" s="29">
        <v>10</v>
      </c>
      <c r="BQ166" s="29" t="s">
        <v>580</v>
      </c>
      <c r="BS166" s="29" t="s">
        <v>547</v>
      </c>
      <c r="BU166" s="29" t="s">
        <v>547</v>
      </c>
      <c r="BW166" s="29">
        <f>(BL166*1)+(BN166*0.1)+(BP166*0.01)+(BR166*0.1)+(BT166*0.3)+(BV166*0.4)</f>
        <v>5.5</v>
      </c>
      <c r="BX166" s="29" t="s">
        <v>2219</v>
      </c>
      <c r="BY166" s="29">
        <v>3</v>
      </c>
      <c r="BZ166" s="29">
        <v>2</v>
      </c>
      <c r="CA166" s="29">
        <v>4</v>
      </c>
      <c r="CB166" s="29">
        <v>9</v>
      </c>
      <c r="CC166" s="29">
        <v>0</v>
      </c>
      <c r="CD166" s="29">
        <v>0</v>
      </c>
      <c r="CE166" s="29">
        <v>1</v>
      </c>
      <c r="CG166" s="29">
        <f>(CC166*15)+(CD166*0.8)+(CE166*0.3)+((AW166+AZ166)*15)</f>
        <v>30.3</v>
      </c>
      <c r="CH166" s="29" t="s">
        <v>2220</v>
      </c>
      <c r="CI166" s="29">
        <f>(BL166*1)+(BN166*0.1)+(BP166*0.01)+(BR166*0.1)+(BT166*0.3)+(BV166*0.4)+(CC166*15)+(CD166*0.8)+(CE166*0.3)+((AW166+AZ166)*15)</f>
        <v>35.799999999999997</v>
      </c>
      <c r="CJ166" s="29" t="s">
        <v>546</v>
      </c>
      <c r="CK166" s="29" t="s">
        <v>547</v>
      </c>
      <c r="CL166" s="29" t="s">
        <v>546</v>
      </c>
      <c r="CM166" s="29" t="s">
        <v>547</v>
      </c>
      <c r="CN166" s="29">
        <v>0.25</v>
      </c>
      <c r="CO166" s="29">
        <v>1.5</v>
      </c>
      <c r="CP166" s="29">
        <v>0</v>
      </c>
      <c r="CQ166" s="29" t="s">
        <v>548</v>
      </c>
      <c r="CR166" s="29">
        <v>1</v>
      </c>
      <c r="CS166" s="29">
        <v>4</v>
      </c>
      <c r="CT166" s="29" t="s">
        <v>551</v>
      </c>
      <c r="CU166" s="30">
        <v>0.96</v>
      </c>
      <c r="CW166" s="29">
        <v>999</v>
      </c>
      <c r="CX166" s="29" t="s">
        <v>551</v>
      </c>
      <c r="CY166" s="62"/>
      <c r="CZ166" s="29">
        <v>1</v>
      </c>
      <c r="DA166" s="29">
        <v>2</v>
      </c>
      <c r="DB166" s="29" t="s">
        <v>551</v>
      </c>
      <c r="DC166" s="62">
        <v>0.48</v>
      </c>
      <c r="DD166" s="29" t="s">
        <v>546</v>
      </c>
      <c r="DE166" s="29" t="s">
        <v>546</v>
      </c>
      <c r="DF166" s="29" t="s">
        <v>546</v>
      </c>
      <c r="DG166" s="29" t="s">
        <v>546</v>
      </c>
      <c r="DH166" s="29" t="s">
        <v>546</v>
      </c>
      <c r="DI166" s="29">
        <v>0</v>
      </c>
      <c r="DJ166" s="29">
        <v>2</v>
      </c>
      <c r="DK166" s="29" t="s">
        <v>1299</v>
      </c>
      <c r="DL166" s="29" t="s">
        <v>1300</v>
      </c>
      <c r="DM166" s="29">
        <v>-4.2891554832458496</v>
      </c>
      <c r="DN166" s="29">
        <v>35.629096984863281</v>
      </c>
      <c r="DO166" s="29">
        <v>1467.9000244140625</v>
      </c>
      <c r="DP166" s="29">
        <v>10</v>
      </c>
      <c r="DQ166" s="29">
        <v>1705231439</v>
      </c>
      <c r="DR166" s="29" t="s">
        <v>1301</v>
      </c>
      <c r="DS166" s="31">
        <v>42908.292673611111</v>
      </c>
      <c r="DT166" s="31">
        <v>42899.635266203702</v>
      </c>
      <c r="DU166" s="31">
        <v>42908.289872685185</v>
      </c>
      <c r="DV166" s="32">
        <v>42744</v>
      </c>
      <c r="DX166" s="44">
        <v>3.9160000000000008</v>
      </c>
      <c r="DY166" s="44">
        <v>4.2720000000000011</v>
      </c>
      <c r="DZ166" s="44">
        <v>4.5014484126984113</v>
      </c>
      <c r="EA166" s="44">
        <v>4.7947023809523799</v>
      </c>
      <c r="EC166" s="29" t="str">
        <f>IF(EQ166&lt;EP166,"FALSEE",1)</f>
        <v>FALSEE</v>
      </c>
      <c r="EE166" s="29" t="s">
        <v>2183</v>
      </c>
      <c r="EF166" s="29">
        <v>13.2616186142</v>
      </c>
      <c r="EG166" s="29" t="str">
        <f>IF(EF166&lt;0.5,"Depression",IF(EF166&lt;2,"Very gentle",IF(EF166&lt;5,"Gentle",IF(EF166&lt;9,"Moderate",IF(EF166&lt;15,"Strong",IF(EF166&lt;30,"Steep",IF(EF166&lt;1,"Very steep")))))))</f>
        <v>Strong</v>
      </c>
      <c r="EH166" s="29" t="s">
        <v>2182</v>
      </c>
      <c r="EI166" s="29">
        <v>1.35963702202</v>
      </c>
      <c r="EJ166" s="43">
        <v>6.7637782096899999</v>
      </c>
      <c r="EK166" s="43">
        <f>VLOOKUP(D166,[1]SoilData!$G$15:$K$237,5,FALSE)</f>
        <v>76.620787229891377</v>
      </c>
      <c r="EL166" s="43">
        <f>VLOOKUP(D166,[1]SoilData!$G$245:$K$451,5,FALSE)</f>
        <v>37.217825211550952</v>
      </c>
      <c r="EM166" s="43">
        <f>VLOOKUP(D166,[1]SoilData!$G$15:$M$238,7,FALSE)</f>
        <v>0.74299999999999999</v>
      </c>
      <c r="EN166" s="43">
        <f>VLOOKUP(D166,[1]SoilData!$G$245:$M$454,7,FALSE)</f>
        <v>0.52100000000000002</v>
      </c>
      <c r="EO166" s="60">
        <f>EM166-EN166</f>
        <v>0.22199999999999998</v>
      </c>
      <c r="EP166" s="44">
        <f>AVERAGE(DZ166:EA166)</f>
        <v>4.6480753968253961</v>
      </c>
      <c r="EQ166" s="44">
        <f>AVERAGE(DX166:DY166)</f>
        <v>4.0940000000000012</v>
      </c>
      <c r="ER166" s="43">
        <f>EQ166-EP166</f>
        <v>-0.55407539682539486</v>
      </c>
      <c r="ES166" s="64">
        <f>IF(CU166&gt;0.000001,CU166*352,0)</f>
        <v>337.91999999999996</v>
      </c>
      <c r="ET166" s="64">
        <f>IF(DC166&gt;0.0001,DC166*682,0)</f>
        <v>327.36</v>
      </c>
      <c r="EU166" s="64">
        <f>CY166*795</f>
        <v>0</v>
      </c>
      <c r="EV166" s="64">
        <f>ES166+ET166+EU166</f>
        <v>665.28</v>
      </c>
      <c r="EW166" s="64">
        <f>IF(AA166="YES",3.5*18.2,0)</f>
        <v>0</v>
      </c>
      <c r="EX166" s="64">
        <f>EV166-EW166</f>
        <v>665.28</v>
      </c>
    </row>
    <row r="167" spans="1:154" ht="15" x14ac:dyDescent="0.2">
      <c r="A167" s="29" t="s">
        <v>789</v>
      </c>
      <c r="B167" s="29">
        <v>34</v>
      </c>
      <c r="C167" s="29" t="s">
        <v>262</v>
      </c>
      <c r="D167" s="29" t="s">
        <v>262</v>
      </c>
      <c r="E167" s="29" t="str">
        <f>VLOOKUP(D167,Harvest_2017_Formulae!$C$2:$D$968,2,FALSE)</f>
        <v>Sangara</v>
      </c>
      <c r="F167" s="29" t="s">
        <v>1014</v>
      </c>
      <c r="G167" s="29">
        <v>0</v>
      </c>
      <c r="H167" s="61" t="str">
        <f>IF(G167&lt;0.05,"Homefield",IF(G167&lt;0.5,"Midfield","outfield"))</f>
        <v>Homefield</v>
      </c>
      <c r="I167" s="29" t="s">
        <v>557</v>
      </c>
      <c r="J167" s="61" t="s">
        <v>2233</v>
      </c>
      <c r="K167" s="61" t="s">
        <v>2233</v>
      </c>
      <c r="L167" s="67">
        <v>0</v>
      </c>
      <c r="O167" s="29" t="s">
        <v>547</v>
      </c>
      <c r="Q167" s="67">
        <v>1</v>
      </c>
      <c r="R167" s="29" t="s">
        <v>791</v>
      </c>
      <c r="S167" s="29">
        <v>3</v>
      </c>
      <c r="T167" s="29">
        <v>3</v>
      </c>
      <c r="U167" s="29" t="s">
        <v>560</v>
      </c>
      <c r="W167" s="29" t="s">
        <v>635</v>
      </c>
      <c r="Y167" s="29">
        <v>8000</v>
      </c>
      <c r="Z167" s="29" t="s">
        <v>547</v>
      </c>
      <c r="AA167" s="61" t="s">
        <v>548</v>
      </c>
      <c r="AB167" s="29" t="s">
        <v>568</v>
      </c>
      <c r="AC167" s="67">
        <v>0</v>
      </c>
      <c r="AD167" s="29" t="s">
        <v>547</v>
      </c>
      <c r="AF167" s="29" t="s">
        <v>547</v>
      </c>
      <c r="AG167" s="29" t="s">
        <v>547</v>
      </c>
      <c r="AH167" s="29" t="s">
        <v>548</v>
      </c>
      <c r="AI167" s="29" t="s">
        <v>546</v>
      </c>
      <c r="AK167" s="67">
        <v>0</v>
      </c>
      <c r="AL167" s="29" t="s">
        <v>547</v>
      </c>
      <c r="AO167" s="29" t="s">
        <v>547</v>
      </c>
      <c r="AP167" s="29" t="s">
        <v>547</v>
      </c>
      <c r="AQ167" s="4">
        <f>Q167+AK167</f>
        <v>1</v>
      </c>
      <c r="AR167" s="4">
        <f>L167+AC167</f>
        <v>0</v>
      </c>
      <c r="AS167" t="str">
        <f>AQ167&amp;AR167</f>
        <v>10</v>
      </c>
      <c r="AT167" s="49">
        <f>AQ167-AR167</f>
        <v>1</v>
      </c>
      <c r="AU167">
        <v>2</v>
      </c>
      <c r="AV167" s="29" t="s">
        <v>548</v>
      </c>
      <c r="AW167" s="29">
        <v>2</v>
      </c>
      <c r="AX167" s="29" t="s">
        <v>546</v>
      </c>
      <c r="BA167" s="29" t="s">
        <v>548</v>
      </c>
      <c r="BB167" s="29" t="s">
        <v>569</v>
      </c>
      <c r="BC167" s="29">
        <v>3.5</v>
      </c>
      <c r="BD167" s="29">
        <f>AW167+AZ167</f>
        <v>2</v>
      </c>
      <c r="BE167" s="29">
        <f>BD167+BC167</f>
        <v>5.5</v>
      </c>
      <c r="BF167" s="29" t="s">
        <v>548</v>
      </c>
      <c r="BG167" s="29" t="s">
        <v>548</v>
      </c>
      <c r="BH167" s="29" t="s">
        <v>548</v>
      </c>
      <c r="BI167" s="29" t="s">
        <v>546</v>
      </c>
      <c r="BJ167" s="29" t="s">
        <v>546</v>
      </c>
      <c r="BK167" s="29" t="s">
        <v>546</v>
      </c>
      <c r="BL167" s="29">
        <v>6</v>
      </c>
      <c r="BM167" s="29" t="s">
        <v>580</v>
      </c>
      <c r="BN167" s="29">
        <v>2</v>
      </c>
      <c r="BO167" s="29" t="s">
        <v>580</v>
      </c>
      <c r="BP167" s="29">
        <v>20</v>
      </c>
      <c r="BQ167" s="29" t="s">
        <v>580</v>
      </c>
      <c r="BS167" s="29" t="s">
        <v>547</v>
      </c>
      <c r="BU167" s="29" t="s">
        <v>547</v>
      </c>
      <c r="BW167" s="29">
        <f>(BL167*1)+(BN167*0.1)+(BP167*0.01)+(BR167*0.1)+(BT167*0.3)+(BV167*0.4)</f>
        <v>6.4</v>
      </c>
      <c r="BX167" s="29" t="s">
        <v>2220</v>
      </c>
      <c r="BY167" s="29">
        <v>1</v>
      </c>
      <c r="BZ167" s="29">
        <v>1</v>
      </c>
      <c r="CA167" s="29">
        <v>2</v>
      </c>
      <c r="CB167" s="29">
        <v>4</v>
      </c>
      <c r="CC167" s="29">
        <v>0</v>
      </c>
      <c r="CD167" s="29">
        <v>0</v>
      </c>
      <c r="CE167" s="29">
        <v>1</v>
      </c>
      <c r="CG167" s="29">
        <f>(CC167*15)+(CD167*0.8)+(CE167*0.3)+((AW167+AZ167)*15)</f>
        <v>30.3</v>
      </c>
      <c r="CH167" s="29" t="s">
        <v>2220</v>
      </c>
      <c r="CI167" s="29">
        <f>(BL167*1)+(BN167*0.1)+(BP167*0.01)+(BR167*0.1)+(BT167*0.3)+(BV167*0.4)+(CC167*15)+(CD167*0.8)+(CE167*0.3)+((AW167+AZ167)*15)</f>
        <v>36.700000000000003</v>
      </c>
      <c r="CJ167" s="29" t="s">
        <v>548</v>
      </c>
      <c r="CK167" s="29" t="s">
        <v>1261</v>
      </c>
      <c r="CL167" s="29" t="s">
        <v>548</v>
      </c>
      <c r="CM167" s="29" t="s">
        <v>793</v>
      </c>
      <c r="CN167" s="29">
        <v>0.75</v>
      </c>
      <c r="CO167" s="29">
        <v>2</v>
      </c>
      <c r="CP167" s="29">
        <v>0</v>
      </c>
      <c r="CQ167" s="29" t="s">
        <v>548</v>
      </c>
      <c r="CR167" s="29">
        <v>1</v>
      </c>
      <c r="CS167" s="29">
        <v>25</v>
      </c>
      <c r="CT167" s="29" t="s">
        <v>551</v>
      </c>
      <c r="CU167" s="30">
        <v>6</v>
      </c>
      <c r="CV167" s="29">
        <v>1</v>
      </c>
      <c r="CW167" s="29">
        <v>1</v>
      </c>
      <c r="CX167" s="29" t="s">
        <v>551</v>
      </c>
      <c r="CY167" s="62">
        <v>0.24</v>
      </c>
      <c r="CZ167" s="29">
        <v>1</v>
      </c>
      <c r="DA167" s="29">
        <v>2.5</v>
      </c>
      <c r="DB167" s="29" t="s">
        <v>551</v>
      </c>
      <c r="DC167" s="62">
        <v>0.6</v>
      </c>
      <c r="DD167" s="29" t="s">
        <v>548</v>
      </c>
      <c r="DE167" s="29" t="s">
        <v>548</v>
      </c>
      <c r="DF167" s="29" t="s">
        <v>548</v>
      </c>
      <c r="DG167" s="29" t="s">
        <v>548</v>
      </c>
      <c r="DH167" s="29" t="s">
        <v>548</v>
      </c>
      <c r="DI167" s="29">
        <v>5</v>
      </c>
      <c r="DJ167" s="29">
        <v>3</v>
      </c>
      <c r="DK167" s="29" t="s">
        <v>1262</v>
      </c>
      <c r="DL167" s="29" t="s">
        <v>1263</v>
      </c>
      <c r="DM167" s="29">
        <v>-4.298184871673584</v>
      </c>
      <c r="DN167" s="29">
        <v>35.634128570556641</v>
      </c>
      <c r="DO167" s="29">
        <v>1395.9000244140625</v>
      </c>
      <c r="DP167" s="29">
        <v>10</v>
      </c>
      <c r="DQ167" s="29">
        <v>1705231439</v>
      </c>
      <c r="DR167" s="29" t="s">
        <v>1264</v>
      </c>
      <c r="DS167" s="31">
        <v>42908.292627314819</v>
      </c>
      <c r="DT167" s="31">
        <v>42898.700277777782</v>
      </c>
      <c r="DU167" s="31">
        <v>42908.288900462961</v>
      </c>
      <c r="DV167" s="32">
        <v>42791</v>
      </c>
      <c r="DX167" s="44">
        <v>4.2897474747474753</v>
      </c>
      <c r="DY167" s="44">
        <v>6.2843434343434348</v>
      </c>
      <c r="DZ167" s="44">
        <v>2.9950515463917529</v>
      </c>
      <c r="EA167" s="44">
        <v>1.8816494845360825</v>
      </c>
      <c r="EC167" s="29">
        <f>IF(EQ167&lt;EP167,"FALSEE",1)</f>
        <v>1</v>
      </c>
      <c r="EE167" s="29" t="s">
        <v>2179</v>
      </c>
      <c r="EF167" s="29">
        <v>2.93846130371</v>
      </c>
      <c r="EG167" s="29" t="str">
        <f>IF(EF167&lt;0.5,"Depression",IF(EF167&lt;2,"Very gentle",IF(EF167&lt;5,"Gentle",IF(EF167&lt;9,"Moderate",IF(EF167&lt;15,"Strong",IF(EF167&lt;30,"Steep",IF(EF167&lt;1,"Very steep")))))))</f>
        <v>Gentle</v>
      </c>
      <c r="EH167" s="29" t="s">
        <v>2172</v>
      </c>
      <c r="EI167" s="29">
        <v>-0.725126743317</v>
      </c>
      <c r="EJ167" s="43">
        <v>10.9177017212</v>
      </c>
      <c r="EK167" s="43">
        <f>VLOOKUP(D167,[1]SoilData!$G$15:$K$237,5,FALSE)</f>
        <v>71.185895917017049</v>
      </c>
      <c r="EL167" s="43">
        <f>VLOOKUP(D167,[1]SoilData!$G$245:$K$451,5,FALSE)</f>
        <v>266.84198318049908</v>
      </c>
      <c r="EM167" s="43">
        <f>VLOOKUP(D167,[1]SoilData!$G$15:$M$238,7,FALSE)</f>
        <v>0.84299999999999997</v>
      </c>
      <c r="EN167" s="43">
        <f>VLOOKUP(D167,[1]SoilData!$G$245:$M$454,7,FALSE)</f>
        <v>1.171</v>
      </c>
      <c r="EO167" s="60">
        <f>EM167-EN167</f>
        <v>-0.32800000000000007</v>
      </c>
      <c r="EP167" s="44">
        <f>AVERAGE(DZ167:EA167)</f>
        <v>2.4383505154639176</v>
      </c>
      <c r="EQ167" s="44">
        <f>AVERAGE(DX167:DY167)</f>
        <v>5.2870454545454546</v>
      </c>
      <c r="ER167" s="43">
        <f>EQ167-EP167</f>
        <v>2.848694939081537</v>
      </c>
      <c r="ES167" s="64">
        <f>IF(CU167&gt;0.000001,CU167*352,0)</f>
        <v>2112</v>
      </c>
      <c r="ET167" s="64">
        <f>IF(DC167&gt;0.0001,DC167*682,0)</f>
        <v>409.2</v>
      </c>
      <c r="EU167" s="64">
        <f>CY167*795</f>
        <v>190.79999999999998</v>
      </c>
      <c r="EV167" s="64">
        <f>ES167+ET167+EU167</f>
        <v>2712</v>
      </c>
      <c r="EW167" s="64">
        <f>IF(AA167="YES",3.5*18.2,0)</f>
        <v>63.699999999999996</v>
      </c>
      <c r="EX167" s="64">
        <f>EV167-EW167</f>
        <v>2648.3</v>
      </c>
    </row>
    <row r="168" spans="1:154" ht="15" x14ac:dyDescent="0.2">
      <c r="A168" s="29" t="s">
        <v>789</v>
      </c>
      <c r="B168" s="29">
        <v>19</v>
      </c>
      <c r="C168" s="29" t="s">
        <v>380</v>
      </c>
      <c r="D168" s="29" t="s">
        <v>380</v>
      </c>
      <c r="E168" s="29" t="str">
        <f>VLOOKUP(D168,Harvest_2017_Formulae!$C$2:$D$968,2,FALSE)</f>
        <v>SABILO</v>
      </c>
      <c r="F168" s="29" t="s">
        <v>1175</v>
      </c>
      <c r="G168" s="29">
        <v>1.5</v>
      </c>
      <c r="H168" s="61" t="str">
        <f>IF(G168&lt;0.05,"Homefield",IF(G168&lt;0.5,"Midfield","outfield"))</f>
        <v>outfield</v>
      </c>
      <c r="I168" s="29" t="s">
        <v>557</v>
      </c>
      <c r="J168" s="61" t="s">
        <v>2234</v>
      </c>
      <c r="K168" s="61" t="s">
        <v>2234</v>
      </c>
      <c r="L168" s="67">
        <v>0</v>
      </c>
      <c r="O168" s="29" t="s">
        <v>547</v>
      </c>
      <c r="Q168" s="67">
        <v>1</v>
      </c>
      <c r="R168" s="29" t="s">
        <v>615</v>
      </c>
      <c r="S168" s="29">
        <v>10</v>
      </c>
      <c r="T168" s="29">
        <v>2</v>
      </c>
      <c r="U168" s="29" t="s">
        <v>560</v>
      </c>
      <c r="W168" s="29" t="s">
        <v>561</v>
      </c>
      <c r="Z168" s="29" t="s">
        <v>831</v>
      </c>
      <c r="AA168" s="61" t="s">
        <v>548</v>
      </c>
      <c r="AB168" s="29" t="s">
        <v>568</v>
      </c>
      <c r="AC168" s="67">
        <v>0</v>
      </c>
      <c r="AD168" s="29" t="s">
        <v>547</v>
      </c>
      <c r="AF168" s="29" t="s">
        <v>547</v>
      </c>
      <c r="AG168" s="29" t="s">
        <v>547</v>
      </c>
      <c r="AH168" s="29" t="s">
        <v>548</v>
      </c>
      <c r="AI168" s="29" t="s">
        <v>546</v>
      </c>
      <c r="AK168" s="67">
        <v>0</v>
      </c>
      <c r="AL168" s="29" t="s">
        <v>547</v>
      </c>
      <c r="AO168" s="29" t="s">
        <v>547</v>
      </c>
      <c r="AP168" s="29" t="s">
        <v>547</v>
      </c>
      <c r="AQ168" s="4">
        <f>Q168+AK168</f>
        <v>1</v>
      </c>
      <c r="AR168" s="4">
        <f>L168+AC168</f>
        <v>0</v>
      </c>
      <c r="AS168" t="str">
        <f>AQ168&amp;AR168</f>
        <v>10</v>
      </c>
      <c r="AT168" s="49">
        <f>AQ168-AR168</f>
        <v>1</v>
      </c>
      <c r="AU168">
        <v>2</v>
      </c>
      <c r="AV168" s="29" t="s">
        <v>546</v>
      </c>
      <c r="AX168" s="29" t="s">
        <v>548</v>
      </c>
      <c r="AY168" s="29">
        <v>2</v>
      </c>
      <c r="AZ168" s="29">
        <v>1.5</v>
      </c>
      <c r="BA168" s="29" t="s">
        <v>548</v>
      </c>
      <c r="BB168" s="29" t="s">
        <v>1034</v>
      </c>
      <c r="BC168" s="29">
        <v>1.75</v>
      </c>
      <c r="BD168" s="29">
        <f>AW168+AZ168</f>
        <v>1.5</v>
      </c>
      <c r="BE168" s="29">
        <f>BD168+BC168</f>
        <v>3.25</v>
      </c>
      <c r="BF168" s="29" t="s">
        <v>548</v>
      </c>
      <c r="BG168" s="29" t="s">
        <v>548</v>
      </c>
      <c r="BH168" s="29" t="s">
        <v>548</v>
      </c>
      <c r="BI168" s="29" t="s">
        <v>548</v>
      </c>
      <c r="BJ168" s="29" t="s">
        <v>546</v>
      </c>
      <c r="BK168" s="29" t="s">
        <v>546</v>
      </c>
      <c r="BL168" s="29">
        <v>5</v>
      </c>
      <c r="BM168" s="29" t="s">
        <v>580</v>
      </c>
      <c r="BN168" s="29">
        <v>9</v>
      </c>
      <c r="BO168" s="29" t="s">
        <v>580</v>
      </c>
      <c r="BP168" s="29">
        <v>5</v>
      </c>
      <c r="BQ168" s="29" t="s">
        <v>580</v>
      </c>
      <c r="BR168" s="29">
        <v>5</v>
      </c>
      <c r="BS168" s="29" t="s">
        <v>580</v>
      </c>
      <c r="BU168" s="29" t="s">
        <v>547</v>
      </c>
      <c r="BW168" s="29">
        <f>(BL168*1)+(BN168*0.1)+(BP168*0.01)+(BR168*0.1)+(BT168*0.3)+(BV168*0.4)</f>
        <v>6.45</v>
      </c>
      <c r="BX168" s="29" t="s">
        <v>2220</v>
      </c>
      <c r="BY168" s="29">
        <v>1</v>
      </c>
      <c r="BZ168" s="29">
        <v>1</v>
      </c>
      <c r="CA168" s="29">
        <v>3</v>
      </c>
      <c r="CB168" s="29">
        <v>5</v>
      </c>
      <c r="CC168" s="29">
        <v>0</v>
      </c>
      <c r="CD168" s="29">
        <v>0</v>
      </c>
      <c r="CE168" s="29">
        <v>0</v>
      </c>
      <c r="CF168" s="29" t="s">
        <v>547</v>
      </c>
      <c r="CG168" s="29">
        <f>(CC168*15)+(CD168*0.8)+(CE168*0.3)+((AW168+AZ168)*15)</f>
        <v>22.5</v>
      </c>
      <c r="CH168" s="29" t="s">
        <v>2220</v>
      </c>
      <c r="CI168" s="29">
        <f>(BL168*1)+(BN168*0.1)+(BP168*0.01)+(BR168*0.1)+(BT168*0.3)+(BV168*0.4)+(CC168*15)+(CD168*0.8)+(CE168*0.3)+((AW168+AZ168)*15)</f>
        <v>28.95</v>
      </c>
      <c r="CJ168" s="29" t="s">
        <v>546</v>
      </c>
      <c r="CK168" s="29" t="s">
        <v>547</v>
      </c>
      <c r="CL168" s="29" t="s">
        <v>546</v>
      </c>
      <c r="CM168" s="29" t="s">
        <v>547</v>
      </c>
      <c r="CN168" s="29">
        <v>0.25</v>
      </c>
      <c r="CO168" s="29">
        <v>1.5</v>
      </c>
      <c r="CQ168" s="29" t="s">
        <v>548</v>
      </c>
      <c r="CS168" s="29">
        <v>999</v>
      </c>
      <c r="CT168" s="29" t="s">
        <v>551</v>
      </c>
      <c r="CW168" s="29">
        <v>999</v>
      </c>
      <c r="CX168" s="29" t="s">
        <v>551</v>
      </c>
      <c r="CY168" s="62"/>
      <c r="DA168" s="29">
        <v>999</v>
      </c>
      <c r="DB168" s="29" t="s">
        <v>551</v>
      </c>
      <c r="DC168" s="62"/>
      <c r="DD168" s="29" t="s">
        <v>546</v>
      </c>
      <c r="DE168" s="29" t="s">
        <v>546</v>
      </c>
      <c r="DF168" s="29" t="s">
        <v>546</v>
      </c>
      <c r="DG168" s="29" t="s">
        <v>546</v>
      </c>
      <c r="DH168" s="29" t="s">
        <v>546</v>
      </c>
      <c r="DI168" s="29">
        <v>0</v>
      </c>
      <c r="DJ168" s="29">
        <v>0</v>
      </c>
      <c r="DK168" s="29" t="s">
        <v>1203</v>
      </c>
      <c r="DL168" s="29" t="s">
        <v>1204</v>
      </c>
      <c r="DM168" s="29">
        <v>-4.3649811744689941</v>
      </c>
      <c r="DN168" s="29">
        <v>35.470508575439453</v>
      </c>
      <c r="DO168" s="29">
        <v>1688.699951171875</v>
      </c>
      <c r="DP168" s="29">
        <v>15</v>
      </c>
      <c r="DQ168" s="29">
        <v>1705231439</v>
      </c>
      <c r="DR168" s="29" t="s">
        <v>1205</v>
      </c>
      <c r="DS168" s="31">
        <v>42908.292534722219</v>
      </c>
      <c r="DT168" s="31">
        <v>42894.425011574072</v>
      </c>
      <c r="DU168" s="31">
        <v>42908.286585648151</v>
      </c>
      <c r="DV168" s="32">
        <v>42772</v>
      </c>
      <c r="DX168" s="44">
        <v>1.7222222222222223</v>
      </c>
      <c r="DY168" s="44">
        <v>1.9652777777777779</v>
      </c>
      <c r="DZ168" s="44">
        <v>3.4046031746031753</v>
      </c>
      <c r="EA168" s="44">
        <v>5.4318253968253982</v>
      </c>
      <c r="EC168" s="29" t="str">
        <f>IF(EQ168&lt;EP168,"FALSEE",1)</f>
        <v>FALSEE</v>
      </c>
      <c r="EE168" s="29" t="s">
        <v>2171</v>
      </c>
      <c r="EF168" s="29">
        <v>0.15447062253999999</v>
      </c>
      <c r="EG168" s="29" t="str">
        <f>IF(EF168&lt;0.5,"Depression",IF(EF168&lt;2,"Very gentle",IF(EF168&lt;5,"Gentle",IF(EF168&lt;9,"Moderate",IF(EF168&lt;15,"Strong",IF(EF168&lt;30,"Steep",IF(EF168&lt;1,"Very steep")))))))</f>
        <v>Depression</v>
      </c>
      <c r="EH168" s="29" t="s">
        <v>2173</v>
      </c>
      <c r="EI168" s="29">
        <v>-0.18127532303300001</v>
      </c>
      <c r="EJ168" s="43">
        <v>12.658034324600001</v>
      </c>
      <c r="EK168" s="43">
        <f>VLOOKUP(D168,[1]SoilData!$G$15:$K$237,5,FALSE)</f>
        <v>309.19793903789679</v>
      </c>
      <c r="EL168" s="43">
        <f>VLOOKUP(D168,[1]SoilData!$G$245:$K$451,5,FALSE)</f>
        <v>250.46537294746483</v>
      </c>
      <c r="EM168" s="43">
        <f>VLOOKUP(D168,[1]SoilData!$G$15:$M$238,7,FALSE)</f>
        <v>2.68</v>
      </c>
      <c r="EN168" s="43">
        <f>VLOOKUP(D168,[1]SoilData!$G$245:$M$454,7,FALSE)</f>
        <v>2.5049999999999999</v>
      </c>
      <c r="EO168" s="60">
        <f>EM168-EN168</f>
        <v>0.17500000000000027</v>
      </c>
      <c r="EP168" s="44">
        <f>AVERAGE(DZ168:EA168)</f>
        <v>4.4182142857142868</v>
      </c>
      <c r="EQ168" s="44">
        <f>AVERAGE(DX168:DY168)</f>
        <v>1.84375</v>
      </c>
      <c r="ER168" s="43">
        <f>EQ168-EP168</f>
        <v>-2.5744642857142868</v>
      </c>
      <c r="ES168" s="64">
        <f>IF(CU168&gt;0.000001,CU168*352,0)</f>
        <v>0</v>
      </c>
      <c r="ET168" s="64">
        <f>IF(DC168&gt;0.0001,DC168*682,0)</f>
        <v>0</v>
      </c>
      <c r="EU168" s="64">
        <f>CY168*795</f>
        <v>0</v>
      </c>
      <c r="EV168" s="64">
        <f>ES168+ET168+EU168</f>
        <v>0</v>
      </c>
      <c r="EW168" s="64">
        <f>IF(AA168="YES",3.5*18.2,0)</f>
        <v>63.699999999999996</v>
      </c>
      <c r="EX168" s="64">
        <f>EV168-EW168</f>
        <v>-63.699999999999996</v>
      </c>
    </row>
    <row r="169" spans="1:154" s="57" customFormat="1" ht="15" x14ac:dyDescent="0.2">
      <c r="A169" s="29" t="s">
        <v>556</v>
      </c>
      <c r="B169" s="29">
        <v>119</v>
      </c>
      <c r="C169" s="29" t="s">
        <v>579</v>
      </c>
      <c r="D169" s="29" t="s">
        <v>314</v>
      </c>
      <c r="E169" s="29" t="str">
        <f>VLOOKUP(D169,Harvest_2017_Formulae!$C$2:$D$968,2,FALSE)</f>
        <v>AYAMANGO</v>
      </c>
      <c r="F169" s="29" t="s">
        <v>196</v>
      </c>
      <c r="G169" s="29">
        <v>0</v>
      </c>
      <c r="H169" s="61" t="str">
        <f>IF(G169&lt;0.05,"Homefield",IF(G169&lt;0.5,"Midfield","outfield"))</f>
        <v>Homefield</v>
      </c>
      <c r="I169" s="29" t="s">
        <v>557</v>
      </c>
      <c r="J169" s="61" t="s">
        <v>2233</v>
      </c>
      <c r="K169" s="61" t="s">
        <v>2233</v>
      </c>
      <c r="L169" s="67">
        <v>0</v>
      </c>
      <c r="M169" s="29"/>
      <c r="N169" s="29"/>
      <c r="O169" s="29" t="s">
        <v>547</v>
      </c>
      <c r="P169" s="29"/>
      <c r="Q169" s="67">
        <v>1</v>
      </c>
      <c r="R169" s="29" t="s">
        <v>558</v>
      </c>
      <c r="S169" s="29">
        <v>1</v>
      </c>
      <c r="T169" s="29" t="s">
        <v>559</v>
      </c>
      <c r="U169" s="29" t="s">
        <v>560</v>
      </c>
      <c r="V169" s="29"/>
      <c r="W169" s="29" t="s">
        <v>561</v>
      </c>
      <c r="X169" s="29"/>
      <c r="Y169" s="29"/>
      <c r="Z169" s="29" t="s">
        <v>567</v>
      </c>
      <c r="AA169" s="61" t="s">
        <v>546</v>
      </c>
      <c r="AB169" s="29" t="s">
        <v>547</v>
      </c>
      <c r="AC169" s="67">
        <v>0</v>
      </c>
      <c r="AD169" s="29" t="s">
        <v>547</v>
      </c>
      <c r="AE169" s="29"/>
      <c r="AF169" s="29" t="s">
        <v>547</v>
      </c>
      <c r="AG169" s="29" t="s">
        <v>547</v>
      </c>
      <c r="AH169" s="29" t="s">
        <v>546</v>
      </c>
      <c r="AI169" s="29" t="s">
        <v>546</v>
      </c>
      <c r="AJ169" s="29" t="s">
        <v>547</v>
      </c>
      <c r="AK169" s="67">
        <v>0</v>
      </c>
      <c r="AL169" s="29" t="s">
        <v>547</v>
      </c>
      <c r="AM169" s="29"/>
      <c r="AN169" s="29"/>
      <c r="AO169" s="29" t="s">
        <v>547</v>
      </c>
      <c r="AP169" s="29" t="s">
        <v>547</v>
      </c>
      <c r="AQ169" s="4">
        <f>Q169+AK169</f>
        <v>1</v>
      </c>
      <c r="AR169" s="4">
        <f>L169+AC169</f>
        <v>0</v>
      </c>
      <c r="AS169" t="str">
        <f>AQ169&amp;AR169</f>
        <v>10</v>
      </c>
      <c r="AT169" s="49">
        <f>AQ169-AR169</f>
        <v>1</v>
      </c>
      <c r="AU169">
        <v>2</v>
      </c>
      <c r="AV169" s="29" t="s">
        <v>548</v>
      </c>
      <c r="AW169" s="29">
        <v>1</v>
      </c>
      <c r="AX169" s="29" t="s">
        <v>548</v>
      </c>
      <c r="AY169" s="29">
        <v>1</v>
      </c>
      <c r="AZ169" s="29">
        <v>2</v>
      </c>
      <c r="BA169" s="29" t="s">
        <v>548</v>
      </c>
      <c r="BB169" s="29" t="s">
        <v>569</v>
      </c>
      <c r="BC169" s="29">
        <v>1</v>
      </c>
      <c r="BD169" s="29">
        <f>AW169+AZ169</f>
        <v>3</v>
      </c>
      <c r="BE169" s="29">
        <f>BD169+BC169</f>
        <v>4</v>
      </c>
      <c r="BF169" s="29" t="s">
        <v>548</v>
      </c>
      <c r="BG169" s="29" t="s">
        <v>548</v>
      </c>
      <c r="BH169" s="29" t="s">
        <v>548</v>
      </c>
      <c r="BI169" s="29" t="s">
        <v>548</v>
      </c>
      <c r="BJ169" s="29" t="s">
        <v>546</v>
      </c>
      <c r="BK169" s="29" t="s">
        <v>546</v>
      </c>
      <c r="BL169" s="29">
        <v>5</v>
      </c>
      <c r="BM169" s="29" t="s">
        <v>549</v>
      </c>
      <c r="BN169" s="29">
        <v>10</v>
      </c>
      <c r="BO169" s="29" t="s">
        <v>580</v>
      </c>
      <c r="BP169" s="29">
        <v>15</v>
      </c>
      <c r="BQ169" s="29" t="s">
        <v>549</v>
      </c>
      <c r="BR169" s="29">
        <v>3</v>
      </c>
      <c r="BS169" s="29" t="s">
        <v>549</v>
      </c>
      <c r="BT169" s="29"/>
      <c r="BU169" s="29" t="s">
        <v>547</v>
      </c>
      <c r="BV169" s="29"/>
      <c r="BW169" s="29">
        <f>(BL169*1)+(BN169*0.1)+(BP169*0.01)+(BR169*0.1)+(BT169*0.3)+(BV169*0.4)</f>
        <v>6.45</v>
      </c>
      <c r="BX169" s="29" t="s">
        <v>2220</v>
      </c>
      <c r="BY169" s="29">
        <v>1</v>
      </c>
      <c r="BZ169" s="29">
        <v>1</v>
      </c>
      <c r="CA169" s="29">
        <v>4</v>
      </c>
      <c r="CB169" s="29">
        <v>6</v>
      </c>
      <c r="CC169" s="29">
        <v>0</v>
      </c>
      <c r="CD169" s="29">
        <v>0</v>
      </c>
      <c r="CE169" s="29">
        <v>0</v>
      </c>
      <c r="CF169" s="29"/>
      <c r="CG169" s="29">
        <f>(CC169*15)+(CD169*0.8)+(CE169*0.3)+((AW169+AZ169)*15)</f>
        <v>45</v>
      </c>
      <c r="CH169" s="29" t="s">
        <v>2220</v>
      </c>
      <c r="CI169" s="29">
        <f>(BL169*1)+(BN169*0.1)+(BP169*0.01)+(BR169*0.1)+(BT169*0.3)+(BV169*0.4)+(CC169*15)+(CD169*0.8)+(CE169*0.3)+((AW169+AZ169)*15)</f>
        <v>51.45</v>
      </c>
      <c r="CJ169" s="29" t="s">
        <v>546</v>
      </c>
      <c r="CK169" s="29" t="s">
        <v>547</v>
      </c>
      <c r="CL169" s="29" t="s">
        <v>548</v>
      </c>
      <c r="CM169" s="29" t="s">
        <v>550</v>
      </c>
      <c r="CN169" s="29">
        <v>555</v>
      </c>
      <c r="CO169" s="29">
        <v>0.75</v>
      </c>
      <c r="CP169" s="29"/>
      <c r="CQ169" s="29" t="s">
        <v>548</v>
      </c>
      <c r="CR169" s="29">
        <v>0.75</v>
      </c>
      <c r="CS169" s="29">
        <v>12</v>
      </c>
      <c r="CT169" s="29" t="s">
        <v>551</v>
      </c>
      <c r="CU169" s="30">
        <v>3.8400000000000003</v>
      </c>
      <c r="CV169" s="29"/>
      <c r="CW169" s="29">
        <v>999</v>
      </c>
      <c r="CX169" s="29" t="s">
        <v>551</v>
      </c>
      <c r="CY169" s="62"/>
      <c r="CZ169" s="29">
        <v>0.75</v>
      </c>
      <c r="DA169" s="29">
        <v>2</v>
      </c>
      <c r="DB169" s="29" t="s">
        <v>551</v>
      </c>
      <c r="DC169" s="62">
        <v>0.64</v>
      </c>
      <c r="DD169" s="29" t="s">
        <v>546</v>
      </c>
      <c r="DE169" s="29" t="s">
        <v>546</v>
      </c>
      <c r="DF169" s="29" t="s">
        <v>548</v>
      </c>
      <c r="DG169" s="29" t="s">
        <v>546</v>
      </c>
      <c r="DH169" s="29" t="s">
        <v>546</v>
      </c>
      <c r="DI169" s="29">
        <v>1</v>
      </c>
      <c r="DJ169" s="29">
        <v>3</v>
      </c>
      <c r="DK169" s="29" t="s">
        <v>581</v>
      </c>
      <c r="DL169" s="29" t="s">
        <v>582</v>
      </c>
      <c r="DM169" s="29">
        <v>-4.2388768196105957</v>
      </c>
      <c r="DN169" s="29">
        <v>35.887691497802734</v>
      </c>
      <c r="DO169" s="29">
        <v>1216.199951171875</v>
      </c>
      <c r="DP169" s="29">
        <v>5</v>
      </c>
      <c r="DQ169" s="29">
        <v>1706031849</v>
      </c>
      <c r="DR169" s="29" t="s">
        <v>583</v>
      </c>
      <c r="DS169" s="31">
        <v>42906.498981481476</v>
      </c>
      <c r="DT169" s="31">
        <v>42905.53696759259</v>
      </c>
      <c r="DU169" s="31">
        <v>42905.550902777773</v>
      </c>
      <c r="DV169" s="32">
        <v>42769</v>
      </c>
      <c r="DW169" s="29"/>
      <c r="DX169" s="44">
        <v>6.1652238805970141</v>
      </c>
      <c r="DY169" s="44">
        <v>6.2383582089552236</v>
      </c>
      <c r="DZ169" s="44">
        <v>0.66288725490196088</v>
      </c>
      <c r="EA169" s="44">
        <v>0.54139869281045749</v>
      </c>
      <c r="EB169" s="29">
        <v>4</v>
      </c>
      <c r="EC169" s="29">
        <f>IF(EQ169&lt;EP169,"FALSEE",1)</f>
        <v>1</v>
      </c>
      <c r="ED169" s="29"/>
      <c r="EE169" s="29" t="s">
        <v>2174</v>
      </c>
      <c r="EF169" s="29">
        <v>9.2816181182899999</v>
      </c>
      <c r="EG169" s="29" t="str">
        <f>IF(EF169&lt;0.5,"Depression",IF(EF169&lt;2,"Very gentle",IF(EF169&lt;5,"Gentle",IF(EF169&lt;9,"Moderate",IF(EF169&lt;15,"Strong",IF(EF169&lt;30,"Steep",IF(EF169&lt;1,"Very steep")))))))</f>
        <v>Strong</v>
      </c>
      <c r="EH169" s="29" t="s">
        <v>2172</v>
      </c>
      <c r="EI169" s="29">
        <v>-0.725126743317</v>
      </c>
      <c r="EJ169" s="43">
        <v>6.8796205520599996</v>
      </c>
      <c r="EK169" s="43">
        <f>VLOOKUP(D169,[1]SoilData!$G$15:$K$237,5,FALSE)</f>
        <v>246.67458230236457</v>
      </c>
      <c r="EL169" s="43">
        <f>VLOOKUP(D169,[1]SoilData!$G$245:$K$451,5,FALSE)</f>
        <v>193.00158950251975</v>
      </c>
      <c r="EM169" s="43">
        <f>VLOOKUP(D169,[1]SoilData!$G$15:$M$238,7,FALSE)</f>
        <v>1.119</v>
      </c>
      <c r="EN169" s="43">
        <f>VLOOKUP(D169,[1]SoilData!$G$245:$M$454,7,FALSE)</f>
        <v>0.97299999999999998</v>
      </c>
      <c r="EO169" s="60">
        <f>EM169-EN169</f>
        <v>0.14600000000000002</v>
      </c>
      <c r="EP169" s="44">
        <f>AVERAGE(DZ169:EA169)</f>
        <v>0.60214297385620918</v>
      </c>
      <c r="EQ169" s="44">
        <f>AVERAGE(DX169:DY169)</f>
        <v>6.2017910447761189</v>
      </c>
      <c r="ER169" s="43">
        <f>EQ169-EP169</f>
        <v>5.5996480709199101</v>
      </c>
      <c r="ES169" s="64">
        <f>IF(CU169&gt;0.000001,CU169*352,0)</f>
        <v>1351.68</v>
      </c>
      <c r="ET169" s="64">
        <f>IF(DC169&gt;0.0001,DC169*682,0)</f>
        <v>436.48</v>
      </c>
      <c r="EU169" s="64">
        <f>CY169*795</f>
        <v>0</v>
      </c>
      <c r="EV169" s="64">
        <f>ES169+ET169+EU169</f>
        <v>1788.16</v>
      </c>
      <c r="EW169" s="64">
        <f>IF(AA169="YES",3.5*18.2,0)</f>
        <v>0</v>
      </c>
      <c r="EX169" s="64">
        <f>EV169-EW169</f>
        <v>1788.16</v>
      </c>
    </row>
    <row r="170" spans="1:154" ht="15" x14ac:dyDescent="0.2">
      <c r="A170" s="29" t="s">
        <v>556</v>
      </c>
      <c r="B170" s="29">
        <v>224</v>
      </c>
      <c r="C170" s="29" t="s">
        <v>731</v>
      </c>
      <c r="D170" s="29" t="s">
        <v>117</v>
      </c>
      <c r="E170" s="29" t="str">
        <f>VLOOKUP(D170,Harvest_2017_Formulae!$C$2:$D$968,2,FALSE)</f>
        <v>ENDAGWE</v>
      </c>
      <c r="F170" s="29" t="s">
        <v>732</v>
      </c>
      <c r="G170" s="29">
        <v>0</v>
      </c>
      <c r="H170" s="61" t="str">
        <f>IF(G170&lt;0.05,"Homefield",IF(G170&lt;0.5,"Midfield","outfield"))</f>
        <v>Homefield</v>
      </c>
      <c r="I170" s="29" t="s">
        <v>557</v>
      </c>
      <c r="J170" s="61" t="s">
        <v>2233</v>
      </c>
      <c r="K170" s="61" t="s">
        <v>2233</v>
      </c>
      <c r="L170" s="67">
        <v>0</v>
      </c>
      <c r="O170" s="29" t="s">
        <v>547</v>
      </c>
      <c r="Q170" s="67">
        <v>1</v>
      </c>
      <c r="R170" s="29" t="s">
        <v>558</v>
      </c>
      <c r="S170" s="29">
        <v>8</v>
      </c>
      <c r="T170" s="29" t="s">
        <v>559</v>
      </c>
      <c r="U170" s="29" t="s">
        <v>560</v>
      </c>
      <c r="W170" s="29" t="s">
        <v>635</v>
      </c>
      <c r="Y170" s="29">
        <v>4000</v>
      </c>
      <c r="Z170" s="29" t="s">
        <v>547</v>
      </c>
      <c r="AA170" s="61" t="s">
        <v>548</v>
      </c>
      <c r="AB170" s="29" t="s">
        <v>568</v>
      </c>
      <c r="AC170" s="67">
        <v>0</v>
      </c>
      <c r="AD170" s="29" t="s">
        <v>547</v>
      </c>
      <c r="AF170" s="29" t="s">
        <v>547</v>
      </c>
      <c r="AG170" s="29" t="s">
        <v>547</v>
      </c>
      <c r="AH170" s="29" t="s">
        <v>548</v>
      </c>
      <c r="AI170" s="29" t="s">
        <v>546</v>
      </c>
      <c r="AJ170" s="29" t="s">
        <v>547</v>
      </c>
      <c r="AK170" s="67">
        <v>0</v>
      </c>
      <c r="AL170" s="29" t="s">
        <v>547</v>
      </c>
      <c r="AO170" s="29" t="s">
        <v>547</v>
      </c>
      <c r="AP170" s="29" t="s">
        <v>547</v>
      </c>
      <c r="AQ170" s="4">
        <f>Q170+AK170</f>
        <v>1</v>
      </c>
      <c r="AR170" s="4">
        <f>L170+AC170</f>
        <v>0</v>
      </c>
      <c r="AS170" t="str">
        <f>AQ170&amp;AR170</f>
        <v>10</v>
      </c>
      <c r="AT170" s="49">
        <f>AQ170-AR170</f>
        <v>1</v>
      </c>
      <c r="AU170">
        <v>2</v>
      </c>
      <c r="AV170" s="29" t="s">
        <v>548</v>
      </c>
      <c r="AW170" s="29">
        <v>3.5</v>
      </c>
      <c r="AX170" s="29" t="s">
        <v>548</v>
      </c>
      <c r="AY170" s="29">
        <v>2</v>
      </c>
      <c r="AZ170" s="29">
        <v>5</v>
      </c>
      <c r="BA170" s="29" t="s">
        <v>546</v>
      </c>
      <c r="BB170" s="29" t="s">
        <v>547</v>
      </c>
      <c r="BD170" s="29">
        <f>AW170+AZ170</f>
        <v>8.5</v>
      </c>
      <c r="BE170" s="29">
        <f>BD170+BC170</f>
        <v>8.5</v>
      </c>
      <c r="BF170" s="29" t="s">
        <v>548</v>
      </c>
      <c r="BG170" s="29" t="s">
        <v>548</v>
      </c>
      <c r="BH170" s="29" t="s">
        <v>548</v>
      </c>
      <c r="BI170" s="29" t="s">
        <v>548</v>
      </c>
      <c r="BJ170" s="29" t="s">
        <v>546</v>
      </c>
      <c r="BK170" s="29" t="s">
        <v>546</v>
      </c>
      <c r="BL170" s="29">
        <v>6</v>
      </c>
      <c r="BM170" s="29" t="s">
        <v>549</v>
      </c>
      <c r="BN170" s="29">
        <v>6</v>
      </c>
      <c r="BO170" s="29" t="s">
        <v>549</v>
      </c>
      <c r="BP170" s="29">
        <v>10</v>
      </c>
      <c r="BQ170" s="29" t="s">
        <v>549</v>
      </c>
      <c r="BR170" s="29">
        <v>4</v>
      </c>
      <c r="BS170" s="29" t="s">
        <v>549</v>
      </c>
      <c r="BU170" s="29" t="s">
        <v>547</v>
      </c>
      <c r="BW170" s="29">
        <f>(BL170*1)+(BN170*0.1)+(BP170*0.01)+(BR170*0.1)+(BT170*0.3)+(BV170*0.4)</f>
        <v>7.1</v>
      </c>
      <c r="BX170" s="29" t="s">
        <v>2220</v>
      </c>
      <c r="BY170" s="29">
        <v>1</v>
      </c>
      <c r="BZ170" s="29">
        <v>2</v>
      </c>
      <c r="CA170" s="29">
        <v>5</v>
      </c>
      <c r="CB170" s="29">
        <v>8</v>
      </c>
      <c r="CC170" s="29">
        <v>0</v>
      </c>
      <c r="CD170" s="29">
        <v>0</v>
      </c>
      <c r="CE170" s="29">
        <v>1</v>
      </c>
      <c r="CF170" s="29" t="s">
        <v>547</v>
      </c>
      <c r="CG170" s="29">
        <f>(CC170*15)+(CD170*0.8)+(CE170*0.3)+((AW170+AZ170)*15)</f>
        <v>127.8</v>
      </c>
      <c r="CH170" s="29" t="s">
        <v>2221</v>
      </c>
      <c r="CI170" s="29">
        <f>(BL170*1)+(BN170*0.1)+(BP170*0.01)+(BR170*0.1)+(BT170*0.3)+(BV170*0.4)+(CC170*15)+(CD170*0.8)+(CE170*0.3)+((AW170+AZ170)*15)</f>
        <v>134.9</v>
      </c>
      <c r="CJ170" s="29" t="s">
        <v>548</v>
      </c>
      <c r="CK170" s="29" t="s">
        <v>733</v>
      </c>
      <c r="CL170" s="29" t="s">
        <v>548</v>
      </c>
      <c r="CM170" s="29" t="s">
        <v>550</v>
      </c>
      <c r="CN170" s="29">
        <v>0.75</v>
      </c>
      <c r="CO170" s="29">
        <v>2.75</v>
      </c>
      <c r="CQ170" s="29" t="s">
        <v>548</v>
      </c>
      <c r="CR170" s="29">
        <v>3.5</v>
      </c>
      <c r="CS170" s="29">
        <v>15</v>
      </c>
      <c r="CT170" s="29" t="s">
        <v>551</v>
      </c>
      <c r="CU170" s="30">
        <v>1.0285714285714285</v>
      </c>
      <c r="CV170" s="29">
        <v>3.5</v>
      </c>
      <c r="CW170" s="29">
        <v>999</v>
      </c>
      <c r="CX170" s="29" t="s">
        <v>551</v>
      </c>
      <c r="CY170" s="62"/>
      <c r="CZ170" s="29">
        <v>3.5</v>
      </c>
      <c r="DA170" s="29">
        <v>5</v>
      </c>
      <c r="DB170" s="29" t="s">
        <v>551</v>
      </c>
      <c r="DC170" s="62">
        <v>0.34285714285714286</v>
      </c>
      <c r="DD170" s="29" t="s">
        <v>546</v>
      </c>
      <c r="DE170" s="29" t="s">
        <v>546</v>
      </c>
      <c r="DF170" s="29" t="s">
        <v>546</v>
      </c>
      <c r="DG170" s="29" t="s">
        <v>546</v>
      </c>
      <c r="DH170" s="29" t="s">
        <v>546</v>
      </c>
      <c r="DI170" s="29">
        <v>0</v>
      </c>
      <c r="DJ170" s="29">
        <v>2</v>
      </c>
      <c r="DK170" s="29" t="s">
        <v>734</v>
      </c>
      <c r="DL170" s="29" t="s">
        <v>735</v>
      </c>
      <c r="DM170" s="29">
        <v>-4.3510293960571289</v>
      </c>
      <c r="DN170" s="29">
        <v>35.656917572021484</v>
      </c>
      <c r="DO170" s="29">
        <v>1612.300048828125</v>
      </c>
      <c r="DP170" s="29">
        <v>5</v>
      </c>
      <c r="DQ170" s="29">
        <v>1706031849</v>
      </c>
      <c r="DR170" s="29" t="s">
        <v>736</v>
      </c>
      <c r="DS170" s="31">
        <v>42950.967685185184</v>
      </c>
      <c r="DT170" s="31">
        <v>42950.659629629634</v>
      </c>
      <c r="DU170" s="31">
        <v>42950.80976851852</v>
      </c>
      <c r="DV170" s="32">
        <v>42794</v>
      </c>
      <c r="DX170" s="44">
        <v>0.97558169934640526</v>
      </c>
      <c r="DY170" s="44">
        <v>0.95632679738562099</v>
      </c>
      <c r="DZ170" s="44">
        <v>1.5059629629629632</v>
      </c>
      <c r="EA170" s="44">
        <v>1.5472222222222223</v>
      </c>
      <c r="EC170" s="29" t="str">
        <f>IF(EQ170&lt;EP170,"FALSEE",1)</f>
        <v>FALSEE</v>
      </c>
      <c r="EE170" s="29" t="s">
        <v>2174</v>
      </c>
      <c r="EF170" s="29">
        <v>9.2043313980099999</v>
      </c>
      <c r="EG170" s="29" t="str">
        <f>IF(EF170&lt;0.5,"Depression",IF(EF170&lt;2,"Very gentle",IF(EF170&lt;5,"Gentle",IF(EF170&lt;9,"Moderate",IF(EF170&lt;15,"Strong",IF(EF170&lt;30,"Steep",IF(EF170&lt;1,"Very steep")))))))</f>
        <v>Strong</v>
      </c>
      <c r="EH170" s="29" t="s">
        <v>2177</v>
      </c>
      <c r="EI170" s="29">
        <v>0.54385989904400001</v>
      </c>
      <c r="EJ170" s="43">
        <v>7.2545471191399997</v>
      </c>
      <c r="EK170" s="43">
        <f>VLOOKUP(D170,[1]SoilData!$G$15:$K$237,5,FALSE)</f>
        <v>79.374854336206639</v>
      </c>
      <c r="EL170" s="43">
        <f>VLOOKUP(D170,[1]SoilData!$G$245:$K$451,5,FALSE)</f>
        <v>155.9825492367701</v>
      </c>
      <c r="EM170" s="43">
        <f>VLOOKUP(D170,[1]SoilData!$G$15:$M$238,7,FALSE)</f>
        <v>0.76400000000000001</v>
      </c>
      <c r="EN170" s="43">
        <f>VLOOKUP(D170,[1]SoilData!$G$245:$M$454,7,FALSE)</f>
        <v>0.71099999999999997</v>
      </c>
      <c r="EO170" s="60">
        <f>EM170-EN170</f>
        <v>5.3000000000000047E-2</v>
      </c>
      <c r="EP170" s="44">
        <f>AVERAGE(DZ170:EA170)</f>
        <v>1.5265925925925927</v>
      </c>
      <c r="EQ170" s="44">
        <f>AVERAGE(DX170:DY170)</f>
        <v>0.96595424836601307</v>
      </c>
      <c r="ER170" s="43">
        <f>EQ170-EP170</f>
        <v>-0.56063834422657965</v>
      </c>
      <c r="ES170" s="64">
        <f>IF(CU170&gt;0.000001,CU170*352,0)</f>
        <v>362.05714285714282</v>
      </c>
      <c r="ET170" s="64">
        <f>IF(DC170&gt;0.0001,DC170*682,0)</f>
        <v>233.82857142857142</v>
      </c>
      <c r="EU170" s="64">
        <f>CY170*795</f>
        <v>0</v>
      </c>
      <c r="EV170" s="64">
        <f>ES170+ET170+EU170</f>
        <v>595.88571428571424</v>
      </c>
      <c r="EW170" s="64">
        <f>IF(AA170="YES",3.5*18.2,0)</f>
        <v>63.699999999999996</v>
      </c>
      <c r="EX170" s="64">
        <f>EV170-EW170</f>
        <v>532.1857142857142</v>
      </c>
    </row>
    <row r="171" spans="1:154" ht="15" x14ac:dyDescent="0.2">
      <c r="A171" s="29" t="s">
        <v>1182</v>
      </c>
      <c r="B171" s="29">
        <v>88</v>
      </c>
      <c r="C171" s="29" t="s">
        <v>379</v>
      </c>
      <c r="D171" s="29" t="s">
        <v>379</v>
      </c>
      <c r="E171" s="29" t="str">
        <f>VLOOKUP(D171,Harvest_2017_Formulae!$C$2:$D$968,2,FALSE)</f>
        <v>SABILO</v>
      </c>
      <c r="F171" s="29" t="s">
        <v>1175</v>
      </c>
      <c r="G171" s="29">
        <v>0</v>
      </c>
      <c r="H171" s="61" t="str">
        <f>IF(G171&lt;0.05,"Homefield",IF(G171&lt;0.5,"Midfield","outfield"))</f>
        <v>Homefield</v>
      </c>
      <c r="I171" s="29" t="s">
        <v>557</v>
      </c>
      <c r="J171" s="61" t="s">
        <v>2233</v>
      </c>
      <c r="K171" s="61" t="s">
        <v>2233</v>
      </c>
      <c r="L171" s="67">
        <v>0</v>
      </c>
      <c r="O171" s="29" t="s">
        <v>547</v>
      </c>
      <c r="Q171" s="67">
        <v>1</v>
      </c>
      <c r="R171" s="29" t="s">
        <v>942</v>
      </c>
      <c r="S171" s="29">
        <v>2</v>
      </c>
      <c r="T171" s="29">
        <v>1</v>
      </c>
      <c r="U171" s="29" t="s">
        <v>560</v>
      </c>
      <c r="W171" s="29" t="s">
        <v>561</v>
      </c>
      <c r="Z171" s="29" t="s">
        <v>712</v>
      </c>
      <c r="AA171" s="61" t="s">
        <v>546</v>
      </c>
      <c r="AB171" s="29" t="s">
        <v>547</v>
      </c>
      <c r="AC171" s="67">
        <v>0</v>
      </c>
      <c r="AD171" s="29" t="s">
        <v>547</v>
      </c>
      <c r="AF171" s="29" t="s">
        <v>547</v>
      </c>
      <c r="AG171" s="29" t="s">
        <v>547</v>
      </c>
      <c r="AH171" s="29" t="s">
        <v>548</v>
      </c>
      <c r="AI171" s="29" t="s">
        <v>546</v>
      </c>
      <c r="AJ171" s="29" t="s">
        <v>547</v>
      </c>
      <c r="AK171" s="67">
        <v>0</v>
      </c>
      <c r="AL171" s="29" t="s">
        <v>547</v>
      </c>
      <c r="AO171" s="29" t="s">
        <v>547</v>
      </c>
      <c r="AP171" s="29" t="s">
        <v>547</v>
      </c>
      <c r="AQ171" s="4">
        <f>Q171+AK171</f>
        <v>1</v>
      </c>
      <c r="AR171" s="4">
        <f>L171+AC171</f>
        <v>0</v>
      </c>
      <c r="AS171" t="str">
        <f>AQ171&amp;AR171</f>
        <v>10</v>
      </c>
      <c r="AT171" s="49">
        <f>AQ171-AR171</f>
        <v>1</v>
      </c>
      <c r="AU171">
        <v>2</v>
      </c>
      <c r="AV171" s="29" t="s">
        <v>548</v>
      </c>
      <c r="AW171" s="29">
        <v>7.5</v>
      </c>
      <c r="AX171" s="29" t="s">
        <v>548</v>
      </c>
      <c r="AY171" s="29">
        <v>2</v>
      </c>
      <c r="AZ171" s="29">
        <v>8</v>
      </c>
      <c r="BA171" s="29" t="s">
        <v>546</v>
      </c>
      <c r="BB171" s="29" t="s">
        <v>547</v>
      </c>
      <c r="BD171" s="29">
        <f>AW171+AZ171</f>
        <v>15.5</v>
      </c>
      <c r="BE171" s="29">
        <f>BD171+BC171</f>
        <v>15.5</v>
      </c>
      <c r="BF171" s="29" t="s">
        <v>548</v>
      </c>
      <c r="BG171" s="29" t="s">
        <v>548</v>
      </c>
      <c r="BH171" s="29" t="s">
        <v>548</v>
      </c>
      <c r="BI171" s="29" t="s">
        <v>548</v>
      </c>
      <c r="BJ171" s="29" t="s">
        <v>546</v>
      </c>
      <c r="BK171" s="29" t="s">
        <v>546</v>
      </c>
      <c r="BL171" s="29">
        <v>6</v>
      </c>
      <c r="BM171" s="29" t="s">
        <v>580</v>
      </c>
      <c r="BN171" s="29">
        <v>7</v>
      </c>
      <c r="BO171" s="29" t="s">
        <v>580</v>
      </c>
      <c r="BP171" s="29">
        <v>4</v>
      </c>
      <c r="BQ171" s="29" t="s">
        <v>580</v>
      </c>
      <c r="BR171" s="29">
        <v>4</v>
      </c>
      <c r="BS171" s="29" t="s">
        <v>580</v>
      </c>
      <c r="BU171" s="29" t="s">
        <v>547</v>
      </c>
      <c r="BW171" s="29">
        <f>(BL171*1)+(BN171*0.1)+(BP171*0.01)+(BR171*0.1)+(BT171*0.3)+(BV171*0.4)</f>
        <v>7.1400000000000006</v>
      </c>
      <c r="BX171" s="29" t="s">
        <v>2220</v>
      </c>
      <c r="BY171" s="29">
        <v>2</v>
      </c>
      <c r="BZ171" s="29">
        <v>4</v>
      </c>
      <c r="CA171" s="29">
        <v>4</v>
      </c>
      <c r="CB171" s="29">
        <v>10</v>
      </c>
      <c r="CC171" s="29">
        <v>0</v>
      </c>
      <c r="CD171" s="29">
        <v>0</v>
      </c>
      <c r="CE171" s="29">
        <v>1</v>
      </c>
      <c r="CG171" s="29">
        <f>(CC171*15)+(CD171*0.8)+(CE171*0.3)+((AW171+AZ171)*15)</f>
        <v>232.8</v>
      </c>
      <c r="CH171" s="29" t="s">
        <v>2221</v>
      </c>
      <c r="CI171" s="29">
        <f>(BL171*1)+(BN171*0.1)+(BP171*0.01)+(BR171*0.1)+(BT171*0.3)+(BV171*0.4)+(CC171*15)+(CD171*0.8)+(CE171*0.3)+((AW171+AZ171)*15)</f>
        <v>239.94</v>
      </c>
      <c r="CJ171" s="29" t="s">
        <v>546</v>
      </c>
      <c r="CK171" s="29" t="s">
        <v>547</v>
      </c>
      <c r="CL171" s="29" t="s">
        <v>548</v>
      </c>
      <c r="CM171" s="29" t="s">
        <v>550</v>
      </c>
      <c r="CN171" s="29">
        <v>0.25</v>
      </c>
      <c r="CO171" s="29">
        <v>5</v>
      </c>
      <c r="CP171" s="29">
        <v>0</v>
      </c>
      <c r="CQ171" s="29" t="s">
        <v>546</v>
      </c>
      <c r="CR171" s="29">
        <v>1</v>
      </c>
      <c r="CS171" s="29">
        <v>5</v>
      </c>
      <c r="CT171" s="29" t="s">
        <v>551</v>
      </c>
      <c r="CU171" s="30">
        <v>1.2</v>
      </c>
      <c r="CV171" s="29">
        <v>1</v>
      </c>
      <c r="CW171" s="29">
        <v>3</v>
      </c>
      <c r="CX171" s="29" t="s">
        <v>551</v>
      </c>
      <c r="CY171" s="62">
        <v>0.72</v>
      </c>
      <c r="CZ171" s="29">
        <v>1</v>
      </c>
      <c r="DA171" s="29">
        <v>1</v>
      </c>
      <c r="DB171" s="29" t="s">
        <v>551</v>
      </c>
      <c r="DC171" s="62">
        <v>0.24</v>
      </c>
      <c r="DD171" s="29" t="s">
        <v>548</v>
      </c>
      <c r="DE171" s="29" t="s">
        <v>546</v>
      </c>
      <c r="DF171" s="29" t="s">
        <v>546</v>
      </c>
      <c r="DG171" s="29" t="s">
        <v>546</v>
      </c>
      <c r="DH171" s="29" t="s">
        <v>546</v>
      </c>
      <c r="DI171" s="29">
        <v>1</v>
      </c>
      <c r="DJ171" s="29">
        <v>3</v>
      </c>
      <c r="DK171" s="29" t="s">
        <v>1200</v>
      </c>
      <c r="DL171" s="29" t="s">
        <v>1201</v>
      </c>
      <c r="DM171" s="29">
        <v>-4.3514118194580078</v>
      </c>
      <c r="DN171" s="29">
        <v>35.465587615966797</v>
      </c>
      <c r="DO171" s="29">
        <v>1658.300048828125</v>
      </c>
      <c r="DP171" s="29">
        <v>15</v>
      </c>
      <c r="DQ171" s="29">
        <v>1705231439</v>
      </c>
      <c r="DR171" s="29" t="s">
        <v>1202</v>
      </c>
      <c r="DS171" s="31">
        <v>42927.345266203702</v>
      </c>
      <c r="DT171" s="31">
        <v>42894.603530092594</v>
      </c>
      <c r="DU171" s="31">
        <v>42927.3440625</v>
      </c>
      <c r="DV171" s="32">
        <v>42765</v>
      </c>
      <c r="DX171" s="44">
        <v>2.9661111111111116</v>
      </c>
      <c r="DY171" s="44">
        <v>2.9036666666666675</v>
      </c>
      <c r="DZ171" s="44">
        <v>1.7711574074074077</v>
      </c>
      <c r="EA171" s="44">
        <v>1.2688888888888887</v>
      </c>
      <c r="EC171" s="29">
        <f>IF(EQ171&lt;EP171,"FALSEE",1)</f>
        <v>1</v>
      </c>
      <c r="EE171" s="29" t="s">
        <v>2171</v>
      </c>
      <c r="EF171" s="29">
        <v>2.10858082771</v>
      </c>
      <c r="EG171" s="29" t="str">
        <f>IF(EF171&lt;0.5,"Depression",IF(EF171&lt;2,"Very gentle",IF(EF171&lt;5,"Gentle",IF(EF171&lt;9,"Moderate",IF(EF171&lt;15,"Strong",IF(EF171&lt;30,"Steep",IF(EF171&lt;1,"Very steep")))))))</f>
        <v>Gentle</v>
      </c>
      <c r="EH171" s="29" t="s">
        <v>2172</v>
      </c>
      <c r="EI171" s="29">
        <v>-0.725126743317</v>
      </c>
      <c r="EJ171" s="43">
        <v>11.665823936500001</v>
      </c>
      <c r="EK171" s="43">
        <f>VLOOKUP(D171,[1]SoilData!$G$15:$K$237,5,FALSE)</f>
        <v>89.206737254179131</v>
      </c>
      <c r="EL171" s="43">
        <f>VLOOKUP(D171,[1]SoilData!$G$245:$K$451,5,FALSE)</f>
        <v>44.5602728942536</v>
      </c>
      <c r="EM171" s="43">
        <f>VLOOKUP(D171,[1]SoilData!$G$15:$M$238,7,FALSE)</f>
        <v>1.7310000000000001</v>
      </c>
      <c r="EN171" s="43">
        <f>VLOOKUP(D171,[1]SoilData!$G$245:$M$454,7,FALSE)</f>
        <v>1.5069999999999999</v>
      </c>
      <c r="EO171" s="60">
        <f>EM171-EN171</f>
        <v>0.2240000000000002</v>
      </c>
      <c r="EP171" s="44">
        <f>AVERAGE(DZ171:EA171)</f>
        <v>1.5200231481481481</v>
      </c>
      <c r="EQ171" s="44">
        <f>AVERAGE(DX171:DY171)</f>
        <v>2.9348888888888895</v>
      </c>
      <c r="ER171" s="43">
        <f>EQ171-EP171</f>
        <v>1.4148657407407415</v>
      </c>
      <c r="ES171" s="64">
        <f>IF(CU171&gt;0.000001,CU171*352,0)</f>
        <v>422.4</v>
      </c>
      <c r="ET171" s="64">
        <f>IF(DC171&gt;0.0001,DC171*682,0)</f>
        <v>163.68</v>
      </c>
      <c r="EU171" s="64">
        <f>CY171*795</f>
        <v>572.4</v>
      </c>
      <c r="EV171" s="64">
        <f>ES171+ET171+EU171</f>
        <v>1158.48</v>
      </c>
      <c r="EW171" s="64">
        <f>IF(AA171="YES",3.5*18.2,0)</f>
        <v>0</v>
      </c>
      <c r="EX171" s="64">
        <f>EV171-EW171</f>
        <v>1158.48</v>
      </c>
    </row>
    <row r="172" spans="1:154" ht="15" x14ac:dyDescent="0.2">
      <c r="A172" s="29" t="s">
        <v>789</v>
      </c>
      <c r="B172" s="29">
        <v>69</v>
      </c>
      <c r="C172" s="29" t="s">
        <v>1340</v>
      </c>
      <c r="D172" s="29" t="s">
        <v>398</v>
      </c>
      <c r="E172" s="29" t="s">
        <v>2205</v>
      </c>
      <c r="F172" s="29" t="s">
        <v>1310</v>
      </c>
      <c r="G172" s="29">
        <v>0.5</v>
      </c>
      <c r="H172" s="61" t="str">
        <f>IF(G172&lt;0.05,"Homefield",IF(G172&lt;0.5,"Midfield","outfield"))</f>
        <v>outfield</v>
      </c>
      <c r="I172" s="29" t="s">
        <v>557</v>
      </c>
      <c r="J172" s="61" t="s">
        <v>2233</v>
      </c>
      <c r="K172" s="61" t="s">
        <v>2233</v>
      </c>
      <c r="L172" s="67">
        <v>0</v>
      </c>
      <c r="O172" s="29" t="s">
        <v>547</v>
      </c>
      <c r="Q172" s="67">
        <v>1</v>
      </c>
      <c r="R172" s="29" t="s">
        <v>615</v>
      </c>
      <c r="S172" s="29">
        <v>1</v>
      </c>
      <c r="T172" s="29">
        <v>2</v>
      </c>
      <c r="U172" s="29" t="s">
        <v>560</v>
      </c>
      <c r="W172" s="29" t="s">
        <v>561</v>
      </c>
      <c r="Y172" s="29">
        <v>20000</v>
      </c>
      <c r="Z172" s="29" t="s">
        <v>547</v>
      </c>
      <c r="AA172" s="61" t="s">
        <v>546</v>
      </c>
      <c r="AB172" s="29" t="s">
        <v>547</v>
      </c>
      <c r="AC172" s="67">
        <v>0</v>
      </c>
      <c r="AD172" s="29" t="s">
        <v>547</v>
      </c>
      <c r="AF172" s="29" t="s">
        <v>547</v>
      </c>
      <c r="AG172" s="29" t="s">
        <v>547</v>
      </c>
      <c r="AH172" s="29" t="s">
        <v>548</v>
      </c>
      <c r="AI172" s="29" t="s">
        <v>546</v>
      </c>
      <c r="AK172" s="67">
        <v>0</v>
      </c>
      <c r="AL172" s="29" t="s">
        <v>547</v>
      </c>
      <c r="AO172" s="29" t="s">
        <v>547</v>
      </c>
      <c r="AP172" s="29" t="s">
        <v>547</v>
      </c>
      <c r="AQ172" s="4">
        <f>Q172+AK172</f>
        <v>1</v>
      </c>
      <c r="AR172" s="4">
        <f>L172+AC172</f>
        <v>0</v>
      </c>
      <c r="AS172" t="str">
        <f>AQ172&amp;AR172</f>
        <v>10</v>
      </c>
      <c r="AT172" s="49">
        <f>AQ172-AR172</f>
        <v>1</v>
      </c>
      <c r="AU172">
        <v>2</v>
      </c>
      <c r="AV172" s="29" t="s">
        <v>548</v>
      </c>
      <c r="AW172" s="29">
        <v>1</v>
      </c>
      <c r="AX172" s="29" t="s">
        <v>548</v>
      </c>
      <c r="AY172" s="29">
        <v>2</v>
      </c>
      <c r="AZ172" s="29">
        <v>2</v>
      </c>
      <c r="BA172" s="29" t="s">
        <v>546</v>
      </c>
      <c r="BB172" s="29" t="s">
        <v>547</v>
      </c>
      <c r="BD172" s="29">
        <f>AW172+AZ172</f>
        <v>3</v>
      </c>
      <c r="BE172" s="29">
        <f>BD172+BC172</f>
        <v>3</v>
      </c>
      <c r="BF172" s="29" t="s">
        <v>548</v>
      </c>
      <c r="BG172" s="29" t="s">
        <v>548</v>
      </c>
      <c r="BH172" s="29" t="s">
        <v>548</v>
      </c>
      <c r="BI172" s="29" t="s">
        <v>546</v>
      </c>
      <c r="BJ172" s="29" t="s">
        <v>546</v>
      </c>
      <c r="BK172" s="29" t="s">
        <v>546</v>
      </c>
      <c r="BL172" s="29">
        <v>7</v>
      </c>
      <c r="BM172" s="29" t="s">
        <v>580</v>
      </c>
      <c r="BN172" s="29">
        <v>1</v>
      </c>
      <c r="BO172" s="29" t="s">
        <v>580</v>
      </c>
      <c r="BP172" s="29">
        <v>5</v>
      </c>
      <c r="BQ172" s="29" t="s">
        <v>580</v>
      </c>
      <c r="BS172" s="29" t="s">
        <v>547</v>
      </c>
      <c r="BU172" s="29" t="s">
        <v>547</v>
      </c>
      <c r="BW172" s="29">
        <f>(BL172*1)+(BN172*0.1)+(BP172*0.01)+(BR172*0.1)+(BT172*0.3)+(BV172*0.4)</f>
        <v>7.1499999999999995</v>
      </c>
      <c r="BX172" s="29" t="s">
        <v>2220</v>
      </c>
      <c r="BY172" s="29">
        <v>3</v>
      </c>
      <c r="BZ172" s="29">
        <v>2</v>
      </c>
      <c r="CA172" s="29">
        <v>0</v>
      </c>
      <c r="CB172" s="29">
        <v>5</v>
      </c>
      <c r="CC172" s="29">
        <v>0</v>
      </c>
      <c r="CD172" s="29">
        <v>0</v>
      </c>
      <c r="CE172" s="29">
        <v>1</v>
      </c>
      <c r="CG172" s="29">
        <f>(CC172*15)+(CD172*0.8)+(CE172*0.3)+((AW172+AZ172)*15)</f>
        <v>45.3</v>
      </c>
      <c r="CH172" s="29" t="s">
        <v>2220</v>
      </c>
      <c r="CI172" s="29">
        <f>(BL172*1)+(BN172*0.1)+(BP172*0.01)+(BR172*0.1)+(BT172*0.3)+(BV172*0.4)+(CC172*15)+(CD172*0.8)+(CE172*0.3)+((AW172+AZ172)*15)</f>
        <v>52.45</v>
      </c>
      <c r="CJ172" s="29" t="s">
        <v>548</v>
      </c>
      <c r="CK172" s="29" t="s">
        <v>832</v>
      </c>
      <c r="CL172" s="29" t="s">
        <v>548</v>
      </c>
      <c r="CM172" s="29" t="s">
        <v>793</v>
      </c>
      <c r="CN172" s="29">
        <v>0.25</v>
      </c>
      <c r="CO172" s="29">
        <v>1.75</v>
      </c>
      <c r="CP172" s="29">
        <v>0</v>
      </c>
      <c r="CQ172" s="29" t="s">
        <v>546</v>
      </c>
      <c r="CR172" s="29">
        <v>1</v>
      </c>
      <c r="CS172" s="29">
        <v>7</v>
      </c>
      <c r="CT172" s="29" t="s">
        <v>551</v>
      </c>
      <c r="CU172" s="30">
        <v>1.6800000000000002</v>
      </c>
      <c r="CV172" s="29">
        <v>1</v>
      </c>
      <c r="CW172" s="29">
        <v>0.5</v>
      </c>
      <c r="CX172" s="29" t="s">
        <v>551</v>
      </c>
      <c r="CY172" s="62">
        <v>0.12</v>
      </c>
      <c r="DA172" s="29">
        <v>999</v>
      </c>
      <c r="DB172" s="29" t="s">
        <v>551</v>
      </c>
      <c r="DC172" s="62"/>
      <c r="DD172" s="29" t="s">
        <v>548</v>
      </c>
      <c r="DE172" s="29" t="s">
        <v>546</v>
      </c>
      <c r="DF172" s="29" t="s">
        <v>546</v>
      </c>
      <c r="DG172" s="29" t="s">
        <v>546</v>
      </c>
      <c r="DH172" s="29" t="s">
        <v>548</v>
      </c>
      <c r="DI172" s="29">
        <v>2</v>
      </c>
      <c r="DJ172" s="29">
        <v>3</v>
      </c>
      <c r="DK172" s="29" t="s">
        <v>1341</v>
      </c>
      <c r="DL172" s="29" t="s">
        <v>1342</v>
      </c>
      <c r="DM172" s="29">
        <v>-4.2437648773193359</v>
      </c>
      <c r="DN172" s="29">
        <v>35.508430480957031</v>
      </c>
      <c r="DO172" s="29">
        <v>1613.800048828125</v>
      </c>
      <c r="DP172" s="29">
        <v>15</v>
      </c>
      <c r="DQ172" s="29">
        <v>1705231439</v>
      </c>
      <c r="DR172" s="29" t="s">
        <v>1343</v>
      </c>
      <c r="DS172" s="31">
        <v>42923.387071759258</v>
      </c>
      <c r="DT172" s="31">
        <v>42902.395671296297</v>
      </c>
      <c r="DU172" s="31">
        <v>42923.385497685187</v>
      </c>
      <c r="DV172" s="32">
        <v>42751</v>
      </c>
      <c r="DX172" s="44">
        <v>2.282157676348548</v>
      </c>
      <c r="DY172" s="44">
        <v>2.3772475795297376</v>
      </c>
      <c r="DZ172" s="44">
        <v>1.7750115260488706</v>
      </c>
      <c r="EA172" s="44">
        <v>1.3629552789303827</v>
      </c>
      <c r="EC172" s="29">
        <f>IF(EQ172&lt;EP172,"FALSEE",1)</f>
        <v>1</v>
      </c>
      <c r="EE172" s="29" t="s">
        <v>2171</v>
      </c>
      <c r="EF172" s="29">
        <v>4.8365068435699996</v>
      </c>
      <c r="EG172" s="29" t="str">
        <f>IF(EF172&lt;0.5,"Depression",IF(EF172&lt;2,"Very gentle",IF(EF172&lt;5,"Gentle",IF(EF172&lt;9,"Moderate",IF(EF172&lt;15,"Strong",IF(EF172&lt;30,"Steep",IF(EF172&lt;1,"Very steep")))))))</f>
        <v>Gentle</v>
      </c>
      <c r="EH172" s="29" t="s">
        <v>2173</v>
      </c>
      <c r="EI172" s="29">
        <v>-0.45320102572400001</v>
      </c>
      <c r="EJ172" s="43">
        <v>9.1463346481300007</v>
      </c>
      <c r="EK172" s="43">
        <f>VLOOKUP(D172,[1]SoilData!$G$15:$K$237,5,FALSE)</f>
        <v>98.13603012616403</v>
      </c>
      <c r="EL172" s="43">
        <f>VLOOKUP(D172,[1]SoilData!$G$245:$K$451,5,FALSE)</f>
        <v>405.08004466970209</v>
      </c>
      <c r="EM172" s="43">
        <f>VLOOKUP(D172,[1]SoilData!$G$15:$M$238,7,FALSE)</f>
        <v>1.65</v>
      </c>
      <c r="EN172" s="43">
        <f>VLOOKUP(D172,[1]SoilData!$G$245:$M$454,7,FALSE)</f>
        <v>1.6659999999999999</v>
      </c>
      <c r="EO172" s="60">
        <f>EM172-EN172</f>
        <v>-1.6000000000000014E-2</v>
      </c>
      <c r="EP172" s="44">
        <f>AVERAGE(DZ172:EA172)</f>
        <v>1.5689834024896268</v>
      </c>
      <c r="EQ172" s="44">
        <f>AVERAGE(DX172:DY172)</f>
        <v>2.3297026279391426</v>
      </c>
      <c r="ER172" s="43">
        <f>EQ172-EP172</f>
        <v>0.76071922544951587</v>
      </c>
      <c r="ES172" s="64">
        <f>IF(CU172&gt;0.000001,CU172*352,0)</f>
        <v>591.36</v>
      </c>
      <c r="ET172" s="64">
        <f>IF(DC172&gt;0.0001,DC172*682,0)</f>
        <v>0</v>
      </c>
      <c r="EU172" s="64">
        <f>CY172*795</f>
        <v>95.399999999999991</v>
      </c>
      <c r="EV172" s="64">
        <f>ES172+ET172+EU172</f>
        <v>686.76</v>
      </c>
      <c r="EW172" s="64">
        <f>IF(AA172="YES",3.5*18.2,0)</f>
        <v>0</v>
      </c>
      <c r="EX172" s="64">
        <f>EV172-EW172</f>
        <v>686.76</v>
      </c>
    </row>
    <row r="173" spans="1:154" ht="15" x14ac:dyDescent="0.2">
      <c r="A173" s="29" t="s">
        <v>789</v>
      </c>
      <c r="B173" s="29">
        <v>77</v>
      </c>
      <c r="C173" s="29" t="s">
        <v>385</v>
      </c>
      <c r="D173" s="29" t="s">
        <v>385</v>
      </c>
      <c r="E173" s="29" t="str">
        <f>VLOOKUP(D173,Harvest_2017_Formulae!$C$2:$D$968,2,FALSE)</f>
        <v>SABILO</v>
      </c>
      <c r="F173" s="29" t="s">
        <v>1175</v>
      </c>
      <c r="G173" s="29">
        <v>0.5</v>
      </c>
      <c r="H173" s="61" t="str">
        <f>IF(G173&lt;0.05,"Homefield",IF(G173&lt;0.5,"Midfield","outfield"))</f>
        <v>outfield</v>
      </c>
      <c r="I173" s="29" t="s">
        <v>557</v>
      </c>
      <c r="J173" s="61" t="s">
        <v>2233</v>
      </c>
      <c r="K173" s="61" t="s">
        <v>2233</v>
      </c>
      <c r="L173" s="67">
        <v>0</v>
      </c>
      <c r="O173" s="29" t="s">
        <v>547</v>
      </c>
      <c r="Q173" s="67">
        <v>1</v>
      </c>
      <c r="R173" s="29" t="s">
        <v>615</v>
      </c>
      <c r="S173" s="29">
        <v>12</v>
      </c>
      <c r="T173" s="29">
        <v>0.10000000149011612</v>
      </c>
      <c r="U173" s="29" t="s">
        <v>560</v>
      </c>
      <c r="W173" s="29" t="s">
        <v>561</v>
      </c>
      <c r="Y173" s="29">
        <v>5000</v>
      </c>
      <c r="Z173" s="29" t="s">
        <v>547</v>
      </c>
      <c r="AA173" s="61" t="s">
        <v>548</v>
      </c>
      <c r="AB173" s="29" t="s">
        <v>568</v>
      </c>
      <c r="AC173" s="67">
        <v>0</v>
      </c>
      <c r="AD173" s="29" t="s">
        <v>547</v>
      </c>
      <c r="AF173" s="29" t="s">
        <v>547</v>
      </c>
      <c r="AG173" s="29" t="s">
        <v>547</v>
      </c>
      <c r="AH173" s="29" t="s">
        <v>548</v>
      </c>
      <c r="AI173" s="29" t="s">
        <v>546</v>
      </c>
      <c r="AK173" s="67">
        <v>0</v>
      </c>
      <c r="AL173" s="29" t="s">
        <v>547</v>
      </c>
      <c r="AO173" s="29" t="s">
        <v>547</v>
      </c>
      <c r="AP173" s="29" t="s">
        <v>547</v>
      </c>
      <c r="AQ173" s="4">
        <f>Q173+AK173</f>
        <v>1</v>
      </c>
      <c r="AR173" s="4">
        <f>L173+AC173</f>
        <v>0</v>
      </c>
      <c r="AS173" t="str">
        <f>AQ173&amp;AR173</f>
        <v>10</v>
      </c>
      <c r="AT173" s="49">
        <f>AQ173-AR173</f>
        <v>1</v>
      </c>
      <c r="AU173">
        <v>2</v>
      </c>
      <c r="AV173" s="29" t="s">
        <v>548</v>
      </c>
      <c r="AW173" s="29">
        <v>1.75</v>
      </c>
      <c r="AX173" s="29" t="s">
        <v>548</v>
      </c>
      <c r="AY173" s="29">
        <v>2</v>
      </c>
      <c r="AZ173" s="29">
        <v>2.75</v>
      </c>
      <c r="BA173" s="29" t="s">
        <v>546</v>
      </c>
      <c r="BB173" s="29" t="s">
        <v>547</v>
      </c>
      <c r="BD173" s="29">
        <f>AW173+AZ173</f>
        <v>4.5</v>
      </c>
      <c r="BE173" s="29">
        <f>BD173+BC173</f>
        <v>4.5</v>
      </c>
      <c r="BF173" s="29" t="s">
        <v>548</v>
      </c>
      <c r="BG173" s="29" t="s">
        <v>546</v>
      </c>
      <c r="BH173" s="29" t="s">
        <v>548</v>
      </c>
      <c r="BI173" s="29" t="s">
        <v>546</v>
      </c>
      <c r="BJ173" s="29" t="s">
        <v>546</v>
      </c>
      <c r="BK173" s="29" t="s">
        <v>546</v>
      </c>
      <c r="BL173" s="29">
        <v>7</v>
      </c>
      <c r="BM173" s="29" t="s">
        <v>549</v>
      </c>
      <c r="BO173" s="29" t="s">
        <v>547</v>
      </c>
      <c r="BP173" s="29">
        <v>15</v>
      </c>
      <c r="BQ173" s="29" t="s">
        <v>580</v>
      </c>
      <c r="BS173" s="29" t="s">
        <v>547</v>
      </c>
      <c r="BU173" s="29" t="s">
        <v>547</v>
      </c>
      <c r="BW173" s="29">
        <f>(BL173*1)+(BN173*0.1)+(BP173*0.01)+(BR173*0.1)+(BT173*0.3)+(BV173*0.4)</f>
        <v>7.15</v>
      </c>
      <c r="BX173" s="29" t="s">
        <v>2220</v>
      </c>
      <c r="BY173" s="29">
        <v>4</v>
      </c>
      <c r="BZ173" s="29">
        <v>2</v>
      </c>
      <c r="CA173" s="29">
        <v>3</v>
      </c>
      <c r="CB173" s="29">
        <v>9</v>
      </c>
      <c r="CC173" s="29">
        <v>0</v>
      </c>
      <c r="CD173" s="29">
        <v>0</v>
      </c>
      <c r="CE173" s="29">
        <v>1</v>
      </c>
      <c r="CG173" s="29">
        <f>(CC173*15)+(CD173*0.8)+(CE173*0.3)+((AW173+AZ173)*15)</f>
        <v>67.8</v>
      </c>
      <c r="CH173" s="29" t="s">
        <v>2221</v>
      </c>
      <c r="CI173" s="29">
        <f>(BL173*1)+(BN173*0.1)+(BP173*0.01)+(BR173*0.1)+(BT173*0.3)+(BV173*0.4)+(CC173*15)+(CD173*0.8)+(CE173*0.3)+((AW173+AZ173)*15)</f>
        <v>74.95</v>
      </c>
      <c r="CJ173" s="29" t="s">
        <v>548</v>
      </c>
      <c r="CK173" s="29" t="s">
        <v>797</v>
      </c>
      <c r="CL173" s="29" t="s">
        <v>548</v>
      </c>
      <c r="CM173" s="29" t="s">
        <v>793</v>
      </c>
      <c r="CN173" s="29">
        <v>0.25</v>
      </c>
      <c r="CO173" s="29">
        <v>2.25</v>
      </c>
      <c r="CP173" s="29">
        <v>0</v>
      </c>
      <c r="CQ173" s="29" t="s">
        <v>548</v>
      </c>
      <c r="CR173" s="29">
        <v>1</v>
      </c>
      <c r="CS173" s="29">
        <v>10</v>
      </c>
      <c r="CT173" s="29" t="s">
        <v>551</v>
      </c>
      <c r="CU173" s="30">
        <v>2.4</v>
      </c>
      <c r="CW173" s="29">
        <v>999</v>
      </c>
      <c r="CX173" s="29" t="s">
        <v>551</v>
      </c>
      <c r="CY173" s="62"/>
      <c r="CZ173" s="29">
        <v>1</v>
      </c>
      <c r="DA173" s="29">
        <v>0.5</v>
      </c>
      <c r="DB173" s="29" t="s">
        <v>551</v>
      </c>
      <c r="DC173" s="62">
        <v>0.12</v>
      </c>
      <c r="DD173" s="29" t="s">
        <v>546</v>
      </c>
      <c r="DE173" s="29" t="s">
        <v>548</v>
      </c>
      <c r="DF173" s="29" t="s">
        <v>546</v>
      </c>
      <c r="DG173" s="29" t="s">
        <v>546</v>
      </c>
      <c r="DH173" s="29" t="s">
        <v>548</v>
      </c>
      <c r="DI173" s="29">
        <v>2</v>
      </c>
      <c r="DJ173" s="29">
        <v>3</v>
      </c>
      <c r="DK173" s="29" t="s">
        <v>1237</v>
      </c>
      <c r="DL173" s="29" t="s">
        <v>1238</v>
      </c>
      <c r="DM173" s="29">
        <v>-4.3420200347900391</v>
      </c>
      <c r="DN173" s="29">
        <v>35.483268737792969</v>
      </c>
      <c r="DO173" s="29">
        <v>1612.5</v>
      </c>
      <c r="DP173" s="29">
        <v>5</v>
      </c>
      <c r="DQ173" s="29">
        <v>1705231439</v>
      </c>
      <c r="DR173" s="29" t="s">
        <v>1239</v>
      </c>
      <c r="DS173" s="31">
        <v>42923.387129629627</v>
      </c>
      <c r="DT173" s="31">
        <v>42906.697002314817</v>
      </c>
      <c r="DU173" s="31">
        <v>42923.383206018523</v>
      </c>
      <c r="DV173" s="32">
        <v>42748</v>
      </c>
      <c r="DX173" s="44">
        <v>3.0972839506172836</v>
      </c>
      <c r="DY173" s="44">
        <v>2.3782716049382717</v>
      </c>
      <c r="DZ173" s="44">
        <v>2.1091503267973857</v>
      </c>
      <c r="EA173" s="44">
        <v>2.4104575163398696</v>
      </c>
      <c r="EC173" s="29">
        <f>IF(EQ173&lt;EP173,"FALSEE",1)</f>
        <v>1</v>
      </c>
      <c r="EE173" s="29" t="s">
        <v>2171</v>
      </c>
      <c r="EF173" s="29">
        <v>4.4811401367199997</v>
      </c>
      <c r="EG173" s="29" t="str">
        <f>IF(EF173&lt;0.5,"Depression",IF(EF173&lt;2,"Very gentle",IF(EF173&lt;5,"Gentle",IF(EF173&lt;9,"Moderate",IF(EF173&lt;15,"Strong",IF(EF173&lt;30,"Steep",IF(EF173&lt;1,"Very steep")))))))</f>
        <v>Gentle</v>
      </c>
      <c r="EH173" s="29" t="s">
        <v>2177</v>
      </c>
      <c r="EI173" s="29">
        <v>0.54385989904400001</v>
      </c>
      <c r="EJ173" s="43">
        <v>8.9051237106300007</v>
      </c>
      <c r="EK173" s="43">
        <f>VLOOKUP(D173,[1]SoilData!$G$15:$K$237,5,FALSE)</f>
        <v>321.96588818799074</v>
      </c>
      <c r="EL173" s="43">
        <f>VLOOKUP(D173,[1]SoilData!$G$245:$K$451,5,FALSE)</f>
        <v>282.38524582269963</v>
      </c>
      <c r="EM173" s="43">
        <f>VLOOKUP(D173,[1]SoilData!$G$15:$M$238,7,FALSE)</f>
        <v>1.623</v>
      </c>
      <c r="EN173" s="43">
        <f>VLOOKUP(D173,[1]SoilData!$G$245:$M$454,7,FALSE)</f>
        <v>2.181</v>
      </c>
      <c r="EO173" s="60">
        <f>EM173-EN173</f>
        <v>-0.55800000000000005</v>
      </c>
      <c r="EP173" s="44">
        <f>AVERAGE(DZ173:EA173)</f>
        <v>2.2598039215686274</v>
      </c>
      <c r="EQ173" s="44">
        <f>AVERAGE(DX173:DY173)</f>
        <v>2.7377777777777776</v>
      </c>
      <c r="ER173" s="43">
        <f>EQ173-EP173</f>
        <v>0.47797385620915023</v>
      </c>
      <c r="ES173" s="64">
        <f>IF(CU173&gt;0.000001,CU173*352,0)</f>
        <v>844.8</v>
      </c>
      <c r="ET173" s="64">
        <f>IF(DC173&gt;0.0001,DC173*682,0)</f>
        <v>81.84</v>
      </c>
      <c r="EU173" s="64">
        <f>CY173*795</f>
        <v>0</v>
      </c>
      <c r="EV173" s="64">
        <f>ES173+ET173+EU173</f>
        <v>926.64</v>
      </c>
      <c r="EW173" s="64">
        <f>IF(AA173="YES",3.5*18.2,0)</f>
        <v>63.699999999999996</v>
      </c>
      <c r="EX173" s="64">
        <f>EV173-EW173</f>
        <v>862.93999999999994</v>
      </c>
    </row>
    <row r="174" spans="1:154" ht="15" x14ac:dyDescent="0.2">
      <c r="A174" s="29" t="s">
        <v>789</v>
      </c>
      <c r="B174" s="29">
        <v>61</v>
      </c>
      <c r="C174" s="29" t="s">
        <v>1240</v>
      </c>
      <c r="D174" s="29" t="s">
        <v>255</v>
      </c>
      <c r="E174" s="29" t="str">
        <f>VLOOKUP(D174,Harvest_2017_Formulae!$C$2:$D$968,2,FALSE)</f>
        <v>SABILO</v>
      </c>
      <c r="F174" s="29" t="s">
        <v>1175</v>
      </c>
      <c r="G174" s="29">
        <v>0.60000002384185791</v>
      </c>
      <c r="H174" s="61" t="str">
        <f>IF(G174&lt;0.05,"Homefield",IF(G174&lt;0.5,"Midfield","outfield"))</f>
        <v>outfield</v>
      </c>
      <c r="I174" s="29" t="s">
        <v>557</v>
      </c>
      <c r="J174" s="61" t="s">
        <v>2233</v>
      </c>
      <c r="K174" s="61" t="s">
        <v>2233</v>
      </c>
      <c r="L174" s="67">
        <v>0</v>
      </c>
      <c r="O174" s="29" t="s">
        <v>547</v>
      </c>
      <c r="Q174" s="67">
        <v>1</v>
      </c>
      <c r="R174" s="29" t="s">
        <v>615</v>
      </c>
      <c r="S174" s="29">
        <v>9</v>
      </c>
      <c r="T174" s="29">
        <v>2</v>
      </c>
      <c r="U174" s="29" t="s">
        <v>560</v>
      </c>
      <c r="W174" s="29" t="s">
        <v>561</v>
      </c>
      <c r="Y174" s="29">
        <v>10000</v>
      </c>
      <c r="Z174" s="29" t="s">
        <v>547</v>
      </c>
      <c r="AA174" s="61" t="s">
        <v>548</v>
      </c>
      <c r="AB174" s="29" t="s">
        <v>568</v>
      </c>
      <c r="AC174" s="67">
        <v>0</v>
      </c>
      <c r="AD174" s="29" t="s">
        <v>547</v>
      </c>
      <c r="AF174" s="29" t="s">
        <v>547</v>
      </c>
      <c r="AG174" s="29" t="s">
        <v>547</v>
      </c>
      <c r="AH174" s="29" t="s">
        <v>548</v>
      </c>
      <c r="AI174" s="29" t="s">
        <v>546</v>
      </c>
      <c r="AK174" s="67">
        <v>0</v>
      </c>
      <c r="AL174" s="29" t="s">
        <v>547</v>
      </c>
      <c r="AO174" s="29" t="s">
        <v>547</v>
      </c>
      <c r="AP174" s="29" t="s">
        <v>547</v>
      </c>
      <c r="AQ174" s="4">
        <f>Q174+AK174</f>
        <v>1</v>
      </c>
      <c r="AR174" s="4">
        <f>L174+AC174</f>
        <v>0</v>
      </c>
      <c r="AS174" t="str">
        <f>AQ174&amp;AR174</f>
        <v>10</v>
      </c>
      <c r="AT174" s="49">
        <f>AQ174-AR174</f>
        <v>1</v>
      </c>
      <c r="AU174">
        <v>2</v>
      </c>
      <c r="AV174" s="29" t="s">
        <v>548</v>
      </c>
      <c r="AW174" s="29">
        <v>1</v>
      </c>
      <c r="AX174" s="29" t="s">
        <v>548</v>
      </c>
      <c r="AY174" s="29">
        <v>1</v>
      </c>
      <c r="AZ174" s="29">
        <v>10</v>
      </c>
      <c r="BA174" s="29" t="s">
        <v>548</v>
      </c>
      <c r="BB174" s="29" t="s">
        <v>569</v>
      </c>
      <c r="BC174" s="29">
        <v>13</v>
      </c>
      <c r="BD174" s="29">
        <f>AW174+AZ174</f>
        <v>11</v>
      </c>
      <c r="BE174" s="29">
        <f>BD174+BC174</f>
        <v>24</v>
      </c>
      <c r="BF174" s="29" t="s">
        <v>548</v>
      </c>
      <c r="BG174" s="29" t="s">
        <v>548</v>
      </c>
      <c r="BH174" s="29" t="s">
        <v>548</v>
      </c>
      <c r="BI174" s="29" t="s">
        <v>548</v>
      </c>
      <c r="BJ174" s="29" t="s">
        <v>546</v>
      </c>
      <c r="BK174" s="29" t="s">
        <v>546</v>
      </c>
      <c r="BL174" s="29">
        <v>6</v>
      </c>
      <c r="BM174" s="29" t="s">
        <v>580</v>
      </c>
      <c r="BN174" s="29">
        <v>5</v>
      </c>
      <c r="BO174" s="29" t="s">
        <v>580</v>
      </c>
      <c r="BP174" s="29">
        <v>4</v>
      </c>
      <c r="BQ174" s="29" t="s">
        <v>580</v>
      </c>
      <c r="BR174" s="29">
        <v>7</v>
      </c>
      <c r="BS174" s="29" t="s">
        <v>580</v>
      </c>
      <c r="BU174" s="29" t="s">
        <v>547</v>
      </c>
      <c r="BW174" s="29">
        <f>(BL174*1)+(BN174*0.1)+(BP174*0.01)+(BR174*0.1)+(BT174*0.3)+(BV174*0.4)</f>
        <v>7.24</v>
      </c>
      <c r="BX174" s="29" t="s">
        <v>2220</v>
      </c>
      <c r="BY174" s="29">
        <v>2</v>
      </c>
      <c r="BZ174" s="29">
        <v>2</v>
      </c>
      <c r="CA174" s="29">
        <v>2</v>
      </c>
      <c r="CB174" s="29">
        <v>6</v>
      </c>
      <c r="CC174" s="29">
        <v>0</v>
      </c>
      <c r="CD174" s="29">
        <v>0</v>
      </c>
      <c r="CE174" s="29">
        <v>1</v>
      </c>
      <c r="CG174" s="29">
        <f>(CC174*15)+(CD174*0.8)+(CE174*0.3)+((AW174+AZ174)*15)</f>
        <v>165.3</v>
      </c>
      <c r="CH174" s="29" t="s">
        <v>2221</v>
      </c>
      <c r="CI174" s="29">
        <f>(BL174*1)+(BN174*0.1)+(BP174*0.01)+(BR174*0.1)+(BT174*0.3)+(BV174*0.4)+(CC174*15)+(CD174*0.8)+(CE174*0.3)+((AW174+AZ174)*15)</f>
        <v>172.54</v>
      </c>
      <c r="CJ174" s="29" t="s">
        <v>548</v>
      </c>
      <c r="CK174" s="29" t="s">
        <v>1241</v>
      </c>
      <c r="CL174" s="29" t="s">
        <v>548</v>
      </c>
      <c r="CM174" s="29" t="s">
        <v>793</v>
      </c>
      <c r="CN174" s="29">
        <v>0.25</v>
      </c>
      <c r="CO174" s="29">
        <v>11.75</v>
      </c>
      <c r="CP174" s="29">
        <v>20</v>
      </c>
      <c r="CQ174" s="29" t="s">
        <v>548</v>
      </c>
      <c r="CR174" s="29">
        <v>1</v>
      </c>
      <c r="CS174" s="29">
        <v>20</v>
      </c>
      <c r="CT174" s="29" t="s">
        <v>551</v>
      </c>
      <c r="CU174" s="30">
        <v>4.8</v>
      </c>
      <c r="CV174" s="29">
        <v>1</v>
      </c>
      <c r="CW174" s="29">
        <v>4</v>
      </c>
      <c r="CX174" s="29" t="s">
        <v>551</v>
      </c>
      <c r="CY174" s="62">
        <v>0.96</v>
      </c>
      <c r="CZ174" s="29">
        <v>1</v>
      </c>
      <c r="DA174" s="29">
        <v>1.2000000476837158</v>
      </c>
      <c r="DB174" s="29" t="s">
        <v>551</v>
      </c>
      <c r="DC174" s="62">
        <v>0.28800001144409176</v>
      </c>
      <c r="DD174" s="29" t="s">
        <v>548</v>
      </c>
      <c r="DE174" s="29" t="s">
        <v>548</v>
      </c>
      <c r="DF174" s="29" t="s">
        <v>548</v>
      </c>
      <c r="DG174" s="29" t="s">
        <v>548</v>
      </c>
      <c r="DH174" s="29" t="s">
        <v>548</v>
      </c>
      <c r="DI174" s="29">
        <v>5</v>
      </c>
      <c r="DJ174" s="29">
        <v>3</v>
      </c>
      <c r="DK174" s="29" t="s">
        <v>1242</v>
      </c>
      <c r="DL174" s="29" t="s">
        <v>1243</v>
      </c>
      <c r="DM174" s="29">
        <v>-4.3520431518554688</v>
      </c>
      <c r="DN174" s="29">
        <v>35.487277984619141</v>
      </c>
      <c r="DO174" s="29">
        <v>1640.5999755859375</v>
      </c>
      <c r="DP174" s="29">
        <v>15</v>
      </c>
      <c r="DQ174" s="29">
        <v>1705231439</v>
      </c>
      <c r="DR174" s="29" t="s">
        <v>1244</v>
      </c>
      <c r="DS174" s="31">
        <v>42923.387037037042</v>
      </c>
      <c r="DT174" s="31">
        <v>42894.5316087963</v>
      </c>
      <c r="DU174" s="31">
        <v>42923.386574074073</v>
      </c>
      <c r="DV174" s="32">
        <v>42753</v>
      </c>
      <c r="DX174" s="44">
        <v>2.9644444444444447</v>
      </c>
      <c r="DY174" s="44">
        <v>3.6033333333333339</v>
      </c>
      <c r="DZ174" s="44">
        <v>3.5712169312169313</v>
      </c>
      <c r="EA174" s="44">
        <v>1.9729100529100529</v>
      </c>
      <c r="EC174" s="29">
        <f>IF(EQ174&lt;EP174,"FALSEE",1)</f>
        <v>1</v>
      </c>
      <c r="EE174" s="29" t="s">
        <v>2171</v>
      </c>
      <c r="EF174" s="29">
        <v>3.7798345089000001</v>
      </c>
      <c r="EG174" s="29" t="str">
        <f>IF(EF174&lt;0.5,"Depression",IF(EF174&lt;2,"Very gentle",IF(EF174&lt;5,"Gentle",IF(EF174&lt;9,"Moderate",IF(EF174&lt;15,"Strong",IF(EF174&lt;30,"Steep",IF(EF174&lt;1,"Very steep")))))))</f>
        <v>Gentle</v>
      </c>
      <c r="EH174" s="29" t="s">
        <v>2173</v>
      </c>
      <c r="EI174" s="29">
        <v>-9.0633422136300004E-2</v>
      </c>
      <c r="EJ174" s="43">
        <v>7.9694843292200002</v>
      </c>
      <c r="EK174" s="43">
        <f>VLOOKUP(D174,[1]SoilData!$G$15:$K$237,5,FALSE)</f>
        <v>417.72550681369495</v>
      </c>
      <c r="EL174" s="43">
        <f>VLOOKUP(D174,[1]SoilData!$G$245:$K$451,5,FALSE)</f>
        <v>224.92947464727692</v>
      </c>
      <c r="EM174" s="43">
        <f>VLOOKUP(D174,[1]SoilData!$G$15:$M$238,7,FALSE)</f>
        <v>1.6459999999999999</v>
      </c>
      <c r="EN174" s="43">
        <f>VLOOKUP(D174,[1]SoilData!$G$245:$M$454,7,FALSE)</f>
        <v>1.3340000000000001</v>
      </c>
      <c r="EO174" s="60">
        <f>EM174-EN174</f>
        <v>0.31199999999999983</v>
      </c>
      <c r="EP174" s="44">
        <f>AVERAGE(DZ174:EA174)</f>
        <v>2.7720634920634923</v>
      </c>
      <c r="EQ174" s="44">
        <f>AVERAGE(DX174:DY174)</f>
        <v>3.2838888888888893</v>
      </c>
      <c r="ER174" s="43">
        <f>EQ174-EP174</f>
        <v>0.51182539682539696</v>
      </c>
      <c r="ES174" s="64">
        <f>IF(CU174&gt;0.000001,CU174*352,0)</f>
        <v>1689.6</v>
      </c>
      <c r="ET174" s="64">
        <f>IF(DC174&gt;0.0001,DC174*682,0)</f>
        <v>196.41600780487059</v>
      </c>
      <c r="EU174" s="64">
        <f>CY174*795</f>
        <v>763.19999999999993</v>
      </c>
      <c r="EV174" s="64">
        <f>ES174+ET174+EU174</f>
        <v>2649.2160078048705</v>
      </c>
      <c r="EW174" s="64">
        <f>IF(AA174="YES",3.5*18.2,0)</f>
        <v>63.699999999999996</v>
      </c>
      <c r="EX174" s="64">
        <f>EV174-EW174</f>
        <v>2585.5160078048707</v>
      </c>
    </row>
    <row r="175" spans="1:154" ht="15" x14ac:dyDescent="0.2">
      <c r="A175" s="29" t="s">
        <v>789</v>
      </c>
      <c r="B175" s="29">
        <v>18</v>
      </c>
      <c r="C175" s="29" t="s">
        <v>246</v>
      </c>
      <c r="D175" s="29" t="s">
        <v>246</v>
      </c>
      <c r="E175" s="29" t="str">
        <f>VLOOKUP(D175,Harvest_2017_Formulae!$C$2:$D$968,2,FALSE)</f>
        <v>SABILO</v>
      </c>
      <c r="F175" s="29" t="s">
        <v>1175</v>
      </c>
      <c r="G175" s="29">
        <v>0</v>
      </c>
      <c r="H175" s="61" t="str">
        <f>IF(G175&lt;0.05,"Homefield",IF(G175&lt;0.5,"Midfield","outfield"))</f>
        <v>Homefield</v>
      </c>
      <c r="I175" s="29" t="s">
        <v>557</v>
      </c>
      <c r="J175" s="61" t="s">
        <v>2233</v>
      </c>
      <c r="K175" s="61" t="s">
        <v>2233</v>
      </c>
      <c r="L175" s="67">
        <v>0</v>
      </c>
      <c r="O175" s="29" t="s">
        <v>547</v>
      </c>
      <c r="Q175" s="67">
        <v>1</v>
      </c>
      <c r="R175" s="29" t="s">
        <v>615</v>
      </c>
      <c r="S175" s="29">
        <v>3</v>
      </c>
      <c r="T175" s="29">
        <v>1</v>
      </c>
      <c r="U175" s="29" t="s">
        <v>560</v>
      </c>
      <c r="W175" s="29" t="s">
        <v>635</v>
      </c>
      <c r="Z175" s="29" t="s">
        <v>831</v>
      </c>
      <c r="AA175" s="61" t="s">
        <v>548</v>
      </c>
      <c r="AB175" s="29" t="s">
        <v>568</v>
      </c>
      <c r="AC175" s="67">
        <v>0</v>
      </c>
      <c r="AD175" s="29" t="s">
        <v>547</v>
      </c>
      <c r="AF175" s="29" t="s">
        <v>547</v>
      </c>
      <c r="AG175" s="29" t="s">
        <v>547</v>
      </c>
      <c r="AH175" s="29" t="s">
        <v>548</v>
      </c>
      <c r="AI175" s="29" t="s">
        <v>546</v>
      </c>
      <c r="AK175" s="67">
        <v>0</v>
      </c>
      <c r="AL175" s="29" t="s">
        <v>547</v>
      </c>
      <c r="AO175" s="29" t="s">
        <v>547</v>
      </c>
      <c r="AP175" s="29" t="s">
        <v>547</v>
      </c>
      <c r="AQ175" s="4">
        <f>Q175+AK175</f>
        <v>1</v>
      </c>
      <c r="AR175" s="4">
        <f>L175+AC175</f>
        <v>0</v>
      </c>
      <c r="AS175" t="str">
        <f>AQ175&amp;AR175</f>
        <v>10</v>
      </c>
      <c r="AT175" s="49">
        <f>AQ175-AR175</f>
        <v>1</v>
      </c>
      <c r="AU175">
        <v>2</v>
      </c>
      <c r="AV175" s="29" t="s">
        <v>548</v>
      </c>
      <c r="AW175" s="29">
        <v>2</v>
      </c>
      <c r="AX175" s="29" t="s">
        <v>548</v>
      </c>
      <c r="AY175" s="29">
        <v>1</v>
      </c>
      <c r="AZ175" s="29">
        <v>7</v>
      </c>
      <c r="BA175" s="29" t="s">
        <v>548</v>
      </c>
      <c r="BB175" s="29" t="s">
        <v>569</v>
      </c>
      <c r="BC175" s="29">
        <v>3</v>
      </c>
      <c r="BD175" s="29">
        <f>AW175+AZ175</f>
        <v>9</v>
      </c>
      <c r="BE175" s="29">
        <f>BD175+BC175</f>
        <v>12</v>
      </c>
      <c r="BF175" s="29" t="s">
        <v>548</v>
      </c>
      <c r="BG175" s="29" t="s">
        <v>548</v>
      </c>
      <c r="BH175" s="29" t="s">
        <v>548</v>
      </c>
      <c r="BI175" s="29" t="s">
        <v>548</v>
      </c>
      <c r="BJ175" s="29" t="s">
        <v>546</v>
      </c>
      <c r="BK175" s="29" t="s">
        <v>546</v>
      </c>
      <c r="BL175" s="29">
        <v>6</v>
      </c>
      <c r="BM175" s="29" t="s">
        <v>580</v>
      </c>
      <c r="BN175" s="29">
        <v>3</v>
      </c>
      <c r="BO175" s="29" t="s">
        <v>580</v>
      </c>
      <c r="BP175" s="29">
        <v>10</v>
      </c>
      <c r="BQ175" s="29" t="s">
        <v>580</v>
      </c>
      <c r="BR175" s="29">
        <v>10</v>
      </c>
      <c r="BS175" s="29" t="s">
        <v>580</v>
      </c>
      <c r="BU175" s="29" t="s">
        <v>547</v>
      </c>
      <c r="BW175" s="29">
        <f>(BL175*1)+(BN175*0.1)+(BP175*0.01)+(BR175*0.1)+(BT175*0.3)+(BV175*0.4)</f>
        <v>7.3999999999999995</v>
      </c>
      <c r="BX175" s="29" t="s">
        <v>2220</v>
      </c>
      <c r="BY175" s="29">
        <v>4</v>
      </c>
      <c r="BZ175" s="29">
        <v>3</v>
      </c>
      <c r="CA175" s="29">
        <v>3</v>
      </c>
      <c r="CB175" s="29">
        <v>10</v>
      </c>
      <c r="CC175" s="29">
        <v>0</v>
      </c>
      <c r="CD175" s="29">
        <v>1</v>
      </c>
      <c r="CE175" s="29">
        <v>1</v>
      </c>
      <c r="CF175" s="29" t="s">
        <v>547</v>
      </c>
      <c r="CG175" s="29">
        <f>(CC175*15)+(CD175*0.8)+(CE175*0.3)+((AW175+AZ175)*15)</f>
        <v>136.1</v>
      </c>
      <c r="CH175" s="29" t="s">
        <v>2221</v>
      </c>
      <c r="CI175" s="29">
        <f>(BL175*1)+(BN175*0.1)+(BP175*0.01)+(BR175*0.1)+(BT175*0.3)+(BV175*0.4)+(CC175*15)+(CD175*0.8)+(CE175*0.3)+((AW175+AZ175)*15)</f>
        <v>143.5</v>
      </c>
      <c r="CJ175" s="29" t="s">
        <v>548</v>
      </c>
      <c r="CK175" s="29" t="s">
        <v>797</v>
      </c>
      <c r="CL175" s="29" t="s">
        <v>548</v>
      </c>
      <c r="CM175" s="29" t="s">
        <v>793</v>
      </c>
      <c r="CO175" s="29">
        <v>7</v>
      </c>
      <c r="CP175" s="29">
        <v>0</v>
      </c>
      <c r="CQ175" s="29" t="s">
        <v>546</v>
      </c>
      <c r="CR175" s="29">
        <v>1</v>
      </c>
      <c r="CS175" s="29">
        <v>9</v>
      </c>
      <c r="CT175" s="29" t="s">
        <v>551</v>
      </c>
      <c r="CU175" s="30">
        <v>2.16</v>
      </c>
      <c r="CV175" s="29">
        <v>1</v>
      </c>
      <c r="CW175" s="29">
        <v>7.5</v>
      </c>
      <c r="CX175" s="29" t="s">
        <v>551</v>
      </c>
      <c r="CY175" s="62">
        <v>1.7999999999999998</v>
      </c>
      <c r="CZ175" s="29">
        <v>1</v>
      </c>
      <c r="DA175" s="29">
        <v>1</v>
      </c>
      <c r="DB175" s="29" t="s">
        <v>551</v>
      </c>
      <c r="DC175" s="62">
        <v>0.24</v>
      </c>
      <c r="DD175" s="29" t="s">
        <v>548</v>
      </c>
      <c r="DE175" s="29" t="s">
        <v>548</v>
      </c>
      <c r="DF175" s="29" t="s">
        <v>548</v>
      </c>
      <c r="DG175" s="29" t="s">
        <v>548</v>
      </c>
      <c r="DH175" s="29" t="s">
        <v>548</v>
      </c>
      <c r="DI175" s="29">
        <v>5</v>
      </c>
      <c r="DJ175" s="29">
        <v>3</v>
      </c>
      <c r="DK175" s="29" t="s">
        <v>1206</v>
      </c>
      <c r="DL175" s="29" t="s">
        <v>1207</v>
      </c>
      <c r="DM175" s="29">
        <v>-4.3597245216369629</v>
      </c>
      <c r="DN175" s="29">
        <v>35.488910675048828</v>
      </c>
      <c r="DO175" s="29">
        <v>1690.800048828125</v>
      </c>
      <c r="DP175" s="29">
        <v>15</v>
      </c>
      <c r="DQ175" s="29">
        <v>1705231439</v>
      </c>
      <c r="DR175" s="29" t="s">
        <v>1208</v>
      </c>
      <c r="DS175" s="31">
        <v>42908.292511574073</v>
      </c>
      <c r="DT175" s="31">
        <v>42893.684629629628</v>
      </c>
      <c r="DU175" s="31">
        <v>42908.285879629635</v>
      </c>
      <c r="DV175" s="32">
        <v>42893</v>
      </c>
      <c r="DX175" s="44">
        <v>7.5464387464387448</v>
      </c>
      <c r="DY175" s="44">
        <v>7.7900529100529097</v>
      </c>
      <c r="DZ175" s="44">
        <v>7.0984126984126981</v>
      </c>
      <c r="EA175" s="44">
        <v>8.5180952380952384</v>
      </c>
      <c r="EC175" s="29" t="str">
        <f>IF(EQ175&lt;EP175,"FALSEE",1)</f>
        <v>FALSEE</v>
      </c>
      <c r="EE175" s="29" t="s">
        <v>2171</v>
      </c>
      <c r="EF175" s="29">
        <v>2.80598473549</v>
      </c>
      <c r="EG175" s="29" t="str">
        <f>IF(EF175&lt;0.5,"Depression",IF(EF175&lt;2,"Very gentle",IF(EF175&lt;5,"Gentle",IF(EF175&lt;9,"Moderate",IF(EF175&lt;15,"Strong",IF(EF175&lt;30,"Steep",IF(EF175&lt;1,"Very steep")))))))</f>
        <v>Gentle</v>
      </c>
      <c r="EH175" s="29" t="s">
        <v>2173</v>
      </c>
      <c r="EI175" s="29">
        <v>0.36257606744799997</v>
      </c>
      <c r="EJ175" s="43">
        <v>8.7084684371899996</v>
      </c>
      <c r="EK175" s="43">
        <f>VLOOKUP(D175,[1]SoilData!$G$15:$K$237,5,FALSE)</f>
        <v>168.75049838686394</v>
      </c>
      <c r="EL175" s="43">
        <f>VLOOKUP(D175,[1]SoilData!$G$245:$K$451,5,FALSE)</f>
        <v>-68.733355804882606</v>
      </c>
      <c r="EM175" s="43">
        <f>VLOOKUP(D175,[1]SoilData!$G$15:$M$238,7,FALSE)</f>
        <v>1.472</v>
      </c>
      <c r="EN175" s="43">
        <f>VLOOKUP(D175,[1]SoilData!$G$245:$M$454,7,FALSE)</f>
        <v>1.0920000000000001</v>
      </c>
      <c r="EO175" s="60">
        <f>EM175-EN175</f>
        <v>0.37999999999999989</v>
      </c>
      <c r="EP175" s="44">
        <f>AVERAGE(DZ175:EA175)</f>
        <v>7.8082539682539682</v>
      </c>
      <c r="EQ175" s="44">
        <f>AVERAGE(DX175:DY175)</f>
        <v>7.6682458282458272</v>
      </c>
      <c r="ER175" s="43">
        <f>EQ175-EP175</f>
        <v>-0.14000814000814099</v>
      </c>
      <c r="ES175" s="64">
        <f>IF(CU175&gt;0.000001,CU175*352,0)</f>
        <v>760.32</v>
      </c>
      <c r="ET175" s="64">
        <f>IF(DC175&gt;0.0001,DC175*682,0)</f>
        <v>163.68</v>
      </c>
      <c r="EU175" s="64">
        <f>CY175*795</f>
        <v>1430.9999999999998</v>
      </c>
      <c r="EV175" s="64">
        <f>ES175+ET175+EU175</f>
        <v>2355</v>
      </c>
      <c r="EW175" s="64">
        <f>IF(AA175="YES",3.5*18.2,0)</f>
        <v>63.699999999999996</v>
      </c>
      <c r="EX175" s="64">
        <f>EV175-EW175</f>
        <v>2291.3000000000002</v>
      </c>
    </row>
    <row r="176" spans="1:154" ht="15" x14ac:dyDescent="0.2">
      <c r="A176" s="29" t="s">
        <v>556</v>
      </c>
      <c r="B176" s="29">
        <v>146</v>
      </c>
      <c r="C176" s="29" t="s">
        <v>357</v>
      </c>
      <c r="D176" s="29" t="s">
        <v>357</v>
      </c>
      <c r="E176" s="29" t="str">
        <f>VLOOKUP(D176,Harvest_2017_Formulae!$C$2:$D$968,2,FALSE)</f>
        <v>HALLU</v>
      </c>
      <c r="F176" s="29" t="s">
        <v>938</v>
      </c>
      <c r="G176" s="29">
        <v>0</v>
      </c>
      <c r="H176" s="61" t="str">
        <f>IF(G176&lt;0.05,"Homefield",IF(G176&lt;0.5,"Midfield","outfield"))</f>
        <v>Homefield</v>
      </c>
      <c r="I176" s="29" t="s">
        <v>557</v>
      </c>
      <c r="J176" s="61" t="s">
        <v>2233</v>
      </c>
      <c r="K176" s="61" t="s">
        <v>2233</v>
      </c>
      <c r="L176" s="67">
        <v>0</v>
      </c>
      <c r="O176" s="29" t="s">
        <v>547</v>
      </c>
      <c r="Q176" s="67">
        <v>1</v>
      </c>
      <c r="R176" s="29" t="s">
        <v>558</v>
      </c>
      <c r="S176" s="29">
        <v>20</v>
      </c>
      <c r="T176" s="29" t="s">
        <v>559</v>
      </c>
      <c r="U176" s="29" t="s">
        <v>560</v>
      </c>
      <c r="W176" s="29" t="s">
        <v>819</v>
      </c>
      <c r="X176" s="29">
        <v>10</v>
      </c>
      <c r="Y176" s="29">
        <v>5000</v>
      </c>
      <c r="Z176" s="29" t="s">
        <v>547</v>
      </c>
      <c r="AA176" s="61" t="s">
        <v>546</v>
      </c>
      <c r="AB176" s="29" t="s">
        <v>547</v>
      </c>
      <c r="AC176" s="67">
        <v>0</v>
      </c>
      <c r="AD176" s="29" t="s">
        <v>547</v>
      </c>
      <c r="AF176" s="29" t="s">
        <v>547</v>
      </c>
      <c r="AG176" s="29" t="s">
        <v>547</v>
      </c>
      <c r="AH176" s="29" t="s">
        <v>548</v>
      </c>
      <c r="AI176" s="29" t="s">
        <v>546</v>
      </c>
      <c r="AJ176" s="29" t="s">
        <v>547</v>
      </c>
      <c r="AK176" s="67">
        <v>0</v>
      </c>
      <c r="AL176" s="29" t="s">
        <v>547</v>
      </c>
      <c r="AO176" s="29" t="s">
        <v>547</v>
      </c>
      <c r="AP176" s="29" t="s">
        <v>547</v>
      </c>
      <c r="AQ176" s="4">
        <f>Q176+AK176</f>
        <v>1</v>
      </c>
      <c r="AR176" s="4">
        <f>L176+AC176</f>
        <v>0</v>
      </c>
      <c r="AS176" t="str">
        <f>AQ176&amp;AR176</f>
        <v>10</v>
      </c>
      <c r="AT176" s="49">
        <f>AQ176-AR176</f>
        <v>1</v>
      </c>
      <c r="AU176">
        <v>2</v>
      </c>
      <c r="AV176" s="29" t="s">
        <v>548</v>
      </c>
      <c r="AW176" s="29">
        <v>1</v>
      </c>
      <c r="AX176" s="29" t="s">
        <v>548</v>
      </c>
      <c r="AY176" s="29">
        <v>3</v>
      </c>
      <c r="AZ176" s="29">
        <v>12</v>
      </c>
      <c r="BA176" s="29" t="s">
        <v>546</v>
      </c>
      <c r="BB176" s="29" t="s">
        <v>547</v>
      </c>
      <c r="BD176" s="29">
        <f>AW176+AZ176</f>
        <v>13</v>
      </c>
      <c r="BE176" s="29">
        <f>BD176+BC176</f>
        <v>13</v>
      </c>
      <c r="BF176" s="29" t="s">
        <v>548</v>
      </c>
      <c r="BG176" s="29" t="s">
        <v>548</v>
      </c>
      <c r="BH176" s="29" t="s">
        <v>548</v>
      </c>
      <c r="BI176" s="29" t="s">
        <v>546</v>
      </c>
      <c r="BJ176" s="29" t="s">
        <v>546</v>
      </c>
      <c r="BK176" s="29" t="s">
        <v>546</v>
      </c>
      <c r="BL176" s="29">
        <v>7</v>
      </c>
      <c r="BM176" s="29" t="s">
        <v>549</v>
      </c>
      <c r="BN176" s="29">
        <v>10</v>
      </c>
      <c r="BO176" s="29" t="s">
        <v>549</v>
      </c>
      <c r="BP176" s="29">
        <v>3</v>
      </c>
      <c r="BQ176" s="29" t="s">
        <v>549</v>
      </c>
      <c r="BS176" s="29" t="s">
        <v>547</v>
      </c>
      <c r="BU176" s="29" t="s">
        <v>547</v>
      </c>
      <c r="BW176" s="29">
        <f>(BL176*1)+(BN176*0.1)+(BP176*0.01)+(BR176*0.1)+(BT176*0.3)+(BV176*0.4)</f>
        <v>8.0299999999999994</v>
      </c>
      <c r="BX176" s="29" t="s">
        <v>2220</v>
      </c>
      <c r="BY176" s="29">
        <v>2</v>
      </c>
      <c r="BZ176" s="29">
        <v>1</v>
      </c>
      <c r="CA176" s="29">
        <v>4</v>
      </c>
      <c r="CB176" s="29">
        <v>7</v>
      </c>
      <c r="CC176" s="29">
        <v>0</v>
      </c>
      <c r="CD176" s="29">
        <v>1</v>
      </c>
      <c r="CE176" s="29">
        <v>1</v>
      </c>
      <c r="CF176" s="29" t="s">
        <v>547</v>
      </c>
      <c r="CG176" s="29">
        <f>(CC176*15)+(CD176*0.8)+(CE176*0.3)+((AW176+AZ176)*15)</f>
        <v>196.1</v>
      </c>
      <c r="CH176" s="29" t="s">
        <v>2221</v>
      </c>
      <c r="CI176" s="29">
        <f>(BL176*1)+(BN176*0.1)+(BP176*0.01)+(BR176*0.1)+(BT176*0.3)+(BV176*0.4)+(CC176*15)+(CD176*0.8)+(CE176*0.3)+((AW176+AZ176)*15)</f>
        <v>204.13</v>
      </c>
      <c r="CJ176" s="29" t="s">
        <v>548</v>
      </c>
      <c r="CK176" s="29" t="s">
        <v>960</v>
      </c>
      <c r="CL176" s="29" t="s">
        <v>548</v>
      </c>
      <c r="CM176" s="29" t="s">
        <v>550</v>
      </c>
      <c r="CN176" s="29">
        <v>0.25</v>
      </c>
      <c r="CO176" s="29">
        <v>0.75</v>
      </c>
      <c r="CP176" s="29">
        <v>0</v>
      </c>
      <c r="CQ176" s="29" t="s">
        <v>546</v>
      </c>
      <c r="CR176" s="29">
        <v>1</v>
      </c>
      <c r="CS176" s="29">
        <v>10</v>
      </c>
      <c r="CT176" s="29" t="s">
        <v>551</v>
      </c>
      <c r="CU176" s="30">
        <v>2.4</v>
      </c>
      <c r="CW176" s="29">
        <v>999</v>
      </c>
      <c r="CX176" s="29" t="s">
        <v>551</v>
      </c>
      <c r="CY176" s="62"/>
      <c r="CZ176" s="29">
        <v>1</v>
      </c>
      <c r="DA176" s="29">
        <v>0</v>
      </c>
      <c r="DB176" s="29" t="s">
        <v>551</v>
      </c>
      <c r="DC176" s="62">
        <v>0</v>
      </c>
      <c r="DD176" s="29" t="s">
        <v>546</v>
      </c>
      <c r="DE176" s="29" t="s">
        <v>546</v>
      </c>
      <c r="DF176" s="29" t="s">
        <v>546</v>
      </c>
      <c r="DG176" s="29" t="s">
        <v>546</v>
      </c>
      <c r="DH176" s="29" t="s">
        <v>546</v>
      </c>
      <c r="DI176" s="29">
        <v>0</v>
      </c>
      <c r="DJ176" s="29">
        <v>3</v>
      </c>
      <c r="DK176" s="29" t="s">
        <v>961</v>
      </c>
      <c r="DL176" s="29" t="s">
        <v>962</v>
      </c>
      <c r="DM176" s="29">
        <v>-4.3046340942382812</v>
      </c>
      <c r="DN176" s="29">
        <v>35.909893035888672</v>
      </c>
      <c r="DO176" s="29">
        <v>1180</v>
      </c>
      <c r="DP176" s="29">
        <v>5</v>
      </c>
      <c r="DQ176" s="29">
        <v>1706031849</v>
      </c>
      <c r="DR176" s="29" t="s">
        <v>963</v>
      </c>
      <c r="DS176" s="31">
        <v>42913.425011574072</v>
      </c>
      <c r="DT176" s="31">
        <v>42909.526423611111</v>
      </c>
      <c r="DU176" s="31">
        <v>42909.53292824074</v>
      </c>
      <c r="DV176" s="32">
        <v>42771</v>
      </c>
      <c r="DX176" s="44">
        <v>5.6942342342342345</v>
      </c>
      <c r="DY176" s="44">
        <v>4.7859909909909915</v>
      </c>
      <c r="DZ176" s="44">
        <v>6.593461538461538</v>
      </c>
      <c r="EA176" s="44">
        <v>7.0503561253561253</v>
      </c>
      <c r="EB176" s="39"/>
      <c r="EC176" s="29" t="str">
        <f>IF(EQ176&lt;EP176,"FALSEE",1)</f>
        <v>FALSEE</v>
      </c>
      <c r="ED176" s="39"/>
      <c r="EE176" s="29" t="s">
        <v>2171</v>
      </c>
      <c r="EF176" s="29">
        <v>0.85303092002900005</v>
      </c>
      <c r="EG176" s="29" t="str">
        <f>IF(EF176&lt;0.5,"Depression",IF(EF176&lt;2,"Very gentle",IF(EF176&lt;5,"Gentle",IF(EF176&lt;9,"Moderate",IF(EF176&lt;15,"Strong",IF(EF176&lt;30,"Steep",IF(EF176&lt;1,"Very steep")))))))</f>
        <v>Very gentle</v>
      </c>
      <c r="EH176" s="29" t="s">
        <v>2173</v>
      </c>
      <c r="EI176" s="29">
        <v>9.0650379657699995E-2</v>
      </c>
      <c r="EJ176" s="43">
        <v>8.7994308471699991</v>
      </c>
      <c r="EK176" s="43">
        <f>VLOOKUP(D176,[1]SoilData!$G$15:$K$237,5,FALSE)</f>
        <v>449.36824376881202</v>
      </c>
      <c r="EL176" s="43">
        <f>VLOOKUP(D176,[1]SoilData!$G$245:$K$451,5,FALSE)</f>
        <v>354.62404545300836</v>
      </c>
      <c r="EM176" s="43">
        <f>VLOOKUP(D176,[1]SoilData!$G$15:$M$238,7,FALSE)</f>
        <v>2.3410000000000002</v>
      </c>
      <c r="EN176" s="43">
        <f>VLOOKUP(D176,[1]SoilData!$G$245:$M$454,7,FALSE)</f>
        <v>1.6279999999999999</v>
      </c>
      <c r="EO176" s="60">
        <f>EM176-EN176</f>
        <v>0.7130000000000003</v>
      </c>
      <c r="EP176" s="44">
        <f>AVERAGE(DZ176:EA176)</f>
        <v>6.8219088319088321</v>
      </c>
      <c r="EQ176" s="44">
        <f>AVERAGE(DX176:DY176)</f>
        <v>5.240112612612613</v>
      </c>
      <c r="ER176" s="43">
        <f>EQ176-EP176</f>
        <v>-1.5817962192962192</v>
      </c>
      <c r="ES176" s="64">
        <f>IF(CU176&gt;0.000001,CU176*352,0)</f>
        <v>844.8</v>
      </c>
      <c r="ET176" s="64">
        <f>IF(DC176&gt;0.0001,DC176*682,0)</f>
        <v>0</v>
      </c>
      <c r="EU176" s="64">
        <f>CY176*795</f>
        <v>0</v>
      </c>
      <c r="EV176" s="64">
        <f>ES176+ET176+EU176</f>
        <v>844.8</v>
      </c>
      <c r="EW176" s="64">
        <f>IF(AA176="YES",3.5*18.2,0)</f>
        <v>0</v>
      </c>
      <c r="EX176" s="64">
        <f>EV176-EW176</f>
        <v>844.8</v>
      </c>
    </row>
    <row r="177" spans="1:154" ht="15" x14ac:dyDescent="0.2">
      <c r="A177" s="29" t="s">
        <v>789</v>
      </c>
      <c r="B177" s="29">
        <v>52</v>
      </c>
      <c r="C177" s="29" t="s">
        <v>211</v>
      </c>
      <c r="D177" s="29" t="s">
        <v>211</v>
      </c>
      <c r="E177" s="29" t="str">
        <f>VLOOKUP(D177,Harvest_2017_Formulae!$C$2:$D$968,2,FALSE)</f>
        <v>MANDI</v>
      </c>
      <c r="F177" s="29" t="s">
        <v>1014</v>
      </c>
      <c r="G177" s="29">
        <v>2</v>
      </c>
      <c r="H177" s="61" t="str">
        <f>IF(G177&lt;0.05,"Homefield",IF(G177&lt;0.5,"Midfield","outfield"))</f>
        <v>outfield</v>
      </c>
      <c r="I177" s="29" t="s">
        <v>557</v>
      </c>
      <c r="J177" s="61" t="s">
        <v>2233</v>
      </c>
      <c r="K177" s="61" t="s">
        <v>2233</v>
      </c>
      <c r="L177" s="67">
        <v>0</v>
      </c>
      <c r="O177" s="29" t="s">
        <v>547</v>
      </c>
      <c r="Q177" s="67">
        <v>1</v>
      </c>
      <c r="R177" s="29" t="s">
        <v>615</v>
      </c>
      <c r="S177" s="29">
        <v>3</v>
      </c>
      <c r="T177" s="29">
        <v>1</v>
      </c>
      <c r="U177" s="29" t="s">
        <v>560</v>
      </c>
      <c r="W177" s="29" t="s">
        <v>561</v>
      </c>
      <c r="Y177" s="29">
        <v>10000</v>
      </c>
      <c r="Z177" s="29" t="s">
        <v>547</v>
      </c>
      <c r="AA177" s="61" t="s">
        <v>546</v>
      </c>
      <c r="AB177" s="29" t="s">
        <v>547</v>
      </c>
      <c r="AC177" s="67">
        <v>0</v>
      </c>
      <c r="AD177" s="29" t="s">
        <v>547</v>
      </c>
      <c r="AF177" s="29" t="s">
        <v>547</v>
      </c>
      <c r="AG177" s="29" t="s">
        <v>547</v>
      </c>
      <c r="AH177" s="29" t="s">
        <v>548</v>
      </c>
      <c r="AI177" s="29" t="s">
        <v>546</v>
      </c>
      <c r="AK177" s="67">
        <v>0</v>
      </c>
      <c r="AL177" s="29" t="s">
        <v>547</v>
      </c>
      <c r="AO177" s="29" t="s">
        <v>547</v>
      </c>
      <c r="AP177" s="29" t="s">
        <v>547</v>
      </c>
      <c r="AQ177" s="4">
        <f>Q177+AK177</f>
        <v>1</v>
      </c>
      <c r="AR177" s="4">
        <f>L177+AC177</f>
        <v>0</v>
      </c>
      <c r="AS177" t="str">
        <f>AQ177&amp;AR177</f>
        <v>10</v>
      </c>
      <c r="AT177" s="49">
        <f>AQ177-AR177</f>
        <v>1</v>
      </c>
      <c r="AU177">
        <v>2</v>
      </c>
      <c r="AV177" s="29" t="s">
        <v>548</v>
      </c>
      <c r="AW177" s="29">
        <v>0.5</v>
      </c>
      <c r="AX177" s="29" t="s">
        <v>548</v>
      </c>
      <c r="AY177" s="29">
        <v>2</v>
      </c>
      <c r="AZ177" s="29">
        <v>4</v>
      </c>
      <c r="BA177" s="29" t="s">
        <v>548</v>
      </c>
      <c r="BB177" s="29" t="s">
        <v>569</v>
      </c>
      <c r="BC177" s="29">
        <v>5</v>
      </c>
      <c r="BD177" s="29">
        <f>AW177+AZ177</f>
        <v>4.5</v>
      </c>
      <c r="BE177" s="29">
        <f>BD177+BC177</f>
        <v>9.5</v>
      </c>
      <c r="BF177" s="29" t="s">
        <v>548</v>
      </c>
      <c r="BG177" s="29" t="s">
        <v>548</v>
      </c>
      <c r="BH177" s="29" t="s">
        <v>548</v>
      </c>
      <c r="BI177" s="29" t="s">
        <v>546</v>
      </c>
      <c r="BJ177" s="29" t="s">
        <v>546</v>
      </c>
      <c r="BK177" s="29" t="s">
        <v>546</v>
      </c>
      <c r="BL177" s="29">
        <v>7</v>
      </c>
      <c r="BM177" s="29" t="s">
        <v>580</v>
      </c>
      <c r="BN177" s="29">
        <v>9</v>
      </c>
      <c r="BO177" s="29" t="s">
        <v>580</v>
      </c>
      <c r="BP177" s="29">
        <v>16</v>
      </c>
      <c r="BQ177" s="29" t="s">
        <v>580</v>
      </c>
      <c r="BS177" s="29" t="s">
        <v>547</v>
      </c>
      <c r="BU177" s="29" t="s">
        <v>547</v>
      </c>
      <c r="BW177" s="29">
        <f>(BL177*1)+(BN177*0.1)+(BP177*0.01)+(BR177*0.1)+(BT177*0.3)+(BV177*0.4)</f>
        <v>8.06</v>
      </c>
      <c r="BX177" s="29" t="s">
        <v>2220</v>
      </c>
      <c r="BY177" s="29">
        <v>2</v>
      </c>
      <c r="BZ177" s="29">
        <v>1</v>
      </c>
      <c r="CA177" s="29">
        <v>7</v>
      </c>
      <c r="CB177" s="29">
        <v>10</v>
      </c>
      <c r="CC177" s="29">
        <v>0</v>
      </c>
      <c r="CD177" s="29">
        <v>1</v>
      </c>
      <c r="CE177" s="29">
        <v>1</v>
      </c>
      <c r="CG177" s="29">
        <f>(CC177*15)+(CD177*0.8)+(CE177*0.3)+((AW177+AZ177)*15)</f>
        <v>68.599999999999994</v>
      </c>
      <c r="CH177" s="29" t="s">
        <v>2221</v>
      </c>
      <c r="CI177" s="29">
        <f>(BL177*1)+(BN177*0.1)+(BP177*0.01)+(BR177*0.1)+(BT177*0.3)+(BV177*0.4)+(CC177*15)+(CD177*0.8)+(CE177*0.3)+((AW177+AZ177)*15)</f>
        <v>76.66</v>
      </c>
      <c r="CJ177" s="29" t="s">
        <v>548</v>
      </c>
      <c r="CK177" s="29" t="s">
        <v>1077</v>
      </c>
      <c r="CL177" s="29" t="s">
        <v>548</v>
      </c>
      <c r="CM177" s="29" t="s">
        <v>793</v>
      </c>
      <c r="CN177" s="29">
        <v>0.75</v>
      </c>
      <c r="CO177" s="29">
        <v>3.75</v>
      </c>
      <c r="CP177" s="29">
        <v>0</v>
      </c>
      <c r="CQ177" s="29" t="s">
        <v>548</v>
      </c>
      <c r="CR177" s="29">
        <v>1</v>
      </c>
      <c r="CS177" s="29">
        <v>4</v>
      </c>
      <c r="CT177" s="29" t="s">
        <v>551</v>
      </c>
      <c r="CU177" s="30">
        <v>0.96</v>
      </c>
      <c r="CW177" s="29">
        <v>999</v>
      </c>
      <c r="CX177" s="29" t="s">
        <v>551</v>
      </c>
      <c r="CY177" s="62"/>
      <c r="DA177" s="29">
        <v>999</v>
      </c>
      <c r="DB177" s="29" t="s">
        <v>551</v>
      </c>
      <c r="DC177" s="62"/>
      <c r="DD177" s="29" t="s">
        <v>546</v>
      </c>
      <c r="DE177" s="29" t="s">
        <v>546</v>
      </c>
      <c r="DF177" s="29" t="s">
        <v>546</v>
      </c>
      <c r="DG177" s="29" t="s">
        <v>546</v>
      </c>
      <c r="DH177" s="29" t="s">
        <v>546</v>
      </c>
      <c r="DI177" s="29">
        <v>0</v>
      </c>
      <c r="DJ177" s="29">
        <v>2</v>
      </c>
      <c r="DK177" s="29" t="s">
        <v>1078</v>
      </c>
      <c r="DL177" s="29" t="s">
        <v>1079</v>
      </c>
      <c r="DM177" s="29">
        <v>-4.3561315536499023</v>
      </c>
      <c r="DN177" s="29">
        <v>35.444972991943359</v>
      </c>
      <c r="DO177" s="29">
        <v>1723.199951171875</v>
      </c>
      <c r="DP177" s="29">
        <v>5</v>
      </c>
      <c r="DQ177" s="29">
        <v>1705231439</v>
      </c>
      <c r="DR177" s="29" t="s">
        <v>1080</v>
      </c>
      <c r="DS177" s="31">
        <v>42923.381770833337</v>
      </c>
      <c r="DT177" s="31">
        <v>42908.46266203704</v>
      </c>
      <c r="DU177" s="31">
        <v>42923.379490740743</v>
      </c>
      <c r="DV177" s="32">
        <v>42795</v>
      </c>
      <c r="DX177" s="44">
        <v>3.0890058479532172</v>
      </c>
      <c r="DY177" s="44">
        <v>3.2781286549707604</v>
      </c>
      <c r="DZ177" s="44">
        <v>3.4377777777777783</v>
      </c>
      <c r="EA177" s="44">
        <v>2.3111111111111113</v>
      </c>
      <c r="EC177" s="29">
        <f>IF(EQ177&lt;EP177,"FALSEE",1)</f>
        <v>1</v>
      </c>
      <c r="EE177" s="29" t="s">
        <v>2174</v>
      </c>
      <c r="EF177" s="29">
        <v>6.78757381439</v>
      </c>
      <c r="EG177" s="29" t="str">
        <f>IF(EF177&lt;0.5,"Depression",IF(EF177&lt;2,"Very gentle",IF(EF177&lt;5,"Gentle",IF(EF177&lt;9,"Moderate",IF(EF177&lt;15,"Strong",IF(EF177&lt;30,"Steep",IF(EF177&lt;1,"Very steep")))))))</f>
        <v>Moderate</v>
      </c>
      <c r="EH177" s="29" t="s">
        <v>2177</v>
      </c>
      <c r="EI177" s="29">
        <v>0.63450175523800001</v>
      </c>
      <c r="EJ177" s="43">
        <v>7.2923617363000002</v>
      </c>
      <c r="EK177" s="43">
        <f>VLOOKUP(D177,[1]SoilData!$G$15:$K$237,5,FALSE)</f>
        <v>190.45601194202362</v>
      </c>
      <c r="EL177" s="43"/>
      <c r="EM177" s="43">
        <f>VLOOKUP(D177,[1]SoilData!$G$15:$M$238,7,FALSE)</f>
        <v>1.339</v>
      </c>
      <c r="EN177" s="43"/>
      <c r="EO177" s="60"/>
      <c r="EP177" s="44">
        <f>AVERAGE(DZ177:EA177)</f>
        <v>2.8744444444444448</v>
      </c>
      <c r="EQ177" s="44">
        <f>AVERAGE(DX177:DY177)</f>
        <v>3.183567251461989</v>
      </c>
      <c r="ER177" s="43">
        <f>EQ177-EP177</f>
        <v>0.30912280701754424</v>
      </c>
      <c r="ES177" s="64">
        <f>IF(CU177&gt;0.000001,CU177*352,0)</f>
        <v>337.91999999999996</v>
      </c>
      <c r="ET177" s="64">
        <f>IF(DC177&gt;0.0001,DC177*682,0)</f>
        <v>0</v>
      </c>
      <c r="EU177" s="64">
        <f>CY177*795</f>
        <v>0</v>
      </c>
      <c r="EV177" s="64">
        <f>ES177+ET177+EU177</f>
        <v>337.91999999999996</v>
      </c>
      <c r="EW177" s="64">
        <f>IF(AA177="YES",3.5*18.2,0)</f>
        <v>0</v>
      </c>
      <c r="EX177" s="64">
        <f>EV177-EW177</f>
        <v>337.91999999999996</v>
      </c>
    </row>
    <row r="178" spans="1:154" ht="15" x14ac:dyDescent="0.2">
      <c r="A178" s="29" t="s">
        <v>789</v>
      </c>
      <c r="B178" s="29">
        <v>20</v>
      </c>
      <c r="C178" s="29" t="s">
        <v>1518</v>
      </c>
      <c r="D178" s="29" t="s">
        <v>1518</v>
      </c>
      <c r="E178" s="29" t="e">
        <f>VLOOKUP(D178,Harvest_2017_Formulae!$C$2:$D$968,2,FALSE)</f>
        <v>#N/A</v>
      </c>
      <c r="F178" s="29" t="s">
        <v>1175</v>
      </c>
      <c r="G178" s="29">
        <v>0</v>
      </c>
      <c r="H178" s="61" t="str">
        <f>IF(G178&lt;0.05,"Homefield",IF(G178&lt;0.5,"Midfield","outfield"))</f>
        <v>Homefield</v>
      </c>
      <c r="I178" s="29" t="s">
        <v>557</v>
      </c>
      <c r="J178" s="61" t="s">
        <v>2233</v>
      </c>
      <c r="K178" s="61" t="s">
        <v>2233</v>
      </c>
      <c r="L178" s="67">
        <v>0</v>
      </c>
      <c r="O178" s="29" t="s">
        <v>547</v>
      </c>
      <c r="Q178" s="67">
        <v>1</v>
      </c>
      <c r="R178" s="29" t="s">
        <v>615</v>
      </c>
      <c r="S178" s="29">
        <v>6</v>
      </c>
      <c r="T178" s="29">
        <v>3</v>
      </c>
      <c r="U178" s="29" t="s">
        <v>560</v>
      </c>
      <c r="W178" s="29" t="s">
        <v>635</v>
      </c>
      <c r="Z178" s="29" t="s">
        <v>831</v>
      </c>
      <c r="AA178" s="61" t="s">
        <v>548</v>
      </c>
      <c r="AB178" s="29" t="s">
        <v>568</v>
      </c>
      <c r="AC178" s="67">
        <v>0</v>
      </c>
      <c r="AD178" s="29" t="s">
        <v>547</v>
      </c>
      <c r="AF178" s="29" t="s">
        <v>547</v>
      </c>
      <c r="AG178" s="29" t="s">
        <v>547</v>
      </c>
      <c r="AH178" s="29" t="s">
        <v>548</v>
      </c>
      <c r="AI178" s="29" t="s">
        <v>546</v>
      </c>
      <c r="AK178" s="67">
        <v>0</v>
      </c>
      <c r="AL178" s="29" t="s">
        <v>547</v>
      </c>
      <c r="AO178" s="29" t="s">
        <v>547</v>
      </c>
      <c r="AP178" s="29" t="s">
        <v>547</v>
      </c>
      <c r="AQ178" s="4">
        <f>Q178+AK178</f>
        <v>1</v>
      </c>
      <c r="AR178" s="4">
        <f>L178+AC178</f>
        <v>0</v>
      </c>
      <c r="AS178" t="str">
        <f>AQ178&amp;AR178</f>
        <v>10</v>
      </c>
      <c r="AT178" s="49">
        <f>AQ178-AR178</f>
        <v>1</v>
      </c>
      <c r="AU178">
        <v>2</v>
      </c>
      <c r="AV178" s="29" t="s">
        <v>548</v>
      </c>
      <c r="AW178" s="29">
        <v>5</v>
      </c>
      <c r="AX178" s="29" t="s">
        <v>548</v>
      </c>
      <c r="AY178" s="29">
        <v>1</v>
      </c>
      <c r="AZ178" s="29">
        <v>1.75</v>
      </c>
      <c r="BA178" s="29" t="s">
        <v>548</v>
      </c>
      <c r="BB178" s="29" t="s">
        <v>569</v>
      </c>
      <c r="BC178" s="29">
        <v>7.25</v>
      </c>
      <c r="BD178" s="29">
        <f>AW178+AZ178</f>
        <v>6.75</v>
      </c>
      <c r="BE178" s="29">
        <f>BD178+BC178</f>
        <v>14</v>
      </c>
      <c r="BF178" s="29" t="s">
        <v>548</v>
      </c>
      <c r="BG178" s="29" t="s">
        <v>548</v>
      </c>
      <c r="BH178" s="29" t="s">
        <v>548</v>
      </c>
      <c r="BI178" s="29" t="s">
        <v>548</v>
      </c>
      <c r="BJ178" s="29" t="s">
        <v>546</v>
      </c>
      <c r="BK178" s="29" t="s">
        <v>546</v>
      </c>
      <c r="BL178" s="29">
        <v>8</v>
      </c>
      <c r="BM178" s="29" t="s">
        <v>549</v>
      </c>
      <c r="BN178" s="29">
        <v>2</v>
      </c>
      <c r="BO178" s="29" t="s">
        <v>580</v>
      </c>
      <c r="BP178" s="29">
        <v>4</v>
      </c>
      <c r="BQ178" s="29" t="s">
        <v>580</v>
      </c>
      <c r="BR178" s="29">
        <v>2</v>
      </c>
      <c r="BS178" s="29" t="s">
        <v>580</v>
      </c>
      <c r="BU178" s="29" t="s">
        <v>547</v>
      </c>
      <c r="BW178" s="29">
        <f>(BL178*1)+(BN178*0.1)+(BP178*0.01)+(BR178*0.1)+(BT178*0.3)+(BV178*0.4)</f>
        <v>8.4399999999999977</v>
      </c>
      <c r="BX178" s="29" t="s">
        <v>2220</v>
      </c>
      <c r="BY178" s="29">
        <v>2</v>
      </c>
      <c r="BZ178" s="29">
        <v>2</v>
      </c>
      <c r="CA178" s="29">
        <v>7</v>
      </c>
      <c r="CB178" s="29">
        <v>11</v>
      </c>
      <c r="CC178" s="29">
        <v>0</v>
      </c>
      <c r="CD178" s="29">
        <v>1</v>
      </c>
      <c r="CE178" s="29">
        <v>1</v>
      </c>
      <c r="CG178" s="29">
        <f>(CC178*15)+(CD178*0.8)+(CE178*0.3)+((AW178+AZ178)*15)</f>
        <v>102.35</v>
      </c>
      <c r="CH178" s="29" t="s">
        <v>2221</v>
      </c>
      <c r="CI178" s="29">
        <f>(BL178*1)+(BN178*0.1)+(BP178*0.01)+(BR178*0.1)+(BT178*0.3)+(BV178*0.4)+(CC178*15)+(CD178*0.8)+(CE178*0.3)+((AW178+AZ178)*15)</f>
        <v>110.78999999999999</v>
      </c>
      <c r="CJ178" s="29" t="s">
        <v>548</v>
      </c>
      <c r="CK178" s="29" t="s">
        <v>1519</v>
      </c>
      <c r="CL178" s="29" t="s">
        <v>548</v>
      </c>
      <c r="CM178" s="29" t="s">
        <v>793</v>
      </c>
      <c r="CN178" s="29">
        <v>0</v>
      </c>
      <c r="CO178" s="29">
        <v>7.25</v>
      </c>
      <c r="CP178" s="29">
        <v>0</v>
      </c>
      <c r="CQ178" s="29" t="s">
        <v>546</v>
      </c>
      <c r="CR178" s="29">
        <v>1</v>
      </c>
      <c r="CS178" s="29">
        <v>20</v>
      </c>
      <c r="CT178" s="29" t="s">
        <v>551</v>
      </c>
      <c r="CU178" s="30">
        <v>4.8</v>
      </c>
      <c r="CV178" s="29">
        <v>1</v>
      </c>
      <c r="CW178" s="29">
        <v>4</v>
      </c>
      <c r="CX178" s="29" t="s">
        <v>551</v>
      </c>
      <c r="CY178" s="62">
        <v>0.96</v>
      </c>
      <c r="DA178" s="29">
        <v>999</v>
      </c>
      <c r="DB178" s="29" t="s">
        <v>551</v>
      </c>
      <c r="DC178" s="62"/>
      <c r="DD178" s="29" t="s">
        <v>548</v>
      </c>
      <c r="DE178" s="29" t="s">
        <v>548</v>
      </c>
      <c r="DF178" s="29" t="s">
        <v>548</v>
      </c>
      <c r="DG178" s="29" t="s">
        <v>548</v>
      </c>
      <c r="DH178" s="29" t="s">
        <v>548</v>
      </c>
      <c r="DI178" s="29">
        <v>5</v>
      </c>
      <c r="DJ178" s="29">
        <v>5</v>
      </c>
      <c r="DK178" s="29" t="s">
        <v>1520</v>
      </c>
      <c r="DL178" s="29" t="s">
        <v>1521</v>
      </c>
      <c r="DM178" s="29">
        <v>-4.3554658889770508</v>
      </c>
      <c r="DN178" s="29">
        <v>35.471359252929688</v>
      </c>
      <c r="DO178" s="29">
        <v>1668.5999755859375</v>
      </c>
      <c r="DP178" s="29">
        <v>10</v>
      </c>
      <c r="DQ178" s="29">
        <v>1705231439</v>
      </c>
      <c r="DR178" s="29" t="s">
        <v>1522</v>
      </c>
      <c r="DS178" s="31">
        <v>42908.292534722219</v>
      </c>
      <c r="DT178" s="31">
        <v>42894.464143518519</v>
      </c>
      <c r="DU178" s="31">
        <v>42908.287523148145</v>
      </c>
      <c r="DV178" s="32">
        <v>42894</v>
      </c>
      <c r="EC178" s="29">
        <f>IF(EQ178&lt;EP178,"FALSEE",1)</f>
        <v>1</v>
      </c>
      <c r="EE178" s="29" t="s">
        <v>2174</v>
      </c>
      <c r="EF178" s="29">
        <v>5.9934930801400004</v>
      </c>
      <c r="EG178" s="29" t="str">
        <f>IF(EF178&lt;0.5,"Depression",IF(EF178&lt;2,"Very gentle",IF(EF178&lt;5,"Gentle",IF(EF178&lt;9,"Moderate",IF(EF178&lt;15,"Strong",IF(EF178&lt;30,"Steep",IF(EF178&lt;1,"Very steep")))))))</f>
        <v>Moderate</v>
      </c>
      <c r="EH178" s="29" t="s">
        <v>2178</v>
      </c>
      <c r="EI178" s="29">
        <v>0.45321798324599999</v>
      </c>
      <c r="EJ178" s="43">
        <v>7.2720131874099998</v>
      </c>
      <c r="EK178" s="43"/>
      <c r="EL178" s="43"/>
      <c r="EM178" s="43"/>
      <c r="EN178" s="43"/>
      <c r="EO178" s="60"/>
      <c r="EP178" s="43"/>
      <c r="EQ178" s="43"/>
      <c r="ER178" s="43"/>
      <c r="ES178" s="64">
        <f>IF(CU178&gt;0.000001,CU178*352,0)</f>
        <v>1689.6</v>
      </c>
      <c r="ET178" s="64">
        <f>IF(DC178&gt;0.0001,DC178*682,0)</f>
        <v>0</v>
      </c>
      <c r="EU178" s="64">
        <f>CY178*795</f>
        <v>763.19999999999993</v>
      </c>
      <c r="EV178" s="64">
        <f>ES178+ET178+EU178</f>
        <v>2452.7999999999997</v>
      </c>
      <c r="EW178" s="64">
        <f>IF(AA178="YES",3.5*18.2,0)</f>
        <v>63.699999999999996</v>
      </c>
      <c r="EX178" s="64">
        <f>EV178-EW178</f>
        <v>2389.1</v>
      </c>
    </row>
    <row r="179" spans="1:154" ht="15" x14ac:dyDescent="0.2">
      <c r="A179" s="29" t="s">
        <v>789</v>
      </c>
      <c r="B179" s="29">
        <v>15</v>
      </c>
      <c r="C179" s="29" t="s">
        <v>260</v>
      </c>
      <c r="D179" s="29" t="s">
        <v>260</v>
      </c>
      <c r="E179" s="29" t="str">
        <f>VLOOKUP(D179,Harvest_2017_Formulae!$C$2:$D$968,2,FALSE)</f>
        <v>Sangara</v>
      </c>
      <c r="F179" s="29" t="s">
        <v>1014</v>
      </c>
      <c r="G179" s="29">
        <v>0</v>
      </c>
      <c r="H179" s="61" t="str">
        <f>IF(G179&lt;0.05,"Homefield",IF(G179&lt;0.5,"Midfield","outfield"))</f>
        <v>Homefield</v>
      </c>
      <c r="I179" s="29" t="s">
        <v>557</v>
      </c>
      <c r="J179" s="61" t="s">
        <v>2234</v>
      </c>
      <c r="K179" s="61" t="s">
        <v>2234</v>
      </c>
      <c r="L179" s="67">
        <v>0</v>
      </c>
      <c r="O179" s="29" t="s">
        <v>547</v>
      </c>
      <c r="Q179" s="67">
        <v>1</v>
      </c>
      <c r="R179" s="29" t="s">
        <v>615</v>
      </c>
      <c r="S179" s="29">
        <v>3</v>
      </c>
      <c r="T179" s="29">
        <v>2.5</v>
      </c>
      <c r="U179" s="29" t="s">
        <v>560</v>
      </c>
      <c r="W179" s="29" t="s">
        <v>635</v>
      </c>
      <c r="Y179" s="29">
        <v>10000</v>
      </c>
      <c r="Z179" s="29" t="s">
        <v>547</v>
      </c>
      <c r="AA179" s="61" t="s">
        <v>548</v>
      </c>
      <c r="AB179" s="29" t="s">
        <v>568</v>
      </c>
      <c r="AC179" s="67">
        <v>0</v>
      </c>
      <c r="AD179" s="29" t="s">
        <v>547</v>
      </c>
      <c r="AF179" s="29" t="s">
        <v>547</v>
      </c>
      <c r="AG179" s="29" t="s">
        <v>547</v>
      </c>
      <c r="AH179" s="29" t="s">
        <v>548</v>
      </c>
      <c r="AI179" s="29" t="s">
        <v>546</v>
      </c>
      <c r="AJ179" s="29" t="s">
        <v>547</v>
      </c>
      <c r="AK179" s="67">
        <v>0</v>
      </c>
      <c r="AL179" s="29" t="s">
        <v>547</v>
      </c>
      <c r="AO179" s="29" t="s">
        <v>547</v>
      </c>
      <c r="AP179" s="29" t="s">
        <v>547</v>
      </c>
      <c r="AQ179" s="4">
        <f>Q179+AK179</f>
        <v>1</v>
      </c>
      <c r="AR179" s="4">
        <f>L179+AC179</f>
        <v>0</v>
      </c>
      <c r="AS179" t="str">
        <f>AQ179&amp;AR179</f>
        <v>10</v>
      </c>
      <c r="AT179" s="49">
        <f>AQ179-AR179</f>
        <v>1</v>
      </c>
      <c r="AU179">
        <v>2</v>
      </c>
      <c r="AV179" s="29" t="s">
        <v>548</v>
      </c>
      <c r="AW179" s="29">
        <v>3</v>
      </c>
      <c r="AX179" s="29" t="s">
        <v>546</v>
      </c>
      <c r="BA179" s="29" t="s">
        <v>548</v>
      </c>
      <c r="BB179" s="29" t="s">
        <v>569</v>
      </c>
      <c r="BC179" s="29">
        <v>4.5</v>
      </c>
      <c r="BD179" s="29">
        <f>AW179+AZ179</f>
        <v>3</v>
      </c>
      <c r="BE179" s="29">
        <f>BD179+BC179</f>
        <v>7.5</v>
      </c>
      <c r="BF179" s="29" t="s">
        <v>548</v>
      </c>
      <c r="BG179" s="29" t="s">
        <v>548</v>
      </c>
      <c r="BH179" s="29" t="s">
        <v>548</v>
      </c>
      <c r="BI179" s="29" t="s">
        <v>548</v>
      </c>
      <c r="BJ179" s="29" t="s">
        <v>548</v>
      </c>
      <c r="BK179" s="29" t="s">
        <v>546</v>
      </c>
      <c r="BL179" s="29">
        <v>6</v>
      </c>
      <c r="BM179" s="29" t="s">
        <v>580</v>
      </c>
      <c r="BN179" s="29">
        <v>10</v>
      </c>
      <c r="BO179" s="29" t="s">
        <v>580</v>
      </c>
      <c r="BP179" s="29">
        <v>8</v>
      </c>
      <c r="BQ179" s="29" t="s">
        <v>580</v>
      </c>
      <c r="BR179" s="29">
        <v>7</v>
      </c>
      <c r="BS179" s="29" t="s">
        <v>580</v>
      </c>
      <c r="BT179" s="29">
        <v>3</v>
      </c>
      <c r="BU179" s="29" t="s">
        <v>562</v>
      </c>
      <c r="BW179" s="29">
        <f>(BL179*1)+(BN179*0.1)+(BP179*0.01)+(BR179*0.1)+(BT179*0.3)+(BV179*0.4)</f>
        <v>8.68</v>
      </c>
      <c r="BX179" s="29" t="s">
        <v>2220</v>
      </c>
      <c r="BY179" s="29">
        <v>1</v>
      </c>
      <c r="BZ179" s="29">
        <v>1</v>
      </c>
      <c r="CA179" s="29">
        <v>5</v>
      </c>
      <c r="CB179" s="29">
        <v>7</v>
      </c>
      <c r="CC179" s="29">
        <v>0</v>
      </c>
      <c r="CD179" s="29">
        <v>1</v>
      </c>
      <c r="CE179" s="29">
        <v>2</v>
      </c>
      <c r="CF179" s="29" t="s">
        <v>547</v>
      </c>
      <c r="CG179" s="29">
        <f>(CC179*15)+(CD179*0.8)+(CE179*0.3)+((AW179+AZ179)*15)</f>
        <v>46.4</v>
      </c>
      <c r="CH179" s="29" t="s">
        <v>2220</v>
      </c>
      <c r="CI179" s="29">
        <f>(BL179*1)+(BN179*0.1)+(BP179*0.01)+(BR179*0.1)+(BT179*0.3)+(BV179*0.4)+(CC179*15)+(CD179*0.8)+(CE179*0.3)+((AW179+AZ179)*15)</f>
        <v>55.08</v>
      </c>
      <c r="CJ179" s="29" t="s">
        <v>548</v>
      </c>
      <c r="CK179" s="29" t="s">
        <v>797</v>
      </c>
      <c r="CL179" s="29" t="s">
        <v>546</v>
      </c>
      <c r="CM179" s="29" t="s">
        <v>547</v>
      </c>
      <c r="CN179" s="29">
        <v>0.25</v>
      </c>
      <c r="CO179" s="29">
        <v>3.5</v>
      </c>
      <c r="CP179" s="29">
        <v>0</v>
      </c>
      <c r="CQ179" s="29" t="s">
        <v>548</v>
      </c>
      <c r="CR179" s="29">
        <v>1</v>
      </c>
      <c r="CS179" s="29">
        <v>18</v>
      </c>
      <c r="CT179" s="29" t="s">
        <v>551</v>
      </c>
      <c r="CU179" s="30">
        <v>4.32</v>
      </c>
      <c r="CW179" s="29">
        <v>999</v>
      </c>
      <c r="CX179" s="29" t="s">
        <v>551</v>
      </c>
      <c r="CY179" s="62"/>
      <c r="CZ179" s="29">
        <v>1</v>
      </c>
      <c r="DA179" s="29">
        <v>2</v>
      </c>
      <c r="DB179" s="29" t="s">
        <v>551</v>
      </c>
      <c r="DC179" s="62">
        <v>0.48</v>
      </c>
      <c r="DD179" s="29" t="s">
        <v>548</v>
      </c>
      <c r="DE179" s="29" t="s">
        <v>546</v>
      </c>
      <c r="DF179" s="29" t="s">
        <v>548</v>
      </c>
      <c r="DG179" s="29" t="s">
        <v>546</v>
      </c>
      <c r="DH179" s="29" t="s">
        <v>548</v>
      </c>
      <c r="DI179" s="29">
        <v>3</v>
      </c>
      <c r="DJ179" s="29">
        <v>3</v>
      </c>
      <c r="DK179" s="29" t="s">
        <v>1255</v>
      </c>
      <c r="DL179" s="29" t="s">
        <v>1256</v>
      </c>
      <c r="DM179" s="29">
        <v>-4.2891998291015625</v>
      </c>
      <c r="DN179" s="29">
        <v>35.631736755371094</v>
      </c>
      <c r="DO179" s="29">
        <v>1412.699951171875</v>
      </c>
      <c r="DP179" s="29">
        <v>10</v>
      </c>
      <c r="DQ179" s="29">
        <v>1705231439</v>
      </c>
      <c r="DR179" s="29" t="s">
        <v>1257</v>
      </c>
      <c r="DS179" s="31">
        <v>42907.841643518521</v>
      </c>
      <c r="DT179" s="31">
        <v>42900.595636574071</v>
      </c>
      <c r="DU179" s="31">
        <v>42901.347002314811</v>
      </c>
      <c r="DV179" s="32">
        <v>42748</v>
      </c>
      <c r="DW179" s="39"/>
      <c r="DX179" s="44">
        <v>3.9316483516483514</v>
      </c>
      <c r="DY179" s="44">
        <v>3.9758241758241764</v>
      </c>
      <c r="DZ179" s="44">
        <v>1.6735714285714287</v>
      </c>
      <c r="EA179" s="44">
        <v>2.6794047619047618</v>
      </c>
      <c r="EC179" s="29">
        <f>IF(EQ179&lt;EP179,"FALSEE",1)</f>
        <v>1</v>
      </c>
      <c r="EE179" s="29" t="s">
        <v>2184</v>
      </c>
      <c r="EF179" s="29">
        <v>7.1427602767899998</v>
      </c>
      <c r="EG179" s="29" t="str">
        <f>IF(EF179&lt;0.5,"Depression",IF(EF179&lt;2,"Very gentle",IF(EF179&lt;5,"Gentle",IF(EF179&lt;9,"Moderate",IF(EF179&lt;15,"Strong",IF(EF179&lt;30,"Steep",IF(EF179&lt;1,"Very steep")))))))</f>
        <v>Moderate</v>
      </c>
      <c r="EH179" s="29" t="s">
        <v>2176</v>
      </c>
      <c r="EI179" s="29">
        <v>-1.08769440651</v>
      </c>
      <c r="EJ179" s="43">
        <v>8.0898132324199992</v>
      </c>
      <c r="EK179" s="43">
        <f>VLOOKUP(D179,[1]SoilData!$G$15:$K$237,5,FALSE)</f>
        <v>67.109727432360799</v>
      </c>
      <c r="EL179" s="43">
        <f>VLOOKUP(D179,[1]SoilData!$G$245:$K$451,5,FALSE)</f>
        <v>247.81986358543793</v>
      </c>
      <c r="EM179" s="43">
        <f>VLOOKUP(D179,[1]SoilData!$G$15:$M$238,7,FALSE)</f>
        <v>0.46100000000000002</v>
      </c>
      <c r="EN179" s="43">
        <f>VLOOKUP(D179,[1]SoilData!$G$245:$M$454,7,FALSE)</f>
        <v>0.86399999999999999</v>
      </c>
      <c r="EO179" s="60">
        <f>EM179-EN179</f>
        <v>-0.40299999999999997</v>
      </c>
      <c r="EP179" s="44">
        <f>AVERAGE(DZ179:EA179)</f>
        <v>2.1764880952380952</v>
      </c>
      <c r="EQ179" s="44">
        <f>AVERAGE(DX179:DY179)</f>
        <v>3.9537362637362641</v>
      </c>
      <c r="ER179" s="43">
        <f>EQ179-EP179</f>
        <v>1.7772481684981689</v>
      </c>
      <c r="ES179" s="64">
        <f>IF(CU179&gt;0.000001,CU179*352,0)</f>
        <v>1520.64</v>
      </c>
      <c r="ET179" s="64">
        <f>IF(DC179&gt;0.0001,DC179*682,0)</f>
        <v>327.36</v>
      </c>
      <c r="EU179" s="64">
        <f>CY179*795</f>
        <v>0</v>
      </c>
      <c r="EV179" s="64">
        <f>ES179+ET179+EU179</f>
        <v>1848</v>
      </c>
      <c r="EW179" s="64">
        <f>IF(AA179="YES",3.5*18.2,0)</f>
        <v>63.699999999999996</v>
      </c>
      <c r="EX179" s="64">
        <f>EV179-EW179</f>
        <v>1784.3</v>
      </c>
    </row>
    <row r="180" spans="1:154" ht="15" x14ac:dyDescent="0.2">
      <c r="A180" s="29" t="s">
        <v>789</v>
      </c>
      <c r="B180" s="29">
        <v>78</v>
      </c>
      <c r="C180" s="29" t="s">
        <v>382</v>
      </c>
      <c r="D180" s="29" t="s">
        <v>382</v>
      </c>
      <c r="E180" s="29" t="str">
        <f>VLOOKUP(D180,Harvest_2017_Formulae!$C$2:$D$968,2,FALSE)</f>
        <v>SABILO</v>
      </c>
      <c r="F180" s="29" t="s">
        <v>1175</v>
      </c>
      <c r="G180" s="29">
        <v>0</v>
      </c>
      <c r="H180" s="61" t="str">
        <f>IF(G180&lt;0.05,"Homefield",IF(G180&lt;0.5,"Midfield","outfield"))</f>
        <v>Homefield</v>
      </c>
      <c r="I180" s="29" t="s">
        <v>557</v>
      </c>
      <c r="J180" s="61" t="s">
        <v>2233</v>
      </c>
      <c r="K180" s="61" t="s">
        <v>2233</v>
      </c>
      <c r="L180" s="67">
        <v>0</v>
      </c>
      <c r="O180" s="29" t="s">
        <v>547</v>
      </c>
      <c r="Q180" s="67">
        <v>1</v>
      </c>
      <c r="R180" s="29" t="s">
        <v>942</v>
      </c>
      <c r="S180" s="29">
        <v>15</v>
      </c>
      <c r="T180" s="29">
        <v>1</v>
      </c>
      <c r="U180" s="29" t="s">
        <v>560</v>
      </c>
      <c r="W180" s="29" t="s">
        <v>561</v>
      </c>
      <c r="Y180" s="29">
        <v>10000</v>
      </c>
      <c r="Z180" s="29" t="s">
        <v>547</v>
      </c>
      <c r="AA180" s="61" t="s">
        <v>548</v>
      </c>
      <c r="AB180" s="29" t="s">
        <v>568</v>
      </c>
      <c r="AC180" s="67">
        <v>0</v>
      </c>
      <c r="AD180" s="29" t="s">
        <v>547</v>
      </c>
      <c r="AF180" s="29" t="s">
        <v>547</v>
      </c>
      <c r="AG180" s="29" t="s">
        <v>547</v>
      </c>
      <c r="AH180" s="29" t="s">
        <v>548</v>
      </c>
      <c r="AI180" s="29" t="s">
        <v>546</v>
      </c>
      <c r="AK180" s="67">
        <v>0</v>
      </c>
      <c r="AL180" s="29" t="s">
        <v>547</v>
      </c>
      <c r="AO180" s="29" t="s">
        <v>547</v>
      </c>
      <c r="AP180" s="29" t="s">
        <v>547</v>
      </c>
      <c r="AQ180" s="4">
        <f>Q180+AK180</f>
        <v>1</v>
      </c>
      <c r="AR180" s="4">
        <f>L180+AC180</f>
        <v>0</v>
      </c>
      <c r="AS180" t="str">
        <f>AQ180&amp;AR180</f>
        <v>10</v>
      </c>
      <c r="AT180" s="49">
        <f>AQ180-AR180</f>
        <v>1</v>
      </c>
      <c r="AU180">
        <v>2</v>
      </c>
      <c r="AV180" s="29" t="s">
        <v>548</v>
      </c>
      <c r="AW180" s="29">
        <v>2</v>
      </c>
      <c r="AX180" s="29" t="s">
        <v>548</v>
      </c>
      <c r="AY180" s="29">
        <v>3</v>
      </c>
      <c r="AZ180" s="29">
        <v>6</v>
      </c>
      <c r="BA180" s="29" t="s">
        <v>546</v>
      </c>
      <c r="BB180" s="29" t="s">
        <v>547</v>
      </c>
      <c r="BD180" s="29">
        <f>AW180+AZ180</f>
        <v>8</v>
      </c>
      <c r="BE180" s="29">
        <f>BD180+BC180</f>
        <v>8</v>
      </c>
      <c r="BF180" s="29" t="s">
        <v>548</v>
      </c>
      <c r="BG180" s="29" t="s">
        <v>548</v>
      </c>
      <c r="BH180" s="29" t="s">
        <v>548</v>
      </c>
      <c r="BI180" s="29" t="s">
        <v>548</v>
      </c>
      <c r="BJ180" s="29" t="s">
        <v>546</v>
      </c>
      <c r="BK180" s="29" t="s">
        <v>546</v>
      </c>
      <c r="BL180" s="29">
        <v>7</v>
      </c>
      <c r="BM180" s="29" t="s">
        <v>580</v>
      </c>
      <c r="BN180" s="29">
        <v>13</v>
      </c>
      <c r="BO180" s="29" t="s">
        <v>580</v>
      </c>
      <c r="BP180" s="29">
        <v>13</v>
      </c>
      <c r="BQ180" s="29" t="s">
        <v>580</v>
      </c>
      <c r="BR180" s="29">
        <v>8</v>
      </c>
      <c r="BS180" s="29" t="s">
        <v>580</v>
      </c>
      <c r="BU180" s="29" t="s">
        <v>547</v>
      </c>
      <c r="BW180" s="29">
        <f>(BL180*1)+(BN180*0.1)+(BP180*0.01)+(BR180*0.1)+(BT180*0.3)+(BV180*0.4)</f>
        <v>9.2300000000000022</v>
      </c>
      <c r="BX180" s="29" t="s">
        <v>2220</v>
      </c>
      <c r="BY180" s="29">
        <v>3</v>
      </c>
      <c r="BZ180" s="29">
        <v>2</v>
      </c>
      <c r="CA180" s="29">
        <v>6</v>
      </c>
      <c r="CB180" s="29">
        <v>11</v>
      </c>
      <c r="CC180" s="29">
        <v>0</v>
      </c>
      <c r="CD180" s="29">
        <v>1</v>
      </c>
      <c r="CE180" s="29">
        <v>1</v>
      </c>
      <c r="CG180" s="29">
        <f>(CC180*15)+(CD180*0.8)+(CE180*0.3)+((AW180+AZ180)*15)</f>
        <v>121.1</v>
      </c>
      <c r="CH180" s="29" t="s">
        <v>2221</v>
      </c>
      <c r="CI180" s="29">
        <f>(BL180*1)+(BN180*0.1)+(BP180*0.01)+(BR180*0.1)+(BT180*0.3)+(BV180*0.4)+(CC180*15)+(CD180*0.8)+(CE180*0.3)+((AW180+AZ180)*15)</f>
        <v>130.33000000000001</v>
      </c>
      <c r="CJ180" s="29" t="s">
        <v>548</v>
      </c>
      <c r="CK180" s="29" t="s">
        <v>797</v>
      </c>
      <c r="CL180" s="29" t="s">
        <v>548</v>
      </c>
      <c r="CM180" s="29" t="s">
        <v>793</v>
      </c>
      <c r="CN180" s="29">
        <v>0.25</v>
      </c>
      <c r="CO180" s="29">
        <v>7.25</v>
      </c>
      <c r="CP180" s="29">
        <v>0</v>
      </c>
      <c r="CQ180" s="29" t="s">
        <v>548</v>
      </c>
      <c r="CR180" s="29">
        <v>1</v>
      </c>
      <c r="CS180" s="29">
        <v>6</v>
      </c>
      <c r="CT180" s="29" t="s">
        <v>551</v>
      </c>
      <c r="CU180" s="30">
        <v>1.4400000000000002</v>
      </c>
      <c r="CW180" s="29">
        <v>999</v>
      </c>
      <c r="CX180" s="29" t="s">
        <v>551</v>
      </c>
      <c r="CY180" s="62"/>
      <c r="CZ180" s="29">
        <v>1</v>
      </c>
      <c r="DA180" s="29">
        <v>1.5</v>
      </c>
      <c r="DB180" s="29" t="s">
        <v>551</v>
      </c>
      <c r="DC180" s="62">
        <v>0.36</v>
      </c>
      <c r="DD180" s="29" t="s">
        <v>546</v>
      </c>
      <c r="DE180" s="29" t="s">
        <v>548</v>
      </c>
      <c r="DF180" s="29" t="s">
        <v>546</v>
      </c>
      <c r="DG180" s="29" t="s">
        <v>548</v>
      </c>
      <c r="DH180" s="29" t="s">
        <v>546</v>
      </c>
      <c r="DI180" s="29">
        <v>2</v>
      </c>
      <c r="DJ180" s="29">
        <v>4</v>
      </c>
      <c r="DK180" s="29" t="s">
        <v>1224</v>
      </c>
      <c r="DL180" s="29" t="s">
        <v>1225</v>
      </c>
      <c r="DM180" s="29">
        <v>-4.3346128463745117</v>
      </c>
      <c r="DN180" s="29">
        <v>35.475700378417969</v>
      </c>
      <c r="DO180" s="29">
        <v>1582.699951171875</v>
      </c>
      <c r="DP180" s="29">
        <v>15</v>
      </c>
      <c r="DQ180" s="29">
        <v>1705231439</v>
      </c>
      <c r="DR180" s="29" t="s">
        <v>1226</v>
      </c>
      <c r="DS180" s="31">
        <v>42923.387118055558</v>
      </c>
      <c r="DT180" s="31">
        <v>42906.642939814818</v>
      </c>
      <c r="DU180" s="31">
        <v>42923.383506944447</v>
      </c>
      <c r="DV180" s="32">
        <v>42768</v>
      </c>
      <c r="DW180" s="34"/>
      <c r="DX180" s="44"/>
      <c r="DY180" s="44">
        <v>2.9973099415204687</v>
      </c>
      <c r="DZ180" s="44">
        <v>2.1672514619883048</v>
      </c>
      <c r="EA180" s="44">
        <v>2.5178362573099422</v>
      </c>
      <c r="EC180" s="29">
        <f>IF(EQ180&lt;EP180,"FALSEE",1)</f>
        <v>1</v>
      </c>
      <c r="EE180" s="29" t="s">
        <v>2171</v>
      </c>
      <c r="EF180" s="29">
        <v>1.38136291504</v>
      </c>
      <c r="EG180" s="29" t="str">
        <f>IF(EF180&lt;0.5,"Depression",IF(EF180&lt;2,"Very gentle",IF(EF180&lt;5,"Gentle",IF(EF180&lt;9,"Moderate",IF(EF180&lt;15,"Strong",IF(EF180&lt;30,"Steep",IF(EF180&lt;1,"Very steep")))))))</f>
        <v>Very gentle</v>
      </c>
      <c r="EH180" s="29" t="s">
        <v>2173</v>
      </c>
      <c r="EI180" s="29">
        <v>8.4776775111099995E-6</v>
      </c>
      <c r="EJ180" s="43">
        <v>11.080575942999999</v>
      </c>
      <c r="EK180" s="43">
        <f>VLOOKUP(D180,[1]SoilData!$G$15:$K$237,5,FALSE)</f>
        <v>367.93050512832872</v>
      </c>
      <c r="EL180" s="43">
        <f>VLOOKUP(D180,[1]SoilData!$G$245:$K$451,5,FALSE)</f>
        <v>302.81396446284987</v>
      </c>
      <c r="EM180" s="43">
        <f>VLOOKUP(D180,[1]SoilData!$G$15:$M$238,7,FALSE)</f>
        <v>1.5589999999999999</v>
      </c>
      <c r="EN180" s="43">
        <f>VLOOKUP(D180,[1]SoilData!$G$245:$M$454,7,FALSE)</f>
        <v>1.304</v>
      </c>
      <c r="EO180" s="60">
        <f>EM180-EN180</f>
        <v>0.25499999999999989</v>
      </c>
      <c r="EP180" s="44">
        <f>AVERAGE(DZ180:EA180)</f>
        <v>2.3425438596491235</v>
      </c>
      <c r="EQ180" s="44">
        <f>AVERAGE(DX180:DY180)</f>
        <v>2.9973099415204687</v>
      </c>
      <c r="ER180" s="43">
        <f>EQ180-EP180</f>
        <v>0.65476608187134522</v>
      </c>
      <c r="ES180" s="64">
        <f>IF(CU180&gt;0.000001,CU180*352,0)</f>
        <v>506.88000000000005</v>
      </c>
      <c r="ET180" s="64">
        <f>IF(DC180&gt;0.0001,DC180*682,0)</f>
        <v>245.51999999999998</v>
      </c>
      <c r="EU180" s="64">
        <f>CY180*795</f>
        <v>0</v>
      </c>
      <c r="EV180" s="64">
        <f>ES180+ET180+EU180</f>
        <v>752.40000000000009</v>
      </c>
      <c r="EW180" s="64">
        <f>IF(AA180="YES",3.5*18.2,0)</f>
        <v>63.699999999999996</v>
      </c>
      <c r="EX180" s="64">
        <f>EV180-EW180</f>
        <v>688.7</v>
      </c>
    </row>
    <row r="181" spans="1:154" ht="15" x14ac:dyDescent="0.2">
      <c r="A181" s="29" t="s">
        <v>789</v>
      </c>
      <c r="B181" s="29">
        <v>47</v>
      </c>
      <c r="C181" s="29" t="s">
        <v>363</v>
      </c>
      <c r="D181" s="29" t="s">
        <v>363</v>
      </c>
      <c r="E181" s="29" t="str">
        <f>VLOOKUP(D181,Harvest_2017_Formulae!$C$2:$D$968,2,FALSE)</f>
        <v>MANDI</v>
      </c>
      <c r="F181" s="29" t="s">
        <v>1014</v>
      </c>
      <c r="G181" s="29">
        <v>0</v>
      </c>
      <c r="H181" s="61" t="str">
        <f>IF(G181&lt;0.05,"Homefield",IF(G181&lt;0.5,"Midfield","outfield"))</f>
        <v>Homefield</v>
      </c>
      <c r="I181" s="29" t="s">
        <v>557</v>
      </c>
      <c r="J181" s="61" t="s">
        <v>2233</v>
      </c>
      <c r="K181" s="61" t="s">
        <v>2233</v>
      </c>
      <c r="L181" s="67">
        <v>0</v>
      </c>
      <c r="O181" s="29" t="s">
        <v>547</v>
      </c>
      <c r="Q181" s="67">
        <v>1</v>
      </c>
      <c r="R181" s="29" t="s">
        <v>942</v>
      </c>
      <c r="S181" s="29">
        <v>5</v>
      </c>
      <c r="T181" s="29">
        <v>1</v>
      </c>
      <c r="U181" s="29" t="s">
        <v>560</v>
      </c>
      <c r="W181" s="29" t="s">
        <v>819</v>
      </c>
      <c r="X181" s="29">
        <v>999</v>
      </c>
      <c r="Y181" s="29">
        <v>5000</v>
      </c>
      <c r="Z181" s="29" t="s">
        <v>547</v>
      </c>
      <c r="AA181" s="61" t="s">
        <v>548</v>
      </c>
      <c r="AB181" s="29" t="s">
        <v>568</v>
      </c>
      <c r="AC181" s="67">
        <v>0</v>
      </c>
      <c r="AD181" s="29" t="s">
        <v>547</v>
      </c>
      <c r="AF181" s="29" t="s">
        <v>547</v>
      </c>
      <c r="AG181" s="29" t="s">
        <v>547</v>
      </c>
      <c r="AH181" s="29" t="s">
        <v>548</v>
      </c>
      <c r="AI181" s="29" t="s">
        <v>546</v>
      </c>
      <c r="AK181" s="67">
        <v>0</v>
      </c>
      <c r="AL181" s="29" t="s">
        <v>547</v>
      </c>
      <c r="AO181" s="29" t="s">
        <v>547</v>
      </c>
      <c r="AP181" s="29" t="s">
        <v>547</v>
      </c>
      <c r="AQ181" s="4">
        <f>Q181+AK181</f>
        <v>1</v>
      </c>
      <c r="AR181" s="4">
        <f>L181+AC181</f>
        <v>0</v>
      </c>
      <c r="AS181" t="str">
        <f>AQ181&amp;AR181</f>
        <v>10</v>
      </c>
      <c r="AT181" s="49">
        <f>AQ181-AR181</f>
        <v>1</v>
      </c>
      <c r="AU181">
        <v>2</v>
      </c>
      <c r="AV181" s="29" t="s">
        <v>548</v>
      </c>
      <c r="AW181" s="29">
        <v>7</v>
      </c>
      <c r="AX181" s="29" t="s">
        <v>548</v>
      </c>
      <c r="AY181" s="29">
        <v>1</v>
      </c>
      <c r="AZ181" s="29">
        <v>1</v>
      </c>
      <c r="BA181" s="29" t="s">
        <v>546</v>
      </c>
      <c r="BB181" s="29" t="s">
        <v>547</v>
      </c>
      <c r="BD181" s="29">
        <f>AW181+AZ181</f>
        <v>8</v>
      </c>
      <c r="BE181" s="29">
        <f>BD181+BC181</f>
        <v>8</v>
      </c>
      <c r="BF181" s="29" t="s">
        <v>548</v>
      </c>
      <c r="BG181" s="29" t="s">
        <v>548</v>
      </c>
      <c r="BH181" s="29" t="s">
        <v>548</v>
      </c>
      <c r="BI181" s="29" t="s">
        <v>548</v>
      </c>
      <c r="BJ181" s="29" t="s">
        <v>546</v>
      </c>
      <c r="BK181" s="29" t="s">
        <v>546</v>
      </c>
      <c r="BL181" s="29">
        <v>8</v>
      </c>
      <c r="BM181" s="29" t="s">
        <v>580</v>
      </c>
      <c r="BN181" s="29">
        <v>6</v>
      </c>
      <c r="BO181" s="29" t="s">
        <v>580</v>
      </c>
      <c r="BP181" s="29">
        <v>10</v>
      </c>
      <c r="BQ181" s="29" t="s">
        <v>580</v>
      </c>
      <c r="BR181" s="29">
        <v>7</v>
      </c>
      <c r="BS181" s="29" t="s">
        <v>580</v>
      </c>
      <c r="BU181" s="29" t="s">
        <v>547</v>
      </c>
      <c r="BW181" s="29">
        <f>(BL181*1)+(BN181*0.1)+(BP181*0.01)+(BR181*0.1)+(BT181*0.3)+(BV181*0.4)</f>
        <v>9.3999999999999986</v>
      </c>
      <c r="BX181" s="29" t="s">
        <v>2220</v>
      </c>
      <c r="BY181" s="29">
        <v>1</v>
      </c>
      <c r="BZ181" s="29">
        <v>1</v>
      </c>
      <c r="CA181" s="29">
        <v>8</v>
      </c>
      <c r="CB181" s="29">
        <v>10</v>
      </c>
      <c r="CC181" s="29">
        <v>0</v>
      </c>
      <c r="CD181" s="29">
        <v>1</v>
      </c>
      <c r="CE181" s="29">
        <v>1</v>
      </c>
      <c r="CG181" s="29">
        <f>(CC181*15)+(CD181*0.8)+(CE181*0.3)+((AW181+AZ181)*15)</f>
        <v>121.1</v>
      </c>
      <c r="CH181" s="29" t="s">
        <v>2221</v>
      </c>
      <c r="CI181" s="29">
        <f>(BL181*1)+(BN181*0.1)+(BP181*0.01)+(BR181*0.1)+(BT181*0.3)+(BV181*0.4)+(CC181*15)+(CD181*0.8)+(CE181*0.3)+((AW181+AZ181)*15)</f>
        <v>130.5</v>
      </c>
      <c r="CJ181" s="29" t="s">
        <v>548</v>
      </c>
      <c r="CK181" s="29" t="s">
        <v>1023</v>
      </c>
      <c r="CL181" s="29" t="s">
        <v>548</v>
      </c>
      <c r="CM181" s="29" t="s">
        <v>793</v>
      </c>
      <c r="CN181" s="29">
        <v>0.25</v>
      </c>
      <c r="CO181" s="29">
        <v>5</v>
      </c>
      <c r="CP181" s="29">
        <v>0</v>
      </c>
      <c r="CQ181" s="29" t="s">
        <v>548</v>
      </c>
      <c r="CR181" s="29">
        <v>1</v>
      </c>
      <c r="CS181" s="29">
        <v>8</v>
      </c>
      <c r="CT181" s="29" t="s">
        <v>551</v>
      </c>
      <c r="CU181" s="30">
        <v>1.92</v>
      </c>
      <c r="CW181" s="29">
        <v>999</v>
      </c>
      <c r="CX181" s="29" t="s">
        <v>551</v>
      </c>
      <c r="CY181" s="62"/>
      <c r="DA181" s="29">
        <v>999</v>
      </c>
      <c r="DB181" s="29" t="s">
        <v>551</v>
      </c>
      <c r="DC181" s="62"/>
      <c r="DD181" s="29" t="s">
        <v>546</v>
      </c>
      <c r="DE181" s="29" t="s">
        <v>548</v>
      </c>
      <c r="DF181" s="29" t="s">
        <v>546</v>
      </c>
      <c r="DG181" s="29" t="s">
        <v>548</v>
      </c>
      <c r="DH181" s="29" t="s">
        <v>546</v>
      </c>
      <c r="DI181" s="29">
        <v>2</v>
      </c>
      <c r="DJ181" s="29">
        <v>1</v>
      </c>
      <c r="DK181" s="29" t="s">
        <v>1024</v>
      </c>
      <c r="DL181" s="29" t="s">
        <v>1025</v>
      </c>
      <c r="DM181" s="29">
        <v>-4.3403301239013672</v>
      </c>
      <c r="DN181" s="29">
        <v>35.421199798583984</v>
      </c>
      <c r="DO181" s="29">
        <v>1633.300048828125</v>
      </c>
      <c r="DP181" s="29">
        <v>5</v>
      </c>
      <c r="DQ181" s="29">
        <v>1705231439</v>
      </c>
      <c r="DR181" s="29" t="s">
        <v>1026</v>
      </c>
      <c r="DS181" s="31">
        <v>42923.381678240738</v>
      </c>
      <c r="DT181" s="31">
        <v>42907.599710648152</v>
      </c>
      <c r="DU181" s="31">
        <v>42923.380555555559</v>
      </c>
      <c r="DV181" s="32">
        <v>42763</v>
      </c>
      <c r="DX181" s="44">
        <v>3.0330158730158736</v>
      </c>
      <c r="DY181" s="44">
        <v>3.1222222222222231</v>
      </c>
      <c r="DZ181" s="44">
        <v>3.1851851851851856</v>
      </c>
      <c r="EA181" s="44">
        <v>3.0577777777777784</v>
      </c>
      <c r="EC181" s="29" t="str">
        <f>IF(EQ181&lt;EP181,"FALSEE",1)</f>
        <v>FALSEE</v>
      </c>
      <c r="EE181" s="29" t="s">
        <v>2171</v>
      </c>
      <c r="EF181" s="29">
        <v>3.7037451267199999</v>
      </c>
      <c r="EG181" s="29" t="str">
        <f>IF(EF181&lt;0.5,"Depression",IF(EF181&lt;2,"Very gentle",IF(EF181&lt;5,"Gentle",IF(EF181&lt;9,"Moderate",IF(EF181&lt;15,"Strong",IF(EF181&lt;30,"Steep",IF(EF181&lt;1,"Very steep")))))))</f>
        <v>Gentle</v>
      </c>
      <c r="EH181" s="29" t="s">
        <v>2173</v>
      </c>
      <c r="EI181" s="29">
        <v>-0.18127532303300001</v>
      </c>
      <c r="EJ181" s="43">
        <v>8.8814735412600001</v>
      </c>
      <c r="EK181" s="43"/>
      <c r="EL181" s="43">
        <f>VLOOKUP(D181,[1]SoilData!$G$245:$K$451,5,FALSE)</f>
        <v>297.70678480281219</v>
      </c>
      <c r="EM181" s="43"/>
      <c r="EN181" s="43">
        <f>VLOOKUP(D181,[1]SoilData!$G$245:$M$454,7,FALSE)</f>
        <v>1.4630000000000001</v>
      </c>
      <c r="EO181" s="60"/>
      <c r="EP181" s="44">
        <f>AVERAGE(DZ181:EA181)</f>
        <v>3.121481481481482</v>
      </c>
      <c r="EQ181" s="44">
        <f>AVERAGE(DX181:DY181)</f>
        <v>3.0776190476190486</v>
      </c>
      <c r="ER181" s="43">
        <f>EQ181-EP181</f>
        <v>-4.3862433862433381E-2</v>
      </c>
      <c r="ES181" s="64">
        <f>IF(CU181&gt;0.000001,CU181*352,0)</f>
        <v>675.83999999999992</v>
      </c>
      <c r="ET181" s="64">
        <f>IF(DC181&gt;0.0001,DC181*682,0)</f>
        <v>0</v>
      </c>
      <c r="EU181" s="64">
        <f>CY181*795</f>
        <v>0</v>
      </c>
      <c r="EV181" s="64">
        <f>ES181+ET181+EU181</f>
        <v>675.83999999999992</v>
      </c>
      <c r="EW181" s="64">
        <f>IF(AA181="YES",3.5*18.2,0)</f>
        <v>63.699999999999996</v>
      </c>
      <c r="EX181" s="64">
        <f>EV181-EW181</f>
        <v>612.13999999999987</v>
      </c>
    </row>
    <row r="182" spans="1:154" ht="15" x14ac:dyDescent="0.2">
      <c r="A182" s="29" t="s">
        <v>789</v>
      </c>
      <c r="B182" s="29">
        <v>38</v>
      </c>
      <c r="C182" s="29" t="s">
        <v>1251</v>
      </c>
      <c r="D182" s="34" t="s">
        <v>259</v>
      </c>
      <c r="E182" s="29" t="str">
        <f>VLOOKUP(D182,Harvest_2017_Formulae!$C$2:$D$968,2,FALSE)</f>
        <v>Sangara</v>
      </c>
      <c r="F182" s="29" t="s">
        <v>1014</v>
      </c>
      <c r="G182" s="29">
        <v>0</v>
      </c>
      <c r="H182" s="61" t="str">
        <f>IF(G182&lt;0.05,"Homefield",IF(G182&lt;0.5,"Midfield","outfield"))</f>
        <v>Homefield</v>
      </c>
      <c r="I182" s="29" t="s">
        <v>557</v>
      </c>
      <c r="J182" s="61" t="s">
        <v>2234</v>
      </c>
      <c r="K182" s="61" t="s">
        <v>2234</v>
      </c>
      <c r="L182" s="67">
        <v>0</v>
      </c>
      <c r="O182" s="29" t="s">
        <v>547</v>
      </c>
      <c r="Q182" s="67">
        <v>1</v>
      </c>
      <c r="R182" s="29" t="s">
        <v>942</v>
      </c>
      <c r="S182" s="29">
        <v>3</v>
      </c>
      <c r="T182" s="29">
        <v>1.5</v>
      </c>
      <c r="U182" s="29" t="s">
        <v>560</v>
      </c>
      <c r="W182" s="29" t="s">
        <v>819</v>
      </c>
      <c r="X182" s="29">
        <v>999</v>
      </c>
      <c r="Z182" s="29" t="s">
        <v>831</v>
      </c>
      <c r="AA182" s="61" t="s">
        <v>548</v>
      </c>
      <c r="AB182" s="29" t="s">
        <v>568</v>
      </c>
      <c r="AC182" s="67">
        <v>0</v>
      </c>
      <c r="AD182" s="29" t="s">
        <v>547</v>
      </c>
      <c r="AF182" s="29" t="s">
        <v>547</v>
      </c>
      <c r="AG182" s="29" t="s">
        <v>547</v>
      </c>
      <c r="AH182" s="29" t="s">
        <v>548</v>
      </c>
      <c r="AI182" s="29" t="s">
        <v>546</v>
      </c>
      <c r="AK182" s="67">
        <v>0</v>
      </c>
      <c r="AL182" s="29" t="s">
        <v>547</v>
      </c>
      <c r="AO182" s="29" t="s">
        <v>547</v>
      </c>
      <c r="AP182" s="29" t="s">
        <v>547</v>
      </c>
      <c r="AQ182" s="4">
        <f>Q182+AK182</f>
        <v>1</v>
      </c>
      <c r="AR182" s="4">
        <f>L182+AC182</f>
        <v>0</v>
      </c>
      <c r="AS182" t="str">
        <f>AQ182&amp;AR182</f>
        <v>10</v>
      </c>
      <c r="AT182" s="49">
        <f>AQ182-AR182</f>
        <v>1</v>
      </c>
      <c r="AU182">
        <v>2</v>
      </c>
      <c r="AV182" s="29" t="s">
        <v>548</v>
      </c>
      <c r="AW182" s="29">
        <v>4</v>
      </c>
      <c r="AX182" s="29" t="s">
        <v>548</v>
      </c>
      <c r="AY182" s="29">
        <v>2</v>
      </c>
      <c r="AZ182" s="29">
        <v>2.75</v>
      </c>
      <c r="BA182" s="29" t="s">
        <v>546</v>
      </c>
      <c r="BB182" s="29" t="s">
        <v>547</v>
      </c>
      <c r="BD182" s="29">
        <f>AW182+AZ182</f>
        <v>6.75</v>
      </c>
      <c r="BE182" s="29">
        <f>BD182+BC182</f>
        <v>6.75</v>
      </c>
      <c r="BF182" s="29" t="s">
        <v>548</v>
      </c>
      <c r="BG182" s="29" t="s">
        <v>548</v>
      </c>
      <c r="BH182" s="29" t="s">
        <v>548</v>
      </c>
      <c r="BI182" s="29" t="s">
        <v>546</v>
      </c>
      <c r="BJ182" s="29" t="s">
        <v>546</v>
      </c>
      <c r="BK182" s="29" t="s">
        <v>546</v>
      </c>
      <c r="BL182" s="29">
        <v>8</v>
      </c>
      <c r="BM182" s="29" t="s">
        <v>580</v>
      </c>
      <c r="BN182" s="29">
        <v>15</v>
      </c>
      <c r="BO182" s="29" t="s">
        <v>580</v>
      </c>
      <c r="BP182" s="29">
        <v>10</v>
      </c>
      <c r="BQ182" s="29" t="s">
        <v>580</v>
      </c>
      <c r="BS182" s="29" t="s">
        <v>547</v>
      </c>
      <c r="BU182" s="29" t="s">
        <v>547</v>
      </c>
      <c r="BW182" s="29">
        <f>(BL182*1)+(BN182*0.1)+(BP182*0.01)+(BR182*0.1)+(BT182*0.3)+(BV182*0.4)</f>
        <v>9.6</v>
      </c>
      <c r="BX182" s="29" t="s">
        <v>2220</v>
      </c>
      <c r="BY182" s="29">
        <v>1</v>
      </c>
      <c r="BZ182" s="29">
        <v>2</v>
      </c>
      <c r="CA182" s="29">
        <v>7</v>
      </c>
      <c r="CB182" s="29">
        <v>10</v>
      </c>
      <c r="CC182" s="29">
        <v>0</v>
      </c>
      <c r="CD182" s="29">
        <v>0</v>
      </c>
      <c r="CE182" s="29">
        <v>1</v>
      </c>
      <c r="CG182" s="29">
        <f>(CC182*15)+(CD182*0.8)+(CE182*0.3)+((AW182+AZ182)*15)</f>
        <v>101.55</v>
      </c>
      <c r="CH182" s="29" t="s">
        <v>2221</v>
      </c>
      <c r="CI182" s="29">
        <f>(BL182*1)+(BN182*0.1)+(BP182*0.01)+(BR182*0.1)+(BT182*0.3)+(BV182*0.4)+(CC182*15)+(CD182*0.8)+(CE182*0.3)+((AW182+AZ182)*15)</f>
        <v>111.15</v>
      </c>
      <c r="CJ182" s="29" t="s">
        <v>548</v>
      </c>
      <c r="CK182" s="29" t="s">
        <v>797</v>
      </c>
      <c r="CL182" s="29" t="s">
        <v>546</v>
      </c>
      <c r="CM182" s="29" t="s">
        <v>547</v>
      </c>
      <c r="CN182" s="29">
        <v>0.5</v>
      </c>
      <c r="CO182" s="29">
        <v>2</v>
      </c>
      <c r="CP182" s="29">
        <v>0</v>
      </c>
      <c r="CQ182" s="29" t="s">
        <v>548</v>
      </c>
      <c r="CR182" s="29">
        <v>1</v>
      </c>
      <c r="CS182" s="29">
        <v>4</v>
      </c>
      <c r="CT182" s="29" t="s">
        <v>551</v>
      </c>
      <c r="CU182" s="30">
        <v>0.96</v>
      </c>
      <c r="CV182" s="29">
        <v>1</v>
      </c>
      <c r="CW182" s="29">
        <v>0.33000001311302185</v>
      </c>
      <c r="CX182" s="29" t="s">
        <v>551</v>
      </c>
      <c r="CY182" s="62">
        <v>7.9200003147125247E-2</v>
      </c>
      <c r="CZ182" s="29">
        <v>1</v>
      </c>
      <c r="DA182" s="29">
        <v>0.93999999761581421</v>
      </c>
      <c r="DB182" s="29" t="s">
        <v>551</v>
      </c>
      <c r="DC182" s="62">
        <v>0.22559999942779541</v>
      </c>
      <c r="DD182" s="29" t="s">
        <v>548</v>
      </c>
      <c r="DE182" s="29" t="s">
        <v>546</v>
      </c>
      <c r="DF182" s="29" t="s">
        <v>546</v>
      </c>
      <c r="DG182" s="29" t="s">
        <v>546</v>
      </c>
      <c r="DH182" s="29" t="s">
        <v>546</v>
      </c>
      <c r="DI182" s="29">
        <v>1</v>
      </c>
      <c r="DJ182" s="29">
        <v>5</v>
      </c>
      <c r="DK182" s="29" t="s">
        <v>1252</v>
      </c>
      <c r="DL182" s="29" t="s">
        <v>1253</v>
      </c>
      <c r="DM182" s="29">
        <v>-4.2796154022216797</v>
      </c>
      <c r="DN182" s="29">
        <v>35.622867584228516</v>
      </c>
      <c r="DO182" s="29">
        <v>1456.800048828125</v>
      </c>
      <c r="DP182" s="29">
        <v>5</v>
      </c>
      <c r="DQ182" s="29">
        <v>1705231439</v>
      </c>
      <c r="DR182" s="29" t="s">
        <v>1254</v>
      </c>
      <c r="DS182" s="31">
        <v>42908.292673611111</v>
      </c>
      <c r="DT182" s="31">
        <v>42899.559224537035</v>
      </c>
      <c r="DU182" s="31">
        <v>42908.289618055554</v>
      </c>
      <c r="DV182" s="32">
        <v>42745</v>
      </c>
      <c r="DX182" s="44"/>
      <c r="DY182" s="44"/>
      <c r="DZ182" s="44"/>
      <c r="EA182" s="44"/>
      <c r="EC182" s="29">
        <f>IF(EQ182&lt;EP182,"FALSEE",1)</f>
        <v>1</v>
      </c>
      <c r="EE182" s="29" t="s">
        <v>2179</v>
      </c>
      <c r="EF182" s="29">
        <v>10.1358776093</v>
      </c>
      <c r="EG182" s="29" t="str">
        <f>IF(EF182&lt;0.5,"Depression",IF(EF182&lt;2,"Very gentle",IF(EF182&lt;5,"Gentle",IF(EF182&lt;9,"Moderate",IF(EF182&lt;15,"Strong",IF(EF182&lt;30,"Steep",IF(EF182&lt;1,"Very steep")))))))</f>
        <v>Strong</v>
      </c>
      <c r="EH182" s="29" t="s">
        <v>2178</v>
      </c>
      <c r="EI182" s="29">
        <v>9.0650379657699995E-2</v>
      </c>
      <c r="EJ182" s="43">
        <v>7.9497685432400003</v>
      </c>
      <c r="EK182" s="43"/>
      <c r="EL182" s="43"/>
      <c r="EM182" s="43"/>
      <c r="EN182" s="43"/>
      <c r="EO182" s="60"/>
      <c r="EP182" s="44"/>
      <c r="EQ182" s="44"/>
      <c r="ER182" s="43"/>
      <c r="ES182" s="64">
        <f>IF(CU182&gt;0.000001,CU182*352,0)</f>
        <v>337.91999999999996</v>
      </c>
      <c r="ET182" s="64">
        <f>IF(DC182&gt;0.0001,DC182*682,0)</f>
        <v>153.85919960975647</v>
      </c>
      <c r="EU182" s="64">
        <f>CY182*795</f>
        <v>62.964002501964572</v>
      </c>
      <c r="EV182" s="64">
        <f>ES182+ET182+EU182</f>
        <v>554.74320211172108</v>
      </c>
      <c r="EW182" s="64">
        <f>IF(AA182="YES",3.5*18.2,0)</f>
        <v>63.699999999999996</v>
      </c>
      <c r="EX182" s="64">
        <f>EV182-EW182</f>
        <v>491.04320211172109</v>
      </c>
    </row>
    <row r="183" spans="1:154" ht="15" x14ac:dyDescent="0.2">
      <c r="A183" s="29" t="s">
        <v>841</v>
      </c>
      <c r="B183" s="29">
        <v>249</v>
      </c>
      <c r="C183" s="29" t="s">
        <v>926</v>
      </c>
      <c r="D183" s="33" t="s">
        <v>167</v>
      </c>
      <c r="E183" s="29" t="str">
        <f>VLOOKUP(D183,Harvest_2017_Formulae!$C$2:$D$968,2,FALSE)</f>
        <v>ENDANOGA</v>
      </c>
      <c r="F183" s="29" t="s">
        <v>843</v>
      </c>
      <c r="G183" s="29">
        <v>0</v>
      </c>
      <c r="H183" s="61" t="str">
        <f>IF(G183&lt;0.05,"Homefield",IF(G183&lt;0.5,"Midfield","outfield"))</f>
        <v>Homefield</v>
      </c>
      <c r="I183" s="29" t="s">
        <v>557</v>
      </c>
      <c r="J183" s="61" t="s">
        <v>2233</v>
      </c>
      <c r="K183" s="61" t="s">
        <v>2233</v>
      </c>
      <c r="L183" s="67">
        <v>0</v>
      </c>
      <c r="O183" s="29" t="s">
        <v>547</v>
      </c>
      <c r="Q183" s="67">
        <v>1</v>
      </c>
      <c r="R183" s="29" t="s">
        <v>615</v>
      </c>
      <c r="S183" s="29">
        <v>2</v>
      </c>
      <c r="T183" s="29">
        <v>0.5</v>
      </c>
      <c r="U183" s="29" t="s">
        <v>560</v>
      </c>
      <c r="W183" s="29" t="s">
        <v>635</v>
      </c>
      <c r="Y183" s="29">
        <v>20000</v>
      </c>
      <c r="Z183" s="29" t="s">
        <v>547</v>
      </c>
      <c r="AA183" s="61" t="s">
        <v>548</v>
      </c>
      <c r="AB183" s="29" t="s">
        <v>568</v>
      </c>
      <c r="AC183" s="67">
        <v>0</v>
      </c>
      <c r="AD183" s="29" t="s">
        <v>547</v>
      </c>
      <c r="AF183" s="29" t="s">
        <v>547</v>
      </c>
      <c r="AG183" s="29" t="s">
        <v>547</v>
      </c>
      <c r="AH183" s="29" t="s">
        <v>546</v>
      </c>
      <c r="AI183" s="29" t="s">
        <v>546</v>
      </c>
      <c r="AJ183" s="29" t="s">
        <v>547</v>
      </c>
      <c r="AK183" s="67">
        <v>0</v>
      </c>
      <c r="AL183" s="29" t="s">
        <v>547</v>
      </c>
      <c r="AO183" s="29" t="s">
        <v>547</v>
      </c>
      <c r="AP183" s="29" t="s">
        <v>547</v>
      </c>
      <c r="AQ183" s="4">
        <f>Q183+AK183</f>
        <v>1</v>
      </c>
      <c r="AR183" s="4">
        <f>L183+AC183</f>
        <v>0</v>
      </c>
      <c r="AS183" t="str">
        <f>AQ183&amp;AR183</f>
        <v>10</v>
      </c>
      <c r="AT183" s="49">
        <f>AQ183-AR183</f>
        <v>1</v>
      </c>
      <c r="AU183">
        <v>2</v>
      </c>
      <c r="AV183" s="29" t="s">
        <v>548</v>
      </c>
      <c r="AW183" s="29">
        <v>2</v>
      </c>
      <c r="AX183" s="29" t="s">
        <v>546</v>
      </c>
      <c r="BA183" s="29" t="s">
        <v>548</v>
      </c>
      <c r="BB183" s="29" t="s">
        <v>569</v>
      </c>
      <c r="BC183" s="29">
        <v>2</v>
      </c>
      <c r="BD183" s="29">
        <f>AW183+AZ183</f>
        <v>2</v>
      </c>
      <c r="BE183" s="29">
        <f>BD183+BC183</f>
        <v>4</v>
      </c>
      <c r="BF183" s="29" t="s">
        <v>548</v>
      </c>
      <c r="BG183" s="29" t="s">
        <v>546</v>
      </c>
      <c r="BH183" s="29" t="s">
        <v>548</v>
      </c>
      <c r="BI183" s="29" t="s">
        <v>548</v>
      </c>
      <c r="BJ183" s="29" t="s">
        <v>546</v>
      </c>
      <c r="BK183" s="29" t="s">
        <v>546</v>
      </c>
      <c r="BL183" s="29">
        <v>9</v>
      </c>
      <c r="BM183" s="29" t="s">
        <v>580</v>
      </c>
      <c r="BO183" s="29" t="s">
        <v>547</v>
      </c>
      <c r="BP183" s="29">
        <v>17</v>
      </c>
      <c r="BQ183" s="29" t="s">
        <v>562</v>
      </c>
      <c r="BR183" s="29">
        <v>5</v>
      </c>
      <c r="BS183" s="29" t="s">
        <v>562</v>
      </c>
      <c r="BU183" s="29" t="s">
        <v>547</v>
      </c>
      <c r="BW183" s="29">
        <f>(BL183*1)+(BN183*0.1)+(BP183*0.01)+(BR183*0.1)+(BT183*0.3)+(BV183*0.4)</f>
        <v>9.67</v>
      </c>
      <c r="BX183" s="29" t="s">
        <v>2220</v>
      </c>
      <c r="BY183" s="29">
        <v>3</v>
      </c>
      <c r="BZ183" s="29">
        <v>1</v>
      </c>
      <c r="CA183" s="29">
        <v>4</v>
      </c>
      <c r="CB183" s="29">
        <v>8</v>
      </c>
      <c r="CC183" s="29">
        <v>0</v>
      </c>
      <c r="CD183" s="29">
        <v>0</v>
      </c>
      <c r="CE183" s="29">
        <v>0</v>
      </c>
      <c r="CF183" s="29" t="s">
        <v>547</v>
      </c>
      <c r="CG183" s="29">
        <f>(CC183*15)+(CD183*0.8)+(CE183*0.3)+((AW183+AZ183)*15)</f>
        <v>30</v>
      </c>
      <c r="CH183" s="29" t="s">
        <v>2220</v>
      </c>
      <c r="CI183" s="29">
        <f>(BL183*1)+(BN183*0.1)+(BP183*0.01)+(BR183*0.1)+(BT183*0.3)+(BV183*0.4)+(CC183*15)+(CD183*0.8)+(CE183*0.3)+((AW183+AZ183)*15)</f>
        <v>39.67</v>
      </c>
      <c r="CJ183" s="29" t="s">
        <v>548</v>
      </c>
      <c r="CK183" s="29" t="s">
        <v>563</v>
      </c>
      <c r="CL183" s="29" t="s">
        <v>546</v>
      </c>
      <c r="CM183" s="29" t="s">
        <v>547</v>
      </c>
      <c r="CN183" s="29">
        <v>0.25</v>
      </c>
      <c r="CO183" s="29">
        <v>0</v>
      </c>
      <c r="CP183" s="29">
        <v>4.75</v>
      </c>
      <c r="CQ183" s="29" t="s">
        <v>546</v>
      </c>
      <c r="CR183" s="29">
        <v>3</v>
      </c>
      <c r="CS183" s="29">
        <v>15</v>
      </c>
      <c r="CT183" s="29" t="s">
        <v>551</v>
      </c>
      <c r="CU183" s="30">
        <v>1.2</v>
      </c>
      <c r="CX183" s="29" t="s">
        <v>551</v>
      </c>
      <c r="CY183" s="62"/>
      <c r="CZ183" s="29">
        <v>3</v>
      </c>
      <c r="DA183" s="29">
        <v>5</v>
      </c>
      <c r="DB183" s="29" t="s">
        <v>551</v>
      </c>
      <c r="DC183" s="62">
        <v>0.39999999999999997</v>
      </c>
      <c r="DD183" s="29" t="s">
        <v>548</v>
      </c>
      <c r="DE183" s="29" t="s">
        <v>548</v>
      </c>
      <c r="DF183" s="29" t="s">
        <v>548</v>
      </c>
      <c r="DG183" s="29" t="s">
        <v>548</v>
      </c>
      <c r="DH183" s="29" t="s">
        <v>548</v>
      </c>
      <c r="DI183" s="29">
        <v>5</v>
      </c>
      <c r="DJ183" s="29">
        <v>3</v>
      </c>
      <c r="DK183" s="29" t="s">
        <v>927</v>
      </c>
      <c r="DL183" s="29" t="s">
        <v>928</v>
      </c>
      <c r="DM183" s="29">
        <v>-4.2664370536804199</v>
      </c>
      <c r="DN183" s="29">
        <v>35.852615356445312</v>
      </c>
      <c r="DO183" s="29">
        <v>1339.9000244140625</v>
      </c>
      <c r="DP183" s="29">
        <v>5</v>
      </c>
      <c r="DQ183" s="29">
        <v>1706031849</v>
      </c>
      <c r="DR183" s="29" t="s">
        <v>929</v>
      </c>
      <c r="DS183" s="31">
        <v>42978.591354166667</v>
      </c>
      <c r="DT183" s="31">
        <v>42895.651898148149</v>
      </c>
      <c r="DU183" s="31">
        <v>42978.589467592596</v>
      </c>
      <c r="DV183" s="32">
        <v>42794</v>
      </c>
      <c r="DX183" s="44">
        <v>4.7725378787878787</v>
      </c>
      <c r="DY183" s="44">
        <v>5.5857954545454538</v>
      </c>
      <c r="DZ183" s="44">
        <v>2.7472131147540986</v>
      </c>
      <c r="EA183" s="44">
        <v>1.9872131147540983</v>
      </c>
      <c r="EC183" s="29">
        <f>IF(EQ183&lt;EP183,"FALSEE",1)</f>
        <v>1</v>
      </c>
      <c r="EE183" s="29" t="s">
        <v>2171</v>
      </c>
      <c r="EF183" s="29">
        <v>2.2105906009699998</v>
      </c>
      <c r="EG183" s="29" t="str">
        <f>IF(EF183&lt;0.5,"Depression",IF(EF183&lt;2,"Very gentle",IF(EF183&lt;5,"Gentle",IF(EF183&lt;9,"Moderate",IF(EF183&lt;15,"Strong",IF(EF183&lt;30,"Steep",IF(EF183&lt;1,"Very steep")))))))</f>
        <v>Gentle</v>
      </c>
      <c r="EH183" s="29" t="s">
        <v>2177</v>
      </c>
      <c r="EI183" s="29">
        <v>0.906427502632</v>
      </c>
      <c r="EJ183" s="43">
        <v>10.7165288925</v>
      </c>
      <c r="EK183" s="43">
        <f>VLOOKUP(D183,[1]SoilData!$G$15:$K$237,5,FALSE)</f>
        <v>322.34128482882488</v>
      </c>
      <c r="EL183" s="43">
        <f>VLOOKUP(D183,[1]SoilData!$G$245:$K$451,5,FALSE)</f>
        <v>103.59572661596685</v>
      </c>
      <c r="EM183" s="43">
        <f>VLOOKUP(D183,[1]SoilData!$G$15:$M$238,7,FALSE)</f>
        <v>1.1739999999999999</v>
      </c>
      <c r="EN183" s="43">
        <f>VLOOKUP(D183,[1]SoilData!$G$245:$M$454,7,FALSE)</f>
        <v>0.64100000000000001</v>
      </c>
      <c r="EO183" s="60">
        <f>EM183-EN183</f>
        <v>0.53299999999999992</v>
      </c>
      <c r="EP183" s="44">
        <f>AVERAGE(DZ183:EA183)</f>
        <v>2.3672131147540982</v>
      </c>
      <c r="EQ183" s="44">
        <f>AVERAGE(DX183:DY183)</f>
        <v>5.1791666666666663</v>
      </c>
      <c r="ER183" s="43">
        <f>EQ183-EP183</f>
        <v>2.811953551912568</v>
      </c>
      <c r="ES183" s="64">
        <f>IF(CU183&gt;0.000001,CU183*352,0)</f>
        <v>422.4</v>
      </c>
      <c r="ET183" s="64">
        <f>IF(DC183&gt;0.0001,DC183*682,0)</f>
        <v>272.79999999999995</v>
      </c>
      <c r="EU183" s="64">
        <f>CY183*795</f>
        <v>0</v>
      </c>
      <c r="EV183" s="64">
        <f>ES183+ET183+EU183</f>
        <v>695.19999999999993</v>
      </c>
      <c r="EW183" s="64">
        <f>IF(AA183="YES",3.5*18.2,0)</f>
        <v>63.699999999999996</v>
      </c>
      <c r="EX183" s="64">
        <f>EV183-EW183</f>
        <v>631.49999999999989</v>
      </c>
    </row>
    <row r="184" spans="1:154" ht="15" x14ac:dyDescent="0.2">
      <c r="A184" s="29" t="s">
        <v>556</v>
      </c>
      <c r="B184" s="29">
        <v>169</v>
      </c>
      <c r="C184" s="29" t="s">
        <v>340</v>
      </c>
      <c r="D184" s="29" t="s">
        <v>340</v>
      </c>
      <c r="E184" s="29" t="str">
        <f>VLOOKUP(D184,Harvest_2017_Formulae!$C$2:$D$968,2,FALSE)</f>
        <v>DURU</v>
      </c>
      <c r="F184" s="29" t="s">
        <v>645</v>
      </c>
      <c r="G184" s="29">
        <v>0</v>
      </c>
      <c r="H184" s="61" t="str">
        <f>IF(G184&lt;0.05,"Homefield",IF(G184&lt;0.5,"Midfield","outfield"))</f>
        <v>Homefield</v>
      </c>
      <c r="I184" s="29" t="s">
        <v>557</v>
      </c>
      <c r="J184" s="61" t="s">
        <v>2233</v>
      </c>
      <c r="K184" s="61" t="s">
        <v>2233</v>
      </c>
      <c r="L184" s="67">
        <v>0</v>
      </c>
      <c r="O184" s="29" t="s">
        <v>547</v>
      </c>
      <c r="Q184" s="67">
        <v>1</v>
      </c>
      <c r="R184" s="29" t="s">
        <v>558</v>
      </c>
      <c r="S184" s="29">
        <v>8</v>
      </c>
      <c r="T184" s="29" t="s">
        <v>559</v>
      </c>
      <c r="U184" s="29" t="s">
        <v>560</v>
      </c>
      <c r="W184" s="29" t="s">
        <v>635</v>
      </c>
      <c r="Z184" s="29" t="s">
        <v>712</v>
      </c>
      <c r="AA184" s="61" t="s">
        <v>548</v>
      </c>
      <c r="AB184" s="29" t="s">
        <v>568</v>
      </c>
      <c r="AC184" s="67">
        <v>0</v>
      </c>
      <c r="AD184" s="29" t="s">
        <v>547</v>
      </c>
      <c r="AF184" s="29" t="s">
        <v>547</v>
      </c>
      <c r="AG184" s="29" t="s">
        <v>547</v>
      </c>
      <c r="AH184" s="29" t="s">
        <v>548</v>
      </c>
      <c r="AI184" s="29" t="s">
        <v>546</v>
      </c>
      <c r="AJ184" s="29" t="s">
        <v>547</v>
      </c>
      <c r="AK184" s="67">
        <v>0</v>
      </c>
      <c r="AL184" s="29" t="s">
        <v>547</v>
      </c>
      <c r="AO184" s="29" t="s">
        <v>547</v>
      </c>
      <c r="AP184" s="29" t="s">
        <v>547</v>
      </c>
      <c r="AQ184" s="4">
        <f>Q184+AK184</f>
        <v>1</v>
      </c>
      <c r="AR184" s="4">
        <f>L184+AC184</f>
        <v>0</v>
      </c>
      <c r="AS184" t="str">
        <f>AQ184&amp;AR184</f>
        <v>10</v>
      </c>
      <c r="AT184" s="49">
        <f>AQ184-AR184</f>
        <v>1</v>
      </c>
      <c r="AU184">
        <v>2</v>
      </c>
      <c r="AV184" s="29" t="s">
        <v>548</v>
      </c>
      <c r="AW184" s="29">
        <v>8.5</v>
      </c>
      <c r="AX184" s="29" t="s">
        <v>546</v>
      </c>
      <c r="BA184" s="29" t="s">
        <v>548</v>
      </c>
      <c r="BB184" s="29" t="s">
        <v>569</v>
      </c>
      <c r="BC184" s="29">
        <v>2.5</v>
      </c>
      <c r="BD184" s="29">
        <f>AW184+AZ184</f>
        <v>8.5</v>
      </c>
      <c r="BE184" s="29">
        <f>BD184+BC184</f>
        <v>11</v>
      </c>
      <c r="BF184" s="29" t="s">
        <v>548</v>
      </c>
      <c r="BG184" s="29" t="s">
        <v>548</v>
      </c>
      <c r="BH184" s="29" t="s">
        <v>548</v>
      </c>
      <c r="BI184" s="29" t="s">
        <v>546</v>
      </c>
      <c r="BJ184" s="29" t="s">
        <v>546</v>
      </c>
      <c r="BK184" s="29" t="s">
        <v>548</v>
      </c>
      <c r="BL184" s="29">
        <v>9</v>
      </c>
      <c r="BM184" s="29" t="s">
        <v>549</v>
      </c>
      <c r="BN184" s="29">
        <v>2</v>
      </c>
      <c r="BO184" s="29" t="s">
        <v>549</v>
      </c>
      <c r="BP184" s="29">
        <v>7</v>
      </c>
      <c r="BQ184" s="29" t="s">
        <v>549</v>
      </c>
      <c r="BS184" s="29" t="s">
        <v>547</v>
      </c>
      <c r="BU184" s="29" t="s">
        <v>547</v>
      </c>
      <c r="BV184" s="29">
        <v>1</v>
      </c>
      <c r="BW184" s="29">
        <f>(BL184*1)+(BN184*0.1)+(BP184*0.01)+(BR184*0.1)+(BT184*0.3)+(BV184*0.4)</f>
        <v>9.67</v>
      </c>
      <c r="BX184" s="29" t="s">
        <v>2220</v>
      </c>
      <c r="BY184" s="29">
        <v>2</v>
      </c>
      <c r="BZ184" s="29">
        <v>1</v>
      </c>
      <c r="CA184" s="29">
        <v>5</v>
      </c>
      <c r="CB184" s="29">
        <v>8</v>
      </c>
      <c r="CC184" s="29">
        <v>0</v>
      </c>
      <c r="CD184" s="29">
        <v>0</v>
      </c>
      <c r="CE184" s="29">
        <v>1</v>
      </c>
      <c r="CF184" s="29" t="s">
        <v>547</v>
      </c>
      <c r="CG184" s="29">
        <f>(CC184*15)+(CD184*0.8)+(CE184*0.3)+((AW184+AZ184)*15)</f>
        <v>127.8</v>
      </c>
      <c r="CH184" s="29" t="s">
        <v>2221</v>
      </c>
      <c r="CI184" s="29">
        <f>(BL184*1)+(BN184*0.1)+(BP184*0.01)+(BR184*0.1)+(BT184*0.3)+(BV184*0.4)+(CC184*15)+(CD184*0.8)+(CE184*0.3)+((AW184+AZ184)*15)</f>
        <v>137.47</v>
      </c>
      <c r="CJ184" s="29" t="s">
        <v>546</v>
      </c>
      <c r="CK184" s="29" t="s">
        <v>547</v>
      </c>
      <c r="CL184" s="29" t="s">
        <v>548</v>
      </c>
      <c r="CM184" s="29" t="s">
        <v>550</v>
      </c>
      <c r="CN184" s="29">
        <v>0.25</v>
      </c>
      <c r="CO184" s="29">
        <v>7.75</v>
      </c>
      <c r="CP184" s="29">
        <v>0</v>
      </c>
      <c r="CQ184" s="29" t="s">
        <v>546</v>
      </c>
      <c r="CR184" s="29">
        <v>8</v>
      </c>
      <c r="CS184" s="29">
        <v>60</v>
      </c>
      <c r="CT184" s="29" t="s">
        <v>551</v>
      </c>
      <c r="CU184" s="30">
        <v>1.7999999999999998</v>
      </c>
      <c r="CW184" s="29">
        <v>999</v>
      </c>
      <c r="CX184" s="29" t="s">
        <v>551</v>
      </c>
      <c r="CY184" s="62"/>
      <c r="CZ184" s="29">
        <v>8</v>
      </c>
      <c r="DA184" s="29">
        <v>12</v>
      </c>
      <c r="DB184" s="29" t="s">
        <v>551</v>
      </c>
      <c r="DC184" s="62">
        <v>0.36</v>
      </c>
      <c r="DD184" s="29" t="s">
        <v>546</v>
      </c>
      <c r="DE184" s="29" t="s">
        <v>546</v>
      </c>
      <c r="DF184" s="29" t="s">
        <v>546</v>
      </c>
      <c r="DG184" s="29" t="s">
        <v>546</v>
      </c>
      <c r="DH184" s="29" t="s">
        <v>548</v>
      </c>
      <c r="DI184" s="29">
        <v>1</v>
      </c>
      <c r="DJ184" s="29">
        <v>4</v>
      </c>
      <c r="DK184" s="29" t="s">
        <v>725</v>
      </c>
      <c r="DL184" s="29" t="s">
        <v>726</v>
      </c>
      <c r="DM184" s="29">
        <v>-4.3723134994506836</v>
      </c>
      <c r="DN184" s="29">
        <v>35.598838806152344</v>
      </c>
      <c r="DO184" s="29">
        <v>1537.699951171875</v>
      </c>
      <c r="DP184" s="29">
        <v>5</v>
      </c>
      <c r="DQ184" s="29">
        <v>1706031849</v>
      </c>
      <c r="DR184" s="29" t="s">
        <v>727</v>
      </c>
      <c r="DS184" s="31">
        <v>42921.432650462964</v>
      </c>
      <c r="DT184" s="31">
        <v>42920.408738425926</v>
      </c>
      <c r="DU184" s="31">
        <v>42920.41783564815</v>
      </c>
      <c r="DV184" s="32">
        <v>42760</v>
      </c>
      <c r="DX184" s="44">
        <v>4.0266666666666664</v>
      </c>
      <c r="DY184" s="44">
        <v>2.8933333333333331</v>
      </c>
      <c r="DZ184" s="44">
        <v>2.1811265432098765</v>
      </c>
      <c r="EA184" s="44">
        <v>2.2536111111111112</v>
      </c>
      <c r="EC184" s="29">
        <f>IF(EQ184&lt;EP184,"FALSEE",1)</f>
        <v>1</v>
      </c>
      <c r="EE184" s="29" t="s">
        <v>2171</v>
      </c>
      <c r="EF184" s="29">
        <v>2.6241705417599999</v>
      </c>
      <c r="EG184" s="29" t="str">
        <f>IF(EF184&lt;0.5,"Depression",IF(EF184&lt;2,"Very gentle",IF(EF184&lt;5,"Gentle",IF(EF184&lt;9,"Moderate",IF(EF184&lt;15,"Strong",IF(EF184&lt;30,"Steep",IF(EF184&lt;1,"Very steep")))))))</f>
        <v>Gentle</v>
      </c>
      <c r="EH184" s="29" t="s">
        <v>2172</v>
      </c>
      <c r="EI184" s="29">
        <v>-0.54384291171999999</v>
      </c>
      <c r="EJ184" s="43">
        <v>12.4529352188</v>
      </c>
      <c r="EK184" s="43">
        <f>VLOOKUP(D184,[1]SoilData!$G$15:$K$237,5,FALSE)</f>
        <v>129.61097753041764</v>
      </c>
      <c r="EL184" s="43">
        <f>VLOOKUP(D184,[1]SoilData!$G$245:$K$451,5,FALSE)</f>
        <v>107.72300129922816</v>
      </c>
      <c r="EM184" s="43">
        <f>VLOOKUP(D184,[1]SoilData!$G$15:$M$238,7,FALSE)</f>
        <v>0.64200000000000002</v>
      </c>
      <c r="EN184" s="43">
        <f>VLOOKUP(D184,[1]SoilData!$G$245:$M$454,7,FALSE)</f>
        <v>0.90100000000000002</v>
      </c>
      <c r="EO184" s="60">
        <f>EM184-EN184</f>
        <v>-0.25900000000000001</v>
      </c>
      <c r="EP184" s="44">
        <f>AVERAGE(DZ184:EA184)</f>
        <v>2.2173688271604939</v>
      </c>
      <c r="EQ184" s="44">
        <f>AVERAGE(DX184:DY184)</f>
        <v>3.46</v>
      </c>
      <c r="ER184" s="43">
        <f>EQ184-EP184</f>
        <v>1.2426311728395061</v>
      </c>
      <c r="ES184" s="64">
        <f>IF(CU184&gt;0.000001,CU184*352,0)</f>
        <v>633.59999999999991</v>
      </c>
      <c r="ET184" s="64">
        <f>IF(DC184&gt;0.0001,DC184*682,0)</f>
        <v>245.51999999999998</v>
      </c>
      <c r="EU184" s="64">
        <f>CY184*795</f>
        <v>0</v>
      </c>
      <c r="EV184" s="64">
        <f>ES184+ET184+EU184</f>
        <v>879.11999999999989</v>
      </c>
      <c r="EW184" s="64">
        <f>IF(AA184="YES",3.5*18.2,0)</f>
        <v>63.699999999999996</v>
      </c>
      <c r="EX184" s="64">
        <f>EV184-EW184</f>
        <v>815.41999999999985</v>
      </c>
    </row>
    <row r="185" spans="1:154" ht="15" x14ac:dyDescent="0.2">
      <c r="A185" s="29" t="s">
        <v>814</v>
      </c>
      <c r="B185" s="29">
        <v>39</v>
      </c>
      <c r="C185" s="29" t="s">
        <v>388</v>
      </c>
      <c r="D185" s="29" t="s">
        <v>388</v>
      </c>
      <c r="E185" s="29" t="str">
        <f>VLOOKUP(D185,Harvest_2017_Formulae!$C$2:$D$968,2,FALSE)</f>
        <v>Sangara</v>
      </c>
      <c r="F185" s="29" t="s">
        <v>1014</v>
      </c>
      <c r="G185" s="29">
        <v>0.5</v>
      </c>
      <c r="H185" s="61" t="str">
        <f>IF(G185&lt;0.05,"Homefield",IF(G185&lt;0.5,"Midfield","outfield"))</f>
        <v>outfield</v>
      </c>
      <c r="I185" s="29" t="s">
        <v>557</v>
      </c>
      <c r="J185" s="61" t="s">
        <v>2233</v>
      </c>
      <c r="K185" s="61" t="s">
        <v>2233</v>
      </c>
      <c r="L185" s="67">
        <v>0</v>
      </c>
      <c r="O185" s="29" t="s">
        <v>547</v>
      </c>
      <c r="Q185" s="67">
        <v>1</v>
      </c>
      <c r="R185" s="29" t="s">
        <v>615</v>
      </c>
      <c r="S185" s="29">
        <v>3</v>
      </c>
      <c r="T185" s="29">
        <v>3</v>
      </c>
      <c r="U185" s="29" t="s">
        <v>1284</v>
      </c>
      <c r="W185" s="29" t="s">
        <v>819</v>
      </c>
      <c r="X185" s="29">
        <v>999</v>
      </c>
      <c r="Z185" s="29" t="s">
        <v>831</v>
      </c>
      <c r="AA185" s="61" t="s">
        <v>548</v>
      </c>
      <c r="AB185" s="29" t="s">
        <v>568</v>
      </c>
      <c r="AC185" s="67">
        <v>0</v>
      </c>
      <c r="AD185" s="29" t="s">
        <v>547</v>
      </c>
      <c r="AF185" s="29" t="s">
        <v>547</v>
      </c>
      <c r="AG185" s="29" t="s">
        <v>547</v>
      </c>
      <c r="AH185" s="29" t="s">
        <v>548</v>
      </c>
      <c r="AI185" s="29" t="s">
        <v>546</v>
      </c>
      <c r="AK185" s="67">
        <v>0</v>
      </c>
      <c r="AL185" s="29" t="s">
        <v>547</v>
      </c>
      <c r="AO185" s="29" t="s">
        <v>547</v>
      </c>
      <c r="AP185" s="29" t="s">
        <v>547</v>
      </c>
      <c r="AQ185" s="4">
        <f>Q185+AK185</f>
        <v>1</v>
      </c>
      <c r="AR185" s="4">
        <f>L185+AC185</f>
        <v>0</v>
      </c>
      <c r="AS185" t="str">
        <f>AQ185&amp;AR185</f>
        <v>10</v>
      </c>
      <c r="AT185" s="49">
        <f>AQ185-AR185</f>
        <v>1</v>
      </c>
      <c r="AU185">
        <v>2</v>
      </c>
      <c r="AV185" s="29" t="s">
        <v>548</v>
      </c>
      <c r="AW185" s="29">
        <v>0.25</v>
      </c>
      <c r="AX185" s="29" t="s">
        <v>548</v>
      </c>
      <c r="AY185" s="29">
        <v>2</v>
      </c>
      <c r="AZ185" s="29">
        <v>3.5</v>
      </c>
      <c r="BA185" s="29" t="s">
        <v>548</v>
      </c>
      <c r="BB185" s="29" t="s">
        <v>569</v>
      </c>
      <c r="BC185" s="29">
        <v>4.75</v>
      </c>
      <c r="BD185" s="29">
        <f>AW185+AZ185</f>
        <v>3.75</v>
      </c>
      <c r="BE185" s="29">
        <f>BD185+BC185</f>
        <v>8.5</v>
      </c>
      <c r="BF185" s="29" t="s">
        <v>548</v>
      </c>
      <c r="BG185" s="29" t="s">
        <v>546</v>
      </c>
      <c r="BH185" s="29" t="s">
        <v>546</v>
      </c>
      <c r="BI185" s="29" t="s">
        <v>546</v>
      </c>
      <c r="BJ185" s="29" t="s">
        <v>546</v>
      </c>
      <c r="BK185" s="29" t="s">
        <v>546</v>
      </c>
      <c r="BL185" s="29">
        <v>10</v>
      </c>
      <c r="BM185" s="29" t="s">
        <v>580</v>
      </c>
      <c r="BO185" s="29" t="s">
        <v>547</v>
      </c>
      <c r="BQ185" s="29" t="s">
        <v>547</v>
      </c>
      <c r="BS185" s="29" t="s">
        <v>547</v>
      </c>
      <c r="BU185" s="29" t="s">
        <v>547</v>
      </c>
      <c r="BW185" s="29">
        <f>(BL185*1)+(BN185*0.1)+(BP185*0.01)+(BR185*0.1)+(BT185*0.3)+(BV185*0.4)</f>
        <v>10</v>
      </c>
      <c r="BX185" s="29" t="s">
        <v>2220</v>
      </c>
      <c r="BY185" s="29">
        <v>1</v>
      </c>
      <c r="BZ185" s="29">
        <v>1</v>
      </c>
      <c r="CA185" s="29">
        <v>2</v>
      </c>
      <c r="CB185" s="29">
        <v>4</v>
      </c>
      <c r="CC185" s="29">
        <v>0</v>
      </c>
      <c r="CD185" s="29">
        <v>0</v>
      </c>
      <c r="CE185" s="29">
        <v>1</v>
      </c>
      <c r="CG185" s="29">
        <f>(CC185*15)+(CD185*0.8)+(CE185*0.3)+((AW185+AZ185)*15)</f>
        <v>56.55</v>
      </c>
      <c r="CH185" s="29" t="s">
        <v>2221</v>
      </c>
      <c r="CI185" s="29">
        <f>(BL185*1)+(BN185*0.1)+(BP185*0.01)+(BR185*0.1)+(BT185*0.3)+(BV185*0.4)+(CC185*15)+(CD185*0.8)+(CE185*0.3)+((AW185+AZ185)*15)</f>
        <v>66.55</v>
      </c>
      <c r="CJ185" s="29" t="s">
        <v>548</v>
      </c>
      <c r="CK185" s="29" t="s">
        <v>797</v>
      </c>
      <c r="CL185" s="29" t="s">
        <v>548</v>
      </c>
      <c r="CM185" s="29" t="s">
        <v>793</v>
      </c>
      <c r="CN185" s="29">
        <v>0.5</v>
      </c>
      <c r="CO185" s="29">
        <v>3.5</v>
      </c>
      <c r="CP185" s="29">
        <v>0</v>
      </c>
      <c r="CQ185" s="29" t="s">
        <v>548</v>
      </c>
      <c r="CR185" s="29">
        <v>1</v>
      </c>
      <c r="CS185" s="29">
        <v>4</v>
      </c>
      <c r="CT185" s="29" t="s">
        <v>551</v>
      </c>
      <c r="CU185" s="30">
        <v>0.96</v>
      </c>
      <c r="CW185" s="29">
        <v>999</v>
      </c>
      <c r="CX185" s="29" t="s">
        <v>551</v>
      </c>
      <c r="CY185" s="62"/>
      <c r="CZ185" s="29">
        <v>1</v>
      </c>
      <c r="DA185" s="29">
        <v>2.5</v>
      </c>
      <c r="DB185" s="29" t="s">
        <v>551</v>
      </c>
      <c r="DC185" s="62">
        <v>0.6</v>
      </c>
      <c r="DD185" s="29" t="s">
        <v>548</v>
      </c>
      <c r="DE185" s="29" t="s">
        <v>546</v>
      </c>
      <c r="DF185" s="29" t="s">
        <v>546</v>
      </c>
      <c r="DG185" s="29" t="s">
        <v>548</v>
      </c>
      <c r="DH185" s="29" t="s">
        <v>546</v>
      </c>
      <c r="DI185" s="29">
        <v>2</v>
      </c>
      <c r="DJ185" s="29">
        <v>3</v>
      </c>
      <c r="DK185" s="29" t="s">
        <v>1285</v>
      </c>
      <c r="DL185" s="29" t="s">
        <v>1286</v>
      </c>
      <c r="DM185" s="29">
        <v>-4.2792067527770996</v>
      </c>
      <c r="DN185" s="29">
        <v>35.622718811035156</v>
      </c>
      <c r="DO185" s="29">
        <v>1444.5999755859375</v>
      </c>
      <c r="DP185" s="29">
        <v>10</v>
      </c>
      <c r="DQ185" s="29">
        <v>1705231439</v>
      </c>
      <c r="DR185" s="29" t="s">
        <v>1287</v>
      </c>
      <c r="DS185" s="31">
        <v>42908.292662037042</v>
      </c>
      <c r="DT185" s="31">
        <v>42899.535034722227</v>
      </c>
      <c r="DU185" s="31">
        <v>42908.289733796293</v>
      </c>
      <c r="DV185" s="32">
        <v>42747</v>
      </c>
      <c r="DX185" s="44">
        <v>4.2990643274853815</v>
      </c>
      <c r="DY185" s="44">
        <v>3.3881871345029242</v>
      </c>
      <c r="DZ185" s="44">
        <v>4.3005295950155764</v>
      </c>
      <c r="EA185" s="44">
        <v>2.9223676012461062</v>
      </c>
      <c r="EC185" s="29">
        <f>IF(EQ185&lt;EP185,"FALSEE",1)</f>
        <v>1</v>
      </c>
      <c r="EE185" s="29" t="s">
        <v>2179</v>
      </c>
      <c r="EF185" s="29">
        <v>10.1358776093</v>
      </c>
      <c r="EG185" s="29" t="str">
        <f>IF(EF185&lt;0.5,"Depression",IF(EF185&lt;2,"Very gentle",IF(EF185&lt;5,"Gentle",IF(EF185&lt;9,"Moderate",IF(EF185&lt;15,"Strong",IF(EF185&lt;30,"Steep",IF(EF185&lt;1,"Very steep")))))))</f>
        <v>Strong</v>
      </c>
      <c r="EH185" s="29" t="s">
        <v>2178</v>
      </c>
      <c r="EI185" s="29">
        <v>9.0650379657699995E-2</v>
      </c>
      <c r="EJ185" s="43">
        <v>7.9497685432400003</v>
      </c>
      <c r="EK185" s="43">
        <f>VLOOKUP(D185,[1]SoilData!$G$15:$K$237,5,FALSE)</f>
        <v>274.18974685744104</v>
      </c>
      <c r="EL185" s="43">
        <f>VLOOKUP(D185,[1]SoilData!$G$245:$K$451,5,FALSE)</f>
        <v>477.23418444993086</v>
      </c>
      <c r="EM185" s="43">
        <f>VLOOKUP(D185,[1]SoilData!$G$15:$M$238,7,FALSE)</f>
        <v>1.0580000000000001</v>
      </c>
      <c r="EN185" s="43">
        <f>VLOOKUP(D185,[1]SoilData!$G$245:$M$454,7,FALSE)</f>
        <v>0.70699999999999996</v>
      </c>
      <c r="EO185" s="60">
        <f>EM185-EN185</f>
        <v>0.35100000000000009</v>
      </c>
      <c r="EP185" s="44">
        <f>AVERAGE(DZ185:EA185)</f>
        <v>3.6114485981308411</v>
      </c>
      <c r="EQ185" s="44">
        <f>AVERAGE(DX185:DY185)</f>
        <v>3.8436257309941526</v>
      </c>
      <c r="ER185" s="43">
        <f>EQ185-EP185</f>
        <v>0.23217713286331154</v>
      </c>
      <c r="ES185" s="64">
        <f>IF(CU185&gt;0.000001,CU185*352,0)</f>
        <v>337.91999999999996</v>
      </c>
      <c r="ET185" s="64">
        <f>IF(DC185&gt;0.0001,DC185*682,0)</f>
        <v>409.2</v>
      </c>
      <c r="EU185" s="64">
        <f>CY185*795</f>
        <v>0</v>
      </c>
      <c r="EV185" s="64">
        <f>ES185+ET185+EU185</f>
        <v>747.11999999999989</v>
      </c>
      <c r="EW185" s="64">
        <f>IF(AA185="YES",3.5*18.2,0)</f>
        <v>63.699999999999996</v>
      </c>
      <c r="EX185" s="64">
        <f>EV185-EW185</f>
        <v>683.41999999999985</v>
      </c>
    </row>
    <row r="186" spans="1:154" ht="15" x14ac:dyDescent="0.2">
      <c r="A186" s="29" t="s">
        <v>789</v>
      </c>
      <c r="B186" s="29">
        <v>28</v>
      </c>
      <c r="C186" s="29" t="s">
        <v>258</v>
      </c>
      <c r="D186" s="29" t="s">
        <v>258</v>
      </c>
      <c r="E186" s="29" t="str">
        <f>VLOOKUP(D186,Harvest_2017_Formulae!$C$2:$D$968,2,FALSE)</f>
        <v>Sangara</v>
      </c>
      <c r="F186" s="29" t="s">
        <v>1014</v>
      </c>
      <c r="G186" s="29">
        <v>2.2999999523162842</v>
      </c>
      <c r="H186" s="61" t="str">
        <f>IF(G186&lt;0.05,"Homefield",IF(G186&lt;0.5,"Midfield","outfield"))</f>
        <v>outfield</v>
      </c>
      <c r="I186" s="29" t="s">
        <v>557</v>
      </c>
      <c r="J186" s="61" t="s">
        <v>2233</v>
      </c>
      <c r="K186" s="61" t="s">
        <v>2233</v>
      </c>
      <c r="L186" s="67">
        <v>0</v>
      </c>
      <c r="O186" s="29" t="s">
        <v>547</v>
      </c>
      <c r="Q186" s="67">
        <v>1</v>
      </c>
      <c r="R186" s="29" t="s">
        <v>791</v>
      </c>
      <c r="S186" s="29">
        <v>3</v>
      </c>
      <c r="T186" s="29">
        <v>3</v>
      </c>
      <c r="U186" s="29" t="s">
        <v>560</v>
      </c>
      <c r="W186" s="29" t="s">
        <v>561</v>
      </c>
      <c r="Z186" s="29" t="s">
        <v>831</v>
      </c>
      <c r="AA186" s="61" t="s">
        <v>548</v>
      </c>
      <c r="AB186" s="29" t="s">
        <v>568</v>
      </c>
      <c r="AC186" s="67">
        <v>0</v>
      </c>
      <c r="AD186" s="29" t="s">
        <v>547</v>
      </c>
      <c r="AF186" s="29" t="s">
        <v>547</v>
      </c>
      <c r="AG186" s="29" t="s">
        <v>547</v>
      </c>
      <c r="AH186" s="29" t="s">
        <v>548</v>
      </c>
      <c r="AI186" s="29" t="s">
        <v>546</v>
      </c>
      <c r="AK186" s="67">
        <v>0</v>
      </c>
      <c r="AL186" s="29" t="s">
        <v>547</v>
      </c>
      <c r="AO186" s="29" t="s">
        <v>547</v>
      </c>
      <c r="AP186" s="29" t="s">
        <v>547</v>
      </c>
      <c r="AQ186" s="4">
        <f>Q186+AK186</f>
        <v>1</v>
      </c>
      <c r="AR186" s="4">
        <f>L186+AC186</f>
        <v>0</v>
      </c>
      <c r="AS186" t="str">
        <f>AQ186&amp;AR186</f>
        <v>10</v>
      </c>
      <c r="AT186" s="49">
        <f>AQ186-AR186</f>
        <v>1</v>
      </c>
      <c r="AU186">
        <v>2</v>
      </c>
      <c r="AV186" s="29" t="s">
        <v>548</v>
      </c>
      <c r="AW186" s="29">
        <v>0.5</v>
      </c>
      <c r="AX186" s="29" t="s">
        <v>548</v>
      </c>
      <c r="AY186" s="29">
        <v>2</v>
      </c>
      <c r="AZ186" s="29">
        <v>2.5</v>
      </c>
      <c r="BA186" s="29" t="s">
        <v>548</v>
      </c>
      <c r="BB186" s="29" t="s">
        <v>569</v>
      </c>
      <c r="BC186" s="29">
        <v>4.5</v>
      </c>
      <c r="BD186" s="29">
        <f>AW186+AZ186</f>
        <v>3</v>
      </c>
      <c r="BE186" s="29">
        <f>BD186+BC186</f>
        <v>7.5</v>
      </c>
      <c r="BF186" s="29" t="s">
        <v>548</v>
      </c>
      <c r="BG186" s="29" t="s">
        <v>548</v>
      </c>
      <c r="BH186" s="29" t="s">
        <v>548</v>
      </c>
      <c r="BI186" s="29" t="s">
        <v>548</v>
      </c>
      <c r="BJ186" s="29" t="s">
        <v>546</v>
      </c>
      <c r="BK186" s="29" t="s">
        <v>546</v>
      </c>
      <c r="BL186" s="29">
        <v>8</v>
      </c>
      <c r="BM186" s="29" t="s">
        <v>580</v>
      </c>
      <c r="BN186" s="29">
        <v>12</v>
      </c>
      <c r="BO186" s="29" t="s">
        <v>580</v>
      </c>
      <c r="BP186" s="29">
        <v>7</v>
      </c>
      <c r="BQ186" s="29" t="s">
        <v>580</v>
      </c>
      <c r="BR186" s="29">
        <v>8</v>
      </c>
      <c r="BS186" s="29" t="s">
        <v>580</v>
      </c>
      <c r="BU186" s="29" t="s">
        <v>547</v>
      </c>
      <c r="BW186" s="29">
        <f>(BL186*1)+(BN186*0.1)+(BP186*0.01)+(BR186*0.1)+(BT186*0.3)+(BV186*0.4)</f>
        <v>10.07</v>
      </c>
      <c r="BX186" s="29" t="s">
        <v>2220</v>
      </c>
      <c r="BY186" s="29">
        <v>4</v>
      </c>
      <c r="BZ186" s="29">
        <v>2</v>
      </c>
      <c r="CA186" s="29">
        <v>1</v>
      </c>
      <c r="CB186" s="29">
        <v>7</v>
      </c>
      <c r="CC186" s="29">
        <v>0</v>
      </c>
      <c r="CD186" s="29">
        <v>0</v>
      </c>
      <c r="CE186" s="29">
        <v>1</v>
      </c>
      <c r="CG186" s="29">
        <f>(CC186*15)+(CD186*0.8)+(CE186*0.3)+((AW186+AZ186)*15)</f>
        <v>45.3</v>
      </c>
      <c r="CH186" s="29" t="s">
        <v>2220</v>
      </c>
      <c r="CI186" s="29">
        <f>(BL186*1)+(BN186*0.1)+(BP186*0.01)+(BR186*0.1)+(BT186*0.3)+(BV186*0.4)+(CC186*15)+(CD186*0.8)+(CE186*0.3)+((AW186+AZ186)*15)</f>
        <v>55.370000000000005</v>
      </c>
      <c r="CJ186" s="29" t="s">
        <v>546</v>
      </c>
      <c r="CK186" s="29" t="s">
        <v>547</v>
      </c>
      <c r="CL186" s="29" t="s">
        <v>548</v>
      </c>
      <c r="CM186" s="29" t="s">
        <v>827</v>
      </c>
      <c r="CN186" s="29">
        <v>0.25</v>
      </c>
      <c r="CO186" s="29">
        <v>1.5</v>
      </c>
      <c r="CP186" s="29">
        <v>0</v>
      </c>
      <c r="CQ186" s="29" t="s">
        <v>548</v>
      </c>
      <c r="CR186" s="29">
        <v>1</v>
      </c>
      <c r="CS186" s="29">
        <v>2.5</v>
      </c>
      <c r="CT186" s="29" t="s">
        <v>551</v>
      </c>
      <c r="CU186" s="30">
        <v>0.6</v>
      </c>
      <c r="CW186" s="29">
        <v>999</v>
      </c>
      <c r="CX186" s="29" t="s">
        <v>551</v>
      </c>
      <c r="CY186" s="62"/>
      <c r="CZ186" s="29">
        <v>1</v>
      </c>
      <c r="DA186" s="29">
        <v>3.5</v>
      </c>
      <c r="DB186" s="29" t="s">
        <v>551</v>
      </c>
      <c r="DC186" s="62">
        <v>0.84</v>
      </c>
      <c r="DD186" s="29" t="s">
        <v>548</v>
      </c>
      <c r="DE186" s="29" t="s">
        <v>548</v>
      </c>
      <c r="DF186" s="29" t="s">
        <v>548</v>
      </c>
      <c r="DG186" s="29" t="s">
        <v>548</v>
      </c>
      <c r="DH186" s="29" t="s">
        <v>548</v>
      </c>
      <c r="DI186" s="29">
        <v>5</v>
      </c>
      <c r="DJ186" s="29">
        <v>4</v>
      </c>
      <c r="DK186" s="29" t="s">
        <v>1248</v>
      </c>
      <c r="DL186" s="29" t="s">
        <v>1249</v>
      </c>
      <c r="DM186" s="29">
        <v>-4.2712640762329102</v>
      </c>
      <c r="DN186" s="29">
        <v>35.6368408203125</v>
      </c>
      <c r="DO186" s="29">
        <v>1423.699951171875</v>
      </c>
      <c r="DP186" s="29">
        <v>15</v>
      </c>
      <c r="DQ186" s="29">
        <v>1705231439</v>
      </c>
      <c r="DR186" s="29" t="s">
        <v>1250</v>
      </c>
      <c r="DS186" s="31">
        <v>42908.292592592596</v>
      </c>
      <c r="DT186" s="31">
        <v>42898.533229166671</v>
      </c>
      <c r="DU186" s="31">
        <v>42908.288321759261</v>
      </c>
      <c r="DV186" s="32">
        <v>42768</v>
      </c>
      <c r="DX186" s="44">
        <v>3.5788118811881193</v>
      </c>
      <c r="DY186" s="44">
        <v>6.4332673267326745</v>
      </c>
      <c r="DZ186" s="44">
        <v>2.4653508771929822</v>
      </c>
      <c r="EA186" s="44">
        <v>4.5389473684210531</v>
      </c>
      <c r="EC186" s="29">
        <f>IF(EQ186&lt;EP186,"FALSEE",1)</f>
        <v>1</v>
      </c>
      <c r="EE186" s="29" t="s">
        <v>2179</v>
      </c>
      <c r="EF186" s="29">
        <v>3.2732591629000001</v>
      </c>
      <c r="EG186" s="29" t="str">
        <f>IF(EF186&lt;0.5,"Depression",IF(EF186&lt;2,"Very gentle",IF(EF186&lt;5,"Gentle",IF(EF186&lt;9,"Moderate",IF(EF186&lt;15,"Strong",IF(EF186&lt;30,"Steep",IF(EF186&lt;1,"Very steep")))))))</f>
        <v>Gentle</v>
      </c>
      <c r="EH186" s="29" t="s">
        <v>2173</v>
      </c>
      <c r="EI186" s="29">
        <v>0.18129228055499999</v>
      </c>
      <c r="EJ186" s="43">
        <v>10.637241363499999</v>
      </c>
      <c r="EK186" s="43">
        <f>VLOOKUP(D186,[1]SoilData!$G$15:$K$237,5,FALSE)</f>
        <v>91.213902566181972</v>
      </c>
      <c r="EL186" s="43">
        <f>VLOOKUP(D186,[1]SoilData!$G$245:$K$451,5,FALSE)</f>
        <v>177.84000152369043</v>
      </c>
      <c r="EM186" s="43">
        <f>VLOOKUP(D186,[1]SoilData!$G$15:$M$238,7,FALSE)</f>
        <v>0.625</v>
      </c>
      <c r="EN186" s="43">
        <f>VLOOKUP(D186,[1]SoilData!$G$245:$M$454,7,FALSE)</f>
        <v>0.93600000000000005</v>
      </c>
      <c r="EO186" s="60">
        <f>EM186-EN186</f>
        <v>-0.31100000000000005</v>
      </c>
      <c r="EP186" s="44">
        <f>AVERAGE(DZ186:EA186)</f>
        <v>3.5021491228070176</v>
      </c>
      <c r="EQ186" s="44">
        <f>AVERAGE(DX186:DY186)</f>
        <v>5.0060396039603967</v>
      </c>
      <c r="ER186" s="43">
        <f>EQ186-EP186</f>
        <v>1.5038904811533791</v>
      </c>
      <c r="ES186" s="64">
        <f>IF(CU186&gt;0.000001,CU186*352,0)</f>
        <v>211.2</v>
      </c>
      <c r="ET186" s="64">
        <f>IF(DC186&gt;0.0001,DC186*682,0)</f>
        <v>572.88</v>
      </c>
      <c r="EU186" s="64">
        <f>CY186*795</f>
        <v>0</v>
      </c>
      <c r="EV186" s="64">
        <f>ES186+ET186+EU186</f>
        <v>784.07999999999993</v>
      </c>
      <c r="EW186" s="64">
        <f>IF(AA186="YES",3.5*18.2,0)</f>
        <v>63.699999999999996</v>
      </c>
      <c r="EX186" s="64">
        <f>EV186-EW186</f>
        <v>720.37999999999988</v>
      </c>
    </row>
    <row r="187" spans="1:154" ht="15" x14ac:dyDescent="0.2">
      <c r="A187" s="29" t="s">
        <v>556</v>
      </c>
      <c r="B187" s="29">
        <v>167</v>
      </c>
      <c r="C187" s="29" t="s">
        <v>708</v>
      </c>
      <c r="D187" s="29" t="s">
        <v>101</v>
      </c>
      <c r="E187" s="29" t="str">
        <f>VLOOKUP(D187,Harvest_2017_Formulae!$C$2:$D$968,2,FALSE)</f>
        <v>DURU</v>
      </c>
      <c r="F187" s="29" t="s">
        <v>645</v>
      </c>
      <c r="G187" s="29">
        <v>0</v>
      </c>
      <c r="H187" s="61" t="str">
        <f>IF(G187&lt;0.05,"Homefield",IF(G187&lt;0.5,"Midfield","outfield"))</f>
        <v>Homefield</v>
      </c>
      <c r="I187" s="29" t="s">
        <v>557</v>
      </c>
      <c r="J187" s="61" t="s">
        <v>2233</v>
      </c>
      <c r="K187" s="61" t="s">
        <v>2233</v>
      </c>
      <c r="L187" s="67">
        <v>0</v>
      </c>
      <c r="O187" s="29" t="s">
        <v>547</v>
      </c>
      <c r="Q187" s="67">
        <v>1</v>
      </c>
      <c r="R187" s="29" t="s">
        <v>558</v>
      </c>
      <c r="S187" s="29">
        <v>3</v>
      </c>
      <c r="T187" s="29" t="s">
        <v>559</v>
      </c>
      <c r="U187" s="29" t="s">
        <v>560</v>
      </c>
      <c r="W187" s="29" t="s">
        <v>635</v>
      </c>
      <c r="Y187" s="29">
        <v>5000</v>
      </c>
      <c r="Z187" s="29" t="s">
        <v>547</v>
      </c>
      <c r="AA187" s="61" t="s">
        <v>548</v>
      </c>
      <c r="AB187" s="29" t="s">
        <v>568</v>
      </c>
      <c r="AC187" s="67">
        <v>0</v>
      </c>
      <c r="AD187" s="29" t="s">
        <v>547</v>
      </c>
      <c r="AF187" s="29" t="s">
        <v>547</v>
      </c>
      <c r="AG187" s="29" t="s">
        <v>547</v>
      </c>
      <c r="AH187" s="29" t="s">
        <v>546</v>
      </c>
      <c r="AI187" s="29" t="s">
        <v>546</v>
      </c>
      <c r="AJ187" s="29" t="s">
        <v>547</v>
      </c>
      <c r="AK187" s="67">
        <v>0</v>
      </c>
      <c r="AL187" s="29" t="s">
        <v>547</v>
      </c>
      <c r="AO187" s="29" t="s">
        <v>547</v>
      </c>
      <c r="AP187" s="29" t="s">
        <v>547</v>
      </c>
      <c r="AQ187" s="4">
        <f>Q187+AK187</f>
        <v>1</v>
      </c>
      <c r="AR187" s="4">
        <f>L187+AC187</f>
        <v>0</v>
      </c>
      <c r="AS187" t="str">
        <f>AQ187&amp;AR187</f>
        <v>10</v>
      </c>
      <c r="AT187" s="49">
        <f>AQ187-AR187</f>
        <v>1</v>
      </c>
      <c r="AU187">
        <v>2</v>
      </c>
      <c r="AV187" s="29" t="s">
        <v>548</v>
      </c>
      <c r="AW187" s="29">
        <v>0.5</v>
      </c>
      <c r="AX187" s="29" t="s">
        <v>548</v>
      </c>
      <c r="AY187" s="29">
        <v>2</v>
      </c>
      <c r="AZ187" s="29">
        <v>3.25</v>
      </c>
      <c r="BA187" s="29" t="s">
        <v>546</v>
      </c>
      <c r="BB187" s="29" t="s">
        <v>547</v>
      </c>
      <c r="BD187" s="29">
        <f>AW187+AZ187</f>
        <v>3.75</v>
      </c>
      <c r="BE187" s="29">
        <f>BD187+BC187</f>
        <v>3.75</v>
      </c>
      <c r="BF187" s="29" t="s">
        <v>548</v>
      </c>
      <c r="BG187" s="29" t="s">
        <v>548</v>
      </c>
      <c r="BH187" s="29" t="s">
        <v>548</v>
      </c>
      <c r="BI187" s="29" t="s">
        <v>548</v>
      </c>
      <c r="BJ187" s="29" t="s">
        <v>546</v>
      </c>
      <c r="BK187" s="29" t="s">
        <v>546</v>
      </c>
      <c r="BL187" s="29">
        <v>9</v>
      </c>
      <c r="BM187" s="29" t="s">
        <v>549</v>
      </c>
      <c r="BN187" s="29">
        <v>7</v>
      </c>
      <c r="BO187" s="29" t="s">
        <v>549</v>
      </c>
      <c r="BP187" s="29">
        <v>5</v>
      </c>
      <c r="BQ187" s="29" t="s">
        <v>549</v>
      </c>
      <c r="BR187" s="29">
        <v>4</v>
      </c>
      <c r="BS187" s="29" t="s">
        <v>549</v>
      </c>
      <c r="BU187" s="29" t="s">
        <v>547</v>
      </c>
      <c r="BW187" s="29">
        <f>(BL187*1)+(BN187*0.1)+(BP187*0.01)+(BR187*0.1)+(BT187*0.3)+(BV187*0.4)</f>
        <v>10.15</v>
      </c>
      <c r="BX187" s="29" t="s">
        <v>2220</v>
      </c>
      <c r="BY187" s="29">
        <v>1</v>
      </c>
      <c r="BZ187" s="29">
        <v>4</v>
      </c>
      <c r="CA187" s="29">
        <v>3</v>
      </c>
      <c r="CB187" s="29">
        <v>8</v>
      </c>
      <c r="CC187" s="29">
        <v>0</v>
      </c>
      <c r="CD187" s="29">
        <v>0</v>
      </c>
      <c r="CE187" s="29">
        <v>0</v>
      </c>
      <c r="CF187" s="29" t="s">
        <v>547</v>
      </c>
      <c r="CG187" s="29">
        <f>(CC187*15)+(CD187*0.8)+(CE187*0.3)+((AW187+AZ187)*15)</f>
        <v>56.25</v>
      </c>
      <c r="CH187" s="29" t="s">
        <v>2221</v>
      </c>
      <c r="CI187" s="29">
        <f>(BL187*1)+(BN187*0.1)+(BP187*0.01)+(BR187*0.1)+(BT187*0.3)+(BV187*0.4)+(CC187*15)+(CD187*0.8)+(CE187*0.3)+((AW187+AZ187)*15)</f>
        <v>66.400000000000006</v>
      </c>
      <c r="CJ187" s="29" t="s">
        <v>546</v>
      </c>
      <c r="CK187" s="29" t="s">
        <v>547</v>
      </c>
      <c r="CL187" s="29" t="s">
        <v>548</v>
      </c>
      <c r="CM187" s="29" t="s">
        <v>550</v>
      </c>
      <c r="CN187" s="29">
        <v>0.25</v>
      </c>
      <c r="CO187" s="29">
        <v>1.75</v>
      </c>
      <c r="CQ187" s="29" t="s">
        <v>548</v>
      </c>
      <c r="CR187" s="29">
        <v>2</v>
      </c>
      <c r="CS187" s="29">
        <v>10</v>
      </c>
      <c r="CT187" s="29" t="s">
        <v>551</v>
      </c>
      <c r="CU187" s="30">
        <v>1.2</v>
      </c>
      <c r="CW187" s="29">
        <v>999</v>
      </c>
      <c r="CX187" s="29" t="s">
        <v>551</v>
      </c>
      <c r="CY187" s="62"/>
      <c r="CZ187" s="29">
        <v>2</v>
      </c>
      <c r="DA187" s="29">
        <v>3</v>
      </c>
      <c r="DB187" s="29" t="s">
        <v>551</v>
      </c>
      <c r="DC187" s="62">
        <v>0.36</v>
      </c>
      <c r="DD187" s="29" t="s">
        <v>546</v>
      </c>
      <c r="DE187" s="29" t="s">
        <v>546</v>
      </c>
      <c r="DF187" s="29" t="s">
        <v>548</v>
      </c>
      <c r="DG187" s="29" t="s">
        <v>548</v>
      </c>
      <c r="DH187" s="29" t="s">
        <v>548</v>
      </c>
      <c r="DI187" s="29">
        <v>3</v>
      </c>
      <c r="DJ187" s="29">
        <v>2</v>
      </c>
      <c r="DK187" s="29" t="s">
        <v>709</v>
      </c>
      <c r="DL187" s="29" t="s">
        <v>710</v>
      </c>
      <c r="DM187" s="29">
        <v>-4.318840503692627</v>
      </c>
      <c r="DN187" s="29">
        <v>35.602306365966797</v>
      </c>
      <c r="DO187" s="29">
        <v>1577.300048828125</v>
      </c>
      <c r="DP187" s="29">
        <v>5</v>
      </c>
      <c r="DQ187" s="29">
        <v>1706031849</v>
      </c>
      <c r="DR187" s="29" t="s">
        <v>711</v>
      </c>
      <c r="DS187" s="31">
        <v>42921.432615740741</v>
      </c>
      <c r="DT187" s="31">
        <v>42919.595995370371</v>
      </c>
      <c r="DU187" s="31">
        <v>42919.603425925925</v>
      </c>
      <c r="DV187" s="32">
        <v>42770</v>
      </c>
      <c r="DX187" s="44">
        <v>6.5709862671660426</v>
      </c>
      <c r="DY187" s="44">
        <v>7.2383520599250941</v>
      </c>
      <c r="DZ187" s="44">
        <v>3.3239950062421975</v>
      </c>
      <c r="EA187" s="44">
        <v>4.6009737827715362</v>
      </c>
      <c r="EC187" s="29">
        <f>IF(EQ187&lt;EP187,"FALSEE",1)</f>
        <v>1</v>
      </c>
      <c r="EE187" s="29" t="s">
        <v>2179</v>
      </c>
      <c r="EF187" s="29">
        <v>6.5252904891999997</v>
      </c>
      <c r="EG187" s="29" t="str">
        <f>IF(EF187&lt;0.5,"Depression",IF(EF187&lt;2,"Very gentle",IF(EF187&lt;5,"Gentle",IF(EF187&lt;9,"Moderate",IF(EF187&lt;15,"Strong",IF(EF187&lt;30,"Steep",IF(EF187&lt;1,"Very steep")))))))</f>
        <v>Moderate</v>
      </c>
      <c r="EH187" s="29" t="s">
        <v>2172</v>
      </c>
      <c r="EI187" s="29">
        <v>-0.54384291171999999</v>
      </c>
      <c r="EJ187" s="43">
        <v>8.6506910324100001</v>
      </c>
      <c r="EK187" s="43">
        <f>VLOOKUP(D187,[1]SoilData!$G$15:$K$237,5,FALSE)</f>
        <v>259.87984713720471</v>
      </c>
      <c r="EL187" s="43">
        <f>VLOOKUP(D187,[1]SoilData!$G$245:$K$451,5,FALSE)</f>
        <v>229.227312387974</v>
      </c>
      <c r="EM187" s="43">
        <f>VLOOKUP(D187,[1]SoilData!$G$15:$M$238,7,FALSE)</f>
        <v>0.91300000000000003</v>
      </c>
      <c r="EN187" s="43">
        <f>VLOOKUP(D187,[1]SoilData!$G$245:$M$454,7,FALSE)</f>
        <v>0.78200000000000003</v>
      </c>
      <c r="EO187" s="60">
        <f>EM187-EN187</f>
        <v>0.13100000000000001</v>
      </c>
      <c r="EP187" s="44">
        <f>AVERAGE(DZ187:EA187)</f>
        <v>3.9624843945068671</v>
      </c>
      <c r="EQ187" s="44">
        <f>AVERAGE(DX187:DY187)</f>
        <v>6.9046691635455684</v>
      </c>
      <c r="ER187" s="43">
        <f>EQ187-EP187</f>
        <v>2.9421847690387013</v>
      </c>
      <c r="ES187" s="64">
        <f>IF(CU187&gt;0.000001,CU187*352,0)</f>
        <v>422.4</v>
      </c>
      <c r="ET187" s="64">
        <f>IF(DC187&gt;0.0001,DC187*682,0)</f>
        <v>245.51999999999998</v>
      </c>
      <c r="EU187" s="64">
        <f>CY187*795</f>
        <v>0</v>
      </c>
      <c r="EV187" s="64">
        <f>ES187+ET187+EU187</f>
        <v>667.92</v>
      </c>
      <c r="EW187" s="64">
        <f>IF(AA187="YES",3.5*18.2,0)</f>
        <v>63.699999999999996</v>
      </c>
      <c r="EX187" s="64">
        <f>EV187-EW187</f>
        <v>604.21999999999991</v>
      </c>
    </row>
    <row r="188" spans="1:154" s="34" customFormat="1" ht="15" x14ac:dyDescent="0.2">
      <c r="A188" s="29" t="s">
        <v>556</v>
      </c>
      <c r="B188" s="29">
        <v>162</v>
      </c>
      <c r="C188" s="29" t="s">
        <v>112</v>
      </c>
      <c r="D188" s="29" t="s">
        <v>112</v>
      </c>
      <c r="E188" s="29" t="str">
        <f>VLOOKUP(D188,Harvest_2017_Formulae!$C$2:$D$968,2,FALSE)</f>
        <v>DURU</v>
      </c>
      <c r="F188" s="29" t="s">
        <v>645</v>
      </c>
      <c r="G188" s="29">
        <v>0</v>
      </c>
      <c r="H188" s="61" t="str">
        <f>IF(G188&lt;0.05,"Homefield",IF(G188&lt;0.5,"Midfield","outfield"))</f>
        <v>Homefield</v>
      </c>
      <c r="I188" s="29" t="s">
        <v>557</v>
      </c>
      <c r="J188" s="61" t="s">
        <v>2233</v>
      </c>
      <c r="K188" s="61" t="s">
        <v>2233</v>
      </c>
      <c r="L188" s="67">
        <v>0</v>
      </c>
      <c r="M188" s="29"/>
      <c r="N188" s="29"/>
      <c r="O188" s="29" t="s">
        <v>547</v>
      </c>
      <c r="P188" s="29"/>
      <c r="Q188" s="67">
        <v>1</v>
      </c>
      <c r="R188" s="29" t="s">
        <v>558</v>
      </c>
      <c r="S188" s="29">
        <v>3</v>
      </c>
      <c r="T188" s="29" t="s">
        <v>559</v>
      </c>
      <c r="U188" s="29" t="s">
        <v>560</v>
      </c>
      <c r="V188" s="29"/>
      <c r="W188" s="29" t="s">
        <v>635</v>
      </c>
      <c r="X188" s="29"/>
      <c r="Y188" s="29">
        <v>7000</v>
      </c>
      <c r="Z188" s="29" t="s">
        <v>547</v>
      </c>
      <c r="AA188" s="61" t="s">
        <v>548</v>
      </c>
      <c r="AB188" s="29" t="s">
        <v>568</v>
      </c>
      <c r="AC188" s="67">
        <v>0</v>
      </c>
      <c r="AD188" s="29" t="s">
        <v>547</v>
      </c>
      <c r="AE188" s="29"/>
      <c r="AF188" s="29" t="s">
        <v>547</v>
      </c>
      <c r="AG188" s="29" t="s">
        <v>547</v>
      </c>
      <c r="AH188" s="29" t="s">
        <v>548</v>
      </c>
      <c r="AI188" s="29" t="s">
        <v>546</v>
      </c>
      <c r="AJ188" s="29" t="s">
        <v>547</v>
      </c>
      <c r="AK188" s="67">
        <v>0</v>
      </c>
      <c r="AL188" s="29" t="s">
        <v>547</v>
      </c>
      <c r="AM188" s="29"/>
      <c r="AN188" s="29"/>
      <c r="AO188" s="29" t="s">
        <v>547</v>
      </c>
      <c r="AP188" s="29" t="s">
        <v>547</v>
      </c>
      <c r="AQ188" s="4">
        <f>Q188+AK188</f>
        <v>1</v>
      </c>
      <c r="AR188" s="4">
        <f>L188+AC188</f>
        <v>0</v>
      </c>
      <c r="AS188" t="str">
        <f>AQ188&amp;AR188</f>
        <v>10</v>
      </c>
      <c r="AT188" s="49">
        <f>AQ188-AR188</f>
        <v>1</v>
      </c>
      <c r="AU188">
        <v>2</v>
      </c>
      <c r="AV188" s="29" t="s">
        <v>548</v>
      </c>
      <c r="AW188" s="29">
        <v>0.5</v>
      </c>
      <c r="AX188" s="29" t="s">
        <v>548</v>
      </c>
      <c r="AY188" s="29">
        <v>2</v>
      </c>
      <c r="AZ188" s="29">
        <v>3.25</v>
      </c>
      <c r="BA188" s="29" t="s">
        <v>546</v>
      </c>
      <c r="BB188" s="29" t="s">
        <v>547</v>
      </c>
      <c r="BC188" s="29"/>
      <c r="BD188" s="29">
        <f>AW188+AZ188</f>
        <v>3.75</v>
      </c>
      <c r="BE188" s="29">
        <f>BD188+BC188</f>
        <v>3.75</v>
      </c>
      <c r="BF188" s="29" t="s">
        <v>548</v>
      </c>
      <c r="BG188" s="29" t="s">
        <v>548</v>
      </c>
      <c r="BH188" s="29" t="s">
        <v>548</v>
      </c>
      <c r="BI188" s="29" t="s">
        <v>548</v>
      </c>
      <c r="BJ188" s="29" t="s">
        <v>546</v>
      </c>
      <c r="BK188" s="29" t="s">
        <v>546</v>
      </c>
      <c r="BL188" s="29">
        <v>9</v>
      </c>
      <c r="BM188" s="29" t="s">
        <v>549</v>
      </c>
      <c r="BN188" s="29">
        <v>7</v>
      </c>
      <c r="BO188" s="29" t="s">
        <v>549</v>
      </c>
      <c r="BP188" s="29">
        <v>5</v>
      </c>
      <c r="BQ188" s="29" t="s">
        <v>549</v>
      </c>
      <c r="BR188" s="29">
        <v>4</v>
      </c>
      <c r="BS188" s="29" t="s">
        <v>549</v>
      </c>
      <c r="BT188" s="29"/>
      <c r="BU188" s="29" t="s">
        <v>547</v>
      </c>
      <c r="BV188" s="29"/>
      <c r="BW188" s="29">
        <f>(BL188*1)+(BN188*0.1)+(BP188*0.01)+(BR188*0.1)+(BT188*0.3)+(BV188*0.4)</f>
        <v>10.15</v>
      </c>
      <c r="BX188" s="29" t="s">
        <v>2220</v>
      </c>
      <c r="BY188" s="29">
        <v>1</v>
      </c>
      <c r="BZ188" s="29">
        <v>4</v>
      </c>
      <c r="CA188" s="29">
        <v>3</v>
      </c>
      <c r="CB188" s="29">
        <v>8</v>
      </c>
      <c r="CC188" s="29">
        <v>0</v>
      </c>
      <c r="CD188" s="29">
        <v>0</v>
      </c>
      <c r="CE188" s="29">
        <v>1</v>
      </c>
      <c r="CF188" s="29" t="s">
        <v>547</v>
      </c>
      <c r="CG188" s="29">
        <f>(CC188*15)+(CD188*0.8)+(CE188*0.3)+((AW188+AZ188)*15)</f>
        <v>56.55</v>
      </c>
      <c r="CH188" s="29" t="s">
        <v>2221</v>
      </c>
      <c r="CI188" s="29">
        <f>(BL188*1)+(BN188*0.1)+(BP188*0.01)+(BR188*0.1)+(BT188*0.3)+(BV188*0.4)+(CC188*15)+(CD188*0.8)+(CE188*0.3)+((AW188+AZ188)*15)</f>
        <v>66.7</v>
      </c>
      <c r="CJ188" s="29" t="s">
        <v>546</v>
      </c>
      <c r="CK188" s="29" t="s">
        <v>547</v>
      </c>
      <c r="CL188" s="29" t="s">
        <v>548</v>
      </c>
      <c r="CM188" s="29" t="s">
        <v>550</v>
      </c>
      <c r="CN188" s="29">
        <v>0.25</v>
      </c>
      <c r="CO188" s="29">
        <v>1.5</v>
      </c>
      <c r="CP188" s="29"/>
      <c r="CQ188" s="29" t="s">
        <v>548</v>
      </c>
      <c r="CR188" s="29">
        <v>2</v>
      </c>
      <c r="CS188" s="29">
        <v>22</v>
      </c>
      <c r="CT188" s="29" t="s">
        <v>551</v>
      </c>
      <c r="CU188" s="30">
        <v>2.64</v>
      </c>
      <c r="CV188" s="29"/>
      <c r="CW188" s="29">
        <v>999</v>
      </c>
      <c r="CX188" s="29" t="s">
        <v>551</v>
      </c>
      <c r="CY188" s="62"/>
      <c r="CZ188" s="29">
        <v>2</v>
      </c>
      <c r="DA188" s="29">
        <v>3</v>
      </c>
      <c r="DB188" s="29" t="s">
        <v>551</v>
      </c>
      <c r="DC188" s="62">
        <v>0.36</v>
      </c>
      <c r="DD188" s="29" t="s">
        <v>546</v>
      </c>
      <c r="DE188" s="29" t="s">
        <v>546</v>
      </c>
      <c r="DF188" s="29" t="s">
        <v>548</v>
      </c>
      <c r="DG188" s="29" t="s">
        <v>546</v>
      </c>
      <c r="DH188" s="29" t="s">
        <v>546</v>
      </c>
      <c r="DI188" s="29">
        <v>1</v>
      </c>
      <c r="DJ188" s="29">
        <v>3</v>
      </c>
      <c r="DK188" s="29" t="s">
        <v>716</v>
      </c>
      <c r="DL188" s="29" t="s">
        <v>717</v>
      </c>
      <c r="DM188" s="29">
        <v>-4.3193373680114746</v>
      </c>
      <c r="DN188" s="29">
        <v>35.602512359619141</v>
      </c>
      <c r="DO188" s="29">
        <v>1566.0999755859375</v>
      </c>
      <c r="DP188" s="29">
        <v>5</v>
      </c>
      <c r="DQ188" s="29">
        <v>1706031849</v>
      </c>
      <c r="DR188" s="29" t="s">
        <v>718</v>
      </c>
      <c r="DS188" s="31">
        <v>42921.432499999995</v>
      </c>
      <c r="DT188" s="31">
        <v>42919.473622685182</v>
      </c>
      <c r="DU188" s="31">
        <v>42919.58284722222</v>
      </c>
      <c r="DV188" s="32">
        <v>42770</v>
      </c>
      <c r="DW188" s="29"/>
      <c r="DX188" s="44">
        <v>11.223000000000003</v>
      </c>
      <c r="DY188" s="44">
        <v>8.8830000000000009</v>
      </c>
      <c r="DZ188" s="44">
        <v>7.4670250896057357</v>
      </c>
      <c r="EA188" s="44">
        <v>6.0275985663082441</v>
      </c>
      <c r="EB188" s="29"/>
      <c r="EC188" s="29">
        <f>IF(EQ188&lt;EP188,"FALSEE",1)</f>
        <v>1</v>
      </c>
      <c r="ED188" s="29"/>
      <c r="EE188" s="29" t="s">
        <v>2174</v>
      </c>
      <c r="EF188" s="29">
        <v>9.2199697494499997</v>
      </c>
      <c r="EG188" s="29" t="str">
        <f>IF(EF188&lt;0.5,"Depression",IF(EF188&lt;2,"Very gentle",IF(EF188&lt;5,"Gentle",IF(EF188&lt;9,"Moderate",IF(EF188&lt;15,"Strong",IF(EF188&lt;30,"Steep",IF(EF188&lt;1,"Very steep")))))))</f>
        <v>Strong</v>
      </c>
      <c r="EH188" s="29" t="s">
        <v>2178</v>
      </c>
      <c r="EI188" s="29">
        <v>-0.27191722393000001</v>
      </c>
      <c r="EJ188" s="43">
        <v>8.0099620819100004</v>
      </c>
      <c r="EK188" s="43">
        <f>VLOOKUP(D188,[1]SoilData!$G$15:$K$237,5,FALSE)</f>
        <v>177.88667091467318</v>
      </c>
      <c r="EL188" s="43">
        <f>VLOOKUP(D188,[1]SoilData!$G$245:$K$451,5,FALSE)</f>
        <v>254.92913166888718</v>
      </c>
      <c r="EM188" s="43">
        <f>VLOOKUP(D188,[1]SoilData!$G$15:$M$238,7,FALSE)</f>
        <v>0.73199999999999998</v>
      </c>
      <c r="EN188" s="43">
        <f>VLOOKUP(D188,[1]SoilData!$G$245:$M$454,7,FALSE)</f>
        <v>0.873</v>
      </c>
      <c r="EO188" s="60">
        <f>EM188-EN188</f>
        <v>-0.14100000000000001</v>
      </c>
      <c r="EP188" s="44">
        <f>AVERAGE(DZ188:EA188)</f>
        <v>6.7473118279569899</v>
      </c>
      <c r="EQ188" s="44">
        <f>AVERAGE(DX188:DY188)</f>
        <v>10.053000000000001</v>
      </c>
      <c r="ER188" s="43">
        <f>EQ188-EP188</f>
        <v>3.3056881720430109</v>
      </c>
      <c r="ES188" s="64">
        <f>IF(CU188&gt;0.000001,CU188*352,0)</f>
        <v>929.28000000000009</v>
      </c>
      <c r="ET188" s="64">
        <f>IF(DC188&gt;0.0001,DC188*682,0)</f>
        <v>245.51999999999998</v>
      </c>
      <c r="EU188" s="64">
        <f>CY188*795</f>
        <v>0</v>
      </c>
      <c r="EV188" s="64">
        <f>ES188+ET188+EU188</f>
        <v>1174.8000000000002</v>
      </c>
      <c r="EW188" s="64">
        <f>IF(AA188="YES",3.5*18.2,0)</f>
        <v>63.699999999999996</v>
      </c>
      <c r="EX188" s="64">
        <f>EV188-EW188</f>
        <v>1111.1000000000001</v>
      </c>
    </row>
    <row r="189" spans="1:154" s="34" customFormat="1" ht="15" x14ac:dyDescent="0.2">
      <c r="A189" s="29" t="s">
        <v>556</v>
      </c>
      <c r="B189" s="29">
        <v>170</v>
      </c>
      <c r="C189" s="29" t="s">
        <v>338</v>
      </c>
      <c r="D189" s="29" t="s">
        <v>338</v>
      </c>
      <c r="E189" s="29" t="str">
        <f>VLOOKUP(D189,Harvest_2017_Formulae!$C$2:$D$968,2,FALSE)</f>
        <v>DURU</v>
      </c>
      <c r="F189" s="29" t="s">
        <v>645</v>
      </c>
      <c r="G189" s="29">
        <v>0</v>
      </c>
      <c r="H189" s="61" t="str">
        <f>IF(G189&lt;0.05,"Homefield",IF(G189&lt;0.5,"Midfield","outfield"))</f>
        <v>Homefield</v>
      </c>
      <c r="I189" s="29" t="s">
        <v>557</v>
      </c>
      <c r="J189" s="61" t="s">
        <v>2233</v>
      </c>
      <c r="K189" s="61" t="s">
        <v>2233</v>
      </c>
      <c r="L189" s="67">
        <v>0</v>
      </c>
      <c r="M189" s="29"/>
      <c r="N189" s="29"/>
      <c r="O189" s="29" t="s">
        <v>547</v>
      </c>
      <c r="P189" s="29"/>
      <c r="Q189" s="67">
        <v>1</v>
      </c>
      <c r="R189" s="29" t="s">
        <v>558</v>
      </c>
      <c r="S189" s="29">
        <v>10</v>
      </c>
      <c r="T189" s="29" t="s">
        <v>559</v>
      </c>
      <c r="U189" s="29" t="s">
        <v>560</v>
      </c>
      <c r="V189" s="29"/>
      <c r="W189" s="29" t="s">
        <v>635</v>
      </c>
      <c r="X189" s="29"/>
      <c r="Y189" s="29"/>
      <c r="Z189" s="29" t="s">
        <v>712</v>
      </c>
      <c r="AA189" s="61" t="s">
        <v>548</v>
      </c>
      <c r="AB189" s="29" t="s">
        <v>568</v>
      </c>
      <c r="AC189" s="67">
        <v>0</v>
      </c>
      <c r="AD189" s="29" t="s">
        <v>547</v>
      </c>
      <c r="AE189" s="29"/>
      <c r="AF189" s="29" t="s">
        <v>547</v>
      </c>
      <c r="AG189" s="29" t="s">
        <v>547</v>
      </c>
      <c r="AH189" s="29" t="s">
        <v>548</v>
      </c>
      <c r="AI189" s="29" t="s">
        <v>546</v>
      </c>
      <c r="AJ189" s="29" t="s">
        <v>547</v>
      </c>
      <c r="AK189" s="67">
        <v>0</v>
      </c>
      <c r="AL189" s="29" t="s">
        <v>547</v>
      </c>
      <c r="AM189" s="29"/>
      <c r="AN189" s="29"/>
      <c r="AO189" s="29" t="s">
        <v>547</v>
      </c>
      <c r="AP189" s="29" t="s">
        <v>547</v>
      </c>
      <c r="AQ189" s="4">
        <f>Q189+AK189</f>
        <v>1</v>
      </c>
      <c r="AR189" s="4">
        <f>L189+AC189</f>
        <v>0</v>
      </c>
      <c r="AS189" t="str">
        <f>AQ189&amp;AR189</f>
        <v>10</v>
      </c>
      <c r="AT189" s="49">
        <f>AQ189-AR189</f>
        <v>1</v>
      </c>
      <c r="AU189">
        <v>2</v>
      </c>
      <c r="AV189" s="29" t="s">
        <v>548</v>
      </c>
      <c r="AW189" s="29">
        <v>8.5</v>
      </c>
      <c r="AX189" s="29" t="s">
        <v>546</v>
      </c>
      <c r="AY189" s="29"/>
      <c r="AZ189" s="29"/>
      <c r="BA189" s="29" t="s">
        <v>548</v>
      </c>
      <c r="BB189" s="29" t="s">
        <v>569</v>
      </c>
      <c r="BC189" s="29">
        <v>2</v>
      </c>
      <c r="BD189" s="29">
        <f>AW189+AZ189</f>
        <v>8.5</v>
      </c>
      <c r="BE189" s="29">
        <f>BD189+BC189</f>
        <v>10.5</v>
      </c>
      <c r="BF189" s="29" t="s">
        <v>548</v>
      </c>
      <c r="BG189" s="29" t="s">
        <v>548</v>
      </c>
      <c r="BH189" s="29" t="s">
        <v>548</v>
      </c>
      <c r="BI189" s="29" t="s">
        <v>546</v>
      </c>
      <c r="BJ189" s="29" t="s">
        <v>546</v>
      </c>
      <c r="BK189" s="29" t="s">
        <v>548</v>
      </c>
      <c r="BL189" s="29">
        <v>9</v>
      </c>
      <c r="BM189" s="29" t="s">
        <v>549</v>
      </c>
      <c r="BN189" s="29">
        <v>7</v>
      </c>
      <c r="BO189" s="29" t="s">
        <v>549</v>
      </c>
      <c r="BP189" s="29">
        <v>7</v>
      </c>
      <c r="BQ189" s="29" t="s">
        <v>549</v>
      </c>
      <c r="BR189" s="29"/>
      <c r="BS189" s="29" t="s">
        <v>547</v>
      </c>
      <c r="BT189" s="29"/>
      <c r="BU189" s="29" t="s">
        <v>547</v>
      </c>
      <c r="BV189" s="29">
        <v>1</v>
      </c>
      <c r="BW189" s="29">
        <f>(BL189*1)+(BN189*0.1)+(BP189*0.01)+(BR189*0.1)+(BT189*0.3)+(BV189*0.4)</f>
        <v>10.17</v>
      </c>
      <c r="BX189" s="29" t="s">
        <v>2220</v>
      </c>
      <c r="BY189" s="29">
        <v>2</v>
      </c>
      <c r="BZ189" s="29">
        <v>1</v>
      </c>
      <c r="CA189" s="29">
        <v>5</v>
      </c>
      <c r="CB189" s="29">
        <v>8</v>
      </c>
      <c r="CC189" s="29">
        <v>0</v>
      </c>
      <c r="CD189" s="29">
        <v>0</v>
      </c>
      <c r="CE189" s="29">
        <v>1</v>
      </c>
      <c r="CF189" s="29" t="s">
        <v>547</v>
      </c>
      <c r="CG189" s="29">
        <f>(CC189*15)+(CD189*0.8)+(CE189*0.3)+((AW189+AZ189)*15)</f>
        <v>127.8</v>
      </c>
      <c r="CH189" s="29" t="s">
        <v>2221</v>
      </c>
      <c r="CI189" s="29">
        <f>(BL189*1)+(BN189*0.1)+(BP189*0.01)+(BR189*0.1)+(BT189*0.3)+(BV189*0.4)+(CC189*15)+(CD189*0.8)+(CE189*0.3)+((AW189+AZ189)*15)</f>
        <v>137.97</v>
      </c>
      <c r="CJ189" s="29" t="s">
        <v>546</v>
      </c>
      <c r="CK189" s="29" t="s">
        <v>547</v>
      </c>
      <c r="CL189" s="29" t="s">
        <v>546</v>
      </c>
      <c r="CM189" s="29" t="s">
        <v>547</v>
      </c>
      <c r="CN189" s="29">
        <v>0.25</v>
      </c>
      <c r="CO189" s="29">
        <v>7.75</v>
      </c>
      <c r="CP189" s="29"/>
      <c r="CQ189" s="29" t="s">
        <v>546</v>
      </c>
      <c r="CR189" s="29">
        <v>8</v>
      </c>
      <c r="CS189" s="29">
        <v>62</v>
      </c>
      <c r="CT189" s="29" t="s">
        <v>551</v>
      </c>
      <c r="CU189" s="30">
        <v>1.8599999999999999</v>
      </c>
      <c r="CV189" s="29"/>
      <c r="CW189" s="29">
        <v>999</v>
      </c>
      <c r="CX189" s="29" t="s">
        <v>551</v>
      </c>
      <c r="CY189" s="62"/>
      <c r="CZ189" s="29">
        <v>8</v>
      </c>
      <c r="DA189" s="29">
        <v>3</v>
      </c>
      <c r="DB189" s="29" t="s">
        <v>551</v>
      </c>
      <c r="DC189" s="62">
        <v>0.09</v>
      </c>
      <c r="DD189" s="29" t="s">
        <v>546</v>
      </c>
      <c r="DE189" s="29" t="s">
        <v>546</v>
      </c>
      <c r="DF189" s="29" t="s">
        <v>546</v>
      </c>
      <c r="DG189" s="29" t="s">
        <v>546</v>
      </c>
      <c r="DH189" s="29" t="s">
        <v>546</v>
      </c>
      <c r="DI189" s="29">
        <v>0</v>
      </c>
      <c r="DJ189" s="29">
        <v>3</v>
      </c>
      <c r="DK189" s="29" t="s">
        <v>713</v>
      </c>
      <c r="DL189" s="29" t="s">
        <v>714</v>
      </c>
      <c r="DM189" s="29">
        <v>-4.3720178604125977</v>
      </c>
      <c r="DN189" s="29">
        <v>35.598808288574219</v>
      </c>
      <c r="DO189" s="29">
        <v>1543.800048828125</v>
      </c>
      <c r="DP189" s="29">
        <v>5</v>
      </c>
      <c r="DQ189" s="29">
        <v>1706031849</v>
      </c>
      <c r="DR189" s="29" t="s">
        <v>715</v>
      </c>
      <c r="DS189" s="31">
        <v>42921.432673611111</v>
      </c>
      <c r="DT189" s="31">
        <v>42920.417916666665</v>
      </c>
      <c r="DU189" s="31">
        <v>42920.580358796295</v>
      </c>
      <c r="DV189" s="32">
        <v>42942</v>
      </c>
      <c r="DW189" s="29"/>
      <c r="DX189" s="44">
        <v>3.0502415458937198</v>
      </c>
      <c r="DY189" s="44">
        <v>2.8608695652173917</v>
      </c>
      <c r="DZ189" s="44">
        <v>2.4000000000000004</v>
      </c>
      <c r="EA189" s="44">
        <v>2.2105263157894743</v>
      </c>
      <c r="EB189" s="29"/>
      <c r="EC189" s="29">
        <f>IF(EQ189&lt;EP189,"FALSEE",1)</f>
        <v>1</v>
      </c>
      <c r="ED189" s="29"/>
      <c r="EE189" s="29" t="s">
        <v>2171</v>
      </c>
      <c r="EF189" s="29">
        <v>1.6524535417599999</v>
      </c>
      <c r="EG189" s="29" t="str">
        <f>IF(EF189&lt;0.5,"Depression",IF(EF189&lt;2,"Very gentle",IF(EF189&lt;5,"Gentle",IF(EF189&lt;9,"Moderate",IF(EF189&lt;15,"Strong",IF(EF189&lt;30,"Steep",IF(EF189&lt;1,"Very steep")))))))</f>
        <v>Very gentle</v>
      </c>
      <c r="EH189" s="29" t="s">
        <v>2173</v>
      </c>
      <c r="EI189" s="29">
        <v>9.0650379657699995E-2</v>
      </c>
      <c r="EJ189" s="43">
        <v>12.8858118057</v>
      </c>
      <c r="EK189" s="43">
        <f>VLOOKUP(D189,[1]SoilData!$G$15:$K$237,5,FALSE)</f>
        <v>29.06548824223945</v>
      </c>
      <c r="EL189" s="43"/>
      <c r="EM189" s="43">
        <f>VLOOKUP(D189,[1]SoilData!$G$15:$M$238,7,FALSE)</f>
        <v>0.64300000000000002</v>
      </c>
      <c r="EN189" s="43"/>
      <c r="EO189" s="60"/>
      <c r="EP189" s="44">
        <f>AVERAGE(DZ189:EA189)</f>
        <v>2.3052631578947373</v>
      </c>
      <c r="EQ189" s="44">
        <f>AVERAGE(DX189:DY189)</f>
        <v>2.9555555555555557</v>
      </c>
      <c r="ER189" s="43">
        <f>EQ189-EP189</f>
        <v>0.65029239766081837</v>
      </c>
      <c r="ES189" s="64">
        <f>IF(CU189&gt;0.000001,CU189*352,0)</f>
        <v>654.71999999999991</v>
      </c>
      <c r="ET189" s="64">
        <f>IF(DC189&gt;0.0001,DC189*682,0)</f>
        <v>61.379999999999995</v>
      </c>
      <c r="EU189" s="64">
        <f>CY189*795</f>
        <v>0</v>
      </c>
      <c r="EV189" s="64">
        <f>ES189+ET189+EU189</f>
        <v>716.09999999999991</v>
      </c>
      <c r="EW189" s="64">
        <f>IF(AA189="YES",3.5*18.2,0)</f>
        <v>63.699999999999996</v>
      </c>
      <c r="EX189" s="64">
        <f>EV189-EW189</f>
        <v>652.39999999999986</v>
      </c>
    </row>
    <row r="190" spans="1:154" ht="15" x14ac:dyDescent="0.2">
      <c r="A190" s="29" t="s">
        <v>789</v>
      </c>
      <c r="B190" s="29">
        <v>26</v>
      </c>
      <c r="C190" s="29" t="s">
        <v>378</v>
      </c>
      <c r="D190" s="29" t="s">
        <v>378</v>
      </c>
      <c r="E190" s="29" t="str">
        <f>VLOOKUP(D190,Harvest_2017_Formulae!$C$2:$D$968,2,FALSE)</f>
        <v>SABILO</v>
      </c>
      <c r="F190" s="29" t="s">
        <v>1175</v>
      </c>
      <c r="G190" s="29">
        <v>1.5</v>
      </c>
      <c r="H190" s="61" t="str">
        <f>IF(G190&lt;0.05,"Homefield",IF(G190&lt;0.5,"Midfield","outfield"))</f>
        <v>outfield</v>
      </c>
      <c r="I190" s="29" t="s">
        <v>557</v>
      </c>
      <c r="J190" s="61" t="s">
        <v>2233</v>
      </c>
      <c r="K190" s="61" t="s">
        <v>2233</v>
      </c>
      <c r="L190" s="67">
        <v>0</v>
      </c>
      <c r="O190" s="29" t="s">
        <v>547</v>
      </c>
      <c r="Q190" s="67">
        <v>1</v>
      </c>
      <c r="R190" s="29" t="s">
        <v>615</v>
      </c>
      <c r="S190" s="29">
        <v>4</v>
      </c>
      <c r="T190" s="29">
        <v>1</v>
      </c>
      <c r="U190" s="29" t="s">
        <v>560</v>
      </c>
      <c r="W190" s="29" t="s">
        <v>561</v>
      </c>
      <c r="Z190" s="29" t="s">
        <v>831</v>
      </c>
      <c r="AA190" s="61" t="s">
        <v>546</v>
      </c>
      <c r="AB190" s="29" t="s">
        <v>547</v>
      </c>
      <c r="AC190" s="67">
        <v>0</v>
      </c>
      <c r="AD190" s="29" t="s">
        <v>547</v>
      </c>
      <c r="AF190" s="29" t="s">
        <v>547</v>
      </c>
      <c r="AG190" s="29" t="s">
        <v>547</v>
      </c>
      <c r="AH190" s="29" t="s">
        <v>548</v>
      </c>
      <c r="AI190" s="29" t="s">
        <v>546</v>
      </c>
      <c r="AK190" s="67">
        <v>0</v>
      </c>
      <c r="AL190" s="29" t="s">
        <v>547</v>
      </c>
      <c r="AO190" s="29" t="s">
        <v>547</v>
      </c>
      <c r="AP190" s="29" t="s">
        <v>547</v>
      </c>
      <c r="AQ190" s="4">
        <f>Q190+AK190</f>
        <v>1</v>
      </c>
      <c r="AR190" s="4">
        <f>L190+AC190</f>
        <v>0</v>
      </c>
      <c r="AS190" t="str">
        <f>AQ190&amp;AR190</f>
        <v>10</v>
      </c>
      <c r="AT190" s="49">
        <f>AQ190-AR190</f>
        <v>1</v>
      </c>
      <c r="AU190">
        <v>2</v>
      </c>
      <c r="AV190" s="29" t="s">
        <v>548</v>
      </c>
      <c r="AW190" s="29">
        <v>4</v>
      </c>
      <c r="AX190" s="29" t="s">
        <v>548</v>
      </c>
      <c r="AY190" s="29">
        <v>3</v>
      </c>
      <c r="AZ190" s="29">
        <v>9.5</v>
      </c>
      <c r="BA190" s="29" t="s">
        <v>546</v>
      </c>
      <c r="BB190" s="29" t="s">
        <v>547</v>
      </c>
      <c r="BD190" s="29">
        <f>AW190+AZ190</f>
        <v>13.5</v>
      </c>
      <c r="BE190" s="29">
        <f>BD190+BC190</f>
        <v>13.5</v>
      </c>
      <c r="BF190" s="29" t="s">
        <v>548</v>
      </c>
      <c r="BG190" s="29" t="s">
        <v>548</v>
      </c>
      <c r="BH190" s="29" t="s">
        <v>548</v>
      </c>
      <c r="BI190" s="29" t="s">
        <v>548</v>
      </c>
      <c r="BJ190" s="29" t="s">
        <v>546</v>
      </c>
      <c r="BK190" s="29" t="s">
        <v>546</v>
      </c>
      <c r="BL190" s="29">
        <v>9</v>
      </c>
      <c r="BM190" s="29" t="s">
        <v>549</v>
      </c>
      <c r="BN190" s="29">
        <v>5</v>
      </c>
      <c r="BO190" s="29" t="s">
        <v>580</v>
      </c>
      <c r="BP190" s="29">
        <v>10</v>
      </c>
      <c r="BQ190" s="29" t="s">
        <v>580</v>
      </c>
      <c r="BR190" s="29">
        <v>7</v>
      </c>
      <c r="BS190" s="29" t="s">
        <v>580</v>
      </c>
      <c r="BU190" s="29" t="s">
        <v>547</v>
      </c>
      <c r="BW190" s="29">
        <f>(BL190*1)+(BN190*0.1)+(BP190*0.01)+(BR190*0.1)+(BT190*0.3)+(BV190*0.4)</f>
        <v>10.299999999999999</v>
      </c>
      <c r="BX190" s="29" t="s">
        <v>2220</v>
      </c>
      <c r="BY190" s="29">
        <v>2</v>
      </c>
      <c r="BZ190" s="29">
        <v>3</v>
      </c>
      <c r="CA190" s="29">
        <v>2</v>
      </c>
      <c r="CB190" s="29">
        <v>7</v>
      </c>
      <c r="CC190" s="29">
        <v>0</v>
      </c>
      <c r="CD190" s="29">
        <v>1</v>
      </c>
      <c r="CE190" s="29">
        <v>1</v>
      </c>
      <c r="CG190" s="29">
        <f>(CC190*15)+(CD190*0.8)+(CE190*0.3)+((AW190+AZ190)*15)</f>
        <v>203.6</v>
      </c>
      <c r="CH190" s="29" t="s">
        <v>2221</v>
      </c>
      <c r="CI190" s="29">
        <f>(BL190*1)+(BN190*0.1)+(BP190*0.01)+(BR190*0.1)+(BT190*0.3)+(BV190*0.4)+(CC190*15)+(CD190*0.8)+(CE190*0.3)+((AW190+AZ190)*15)</f>
        <v>213.9</v>
      </c>
      <c r="CJ190" s="29" t="s">
        <v>548</v>
      </c>
      <c r="CK190" s="29" t="s">
        <v>797</v>
      </c>
      <c r="CL190" s="29" t="s">
        <v>548</v>
      </c>
      <c r="CM190" s="29" t="s">
        <v>793</v>
      </c>
      <c r="CN190" s="29">
        <v>0.25</v>
      </c>
      <c r="CO190" s="29">
        <v>9.75</v>
      </c>
      <c r="CP190" s="29">
        <v>0</v>
      </c>
      <c r="CQ190" s="29" t="s">
        <v>548</v>
      </c>
      <c r="CR190" s="29">
        <v>1</v>
      </c>
      <c r="CS190" s="29">
        <v>18</v>
      </c>
      <c r="CT190" s="29" t="s">
        <v>551</v>
      </c>
      <c r="CU190" s="30">
        <v>4.32</v>
      </c>
      <c r="CV190" s="29">
        <v>1</v>
      </c>
      <c r="CW190" s="29">
        <v>0.25</v>
      </c>
      <c r="CX190" s="29" t="s">
        <v>551</v>
      </c>
      <c r="CY190" s="62">
        <v>0.06</v>
      </c>
      <c r="CZ190" s="29">
        <v>1</v>
      </c>
      <c r="DA190" s="29">
        <v>0</v>
      </c>
      <c r="DB190" s="29" t="s">
        <v>551</v>
      </c>
      <c r="DC190" s="62">
        <v>0</v>
      </c>
      <c r="DD190" s="29" t="s">
        <v>546</v>
      </c>
      <c r="DE190" s="29" t="s">
        <v>548</v>
      </c>
      <c r="DF190" s="29" t="s">
        <v>548</v>
      </c>
      <c r="DG190" s="29" t="s">
        <v>548</v>
      </c>
      <c r="DH190" s="29" t="s">
        <v>548</v>
      </c>
      <c r="DI190" s="29">
        <v>4</v>
      </c>
      <c r="DJ190" s="29">
        <v>4</v>
      </c>
      <c r="DK190" s="29" t="s">
        <v>1176</v>
      </c>
      <c r="DL190" s="29" t="s">
        <v>1177</v>
      </c>
      <c r="DM190" s="29">
        <v>-4.3631119728088379</v>
      </c>
      <c r="DN190" s="29">
        <v>35.481925964355469</v>
      </c>
      <c r="DO190" s="29">
        <v>1696.199951171875</v>
      </c>
      <c r="DP190" s="29">
        <v>15</v>
      </c>
      <c r="DQ190" s="29">
        <v>1705231439</v>
      </c>
      <c r="DR190" s="29" t="s">
        <v>1178</v>
      </c>
      <c r="DS190" s="31">
        <v>42908.292581018519</v>
      </c>
      <c r="DT190" s="31">
        <v>42895.642141203702</v>
      </c>
      <c r="DU190" s="31">
        <v>42908.287951388891</v>
      </c>
      <c r="DV190" s="32">
        <v>42765</v>
      </c>
      <c r="DX190" s="44">
        <v>3.1555816993464054</v>
      </c>
      <c r="DY190" s="44">
        <v>4.0362091503267985</v>
      </c>
      <c r="DZ190" s="44">
        <v>2.7316498316498312</v>
      </c>
      <c r="EA190" s="44">
        <v>3.3675420875420876</v>
      </c>
      <c r="EC190" s="29">
        <f>IF(EQ190&lt;EP190,"FALSEE",1)</f>
        <v>1</v>
      </c>
      <c r="EE190" s="29" t="s">
        <v>2171</v>
      </c>
      <c r="EF190" s="29">
        <v>2.49159216881</v>
      </c>
      <c r="EG190" s="29" t="str">
        <f>IF(EF190&lt;0.5,"Depression",IF(EF190&lt;2,"Very gentle",IF(EF190&lt;5,"Gentle",IF(EF190&lt;9,"Moderate",IF(EF190&lt;15,"Strong",IF(EF190&lt;30,"Steep",IF(EF190&lt;1,"Very steep")))))))</f>
        <v>Gentle</v>
      </c>
      <c r="EH190" s="29" t="s">
        <v>2177</v>
      </c>
      <c r="EI190" s="29">
        <v>0.72514367103599997</v>
      </c>
      <c r="EJ190" s="43">
        <v>7.96718549728</v>
      </c>
      <c r="EK190" s="43">
        <f>VLOOKUP(D190,[1]SoilData!$G$15:$K$237,5,FALSE)</f>
        <v>239.72910281049883</v>
      </c>
      <c r="EL190" s="43">
        <f>VLOOKUP(D190,[1]SoilData!$G$245:$K$451,5,FALSE)</f>
        <v>287.4924254827373</v>
      </c>
      <c r="EM190" s="43">
        <f>VLOOKUP(D190,[1]SoilData!$G$15:$M$238,7,FALSE)</f>
        <v>1.9370000000000001</v>
      </c>
      <c r="EN190" s="43">
        <f>VLOOKUP(D190,[1]SoilData!$G$245:$M$454,7,FALSE)</f>
        <v>1.925</v>
      </c>
      <c r="EO190" s="60">
        <f>EM190-EN190</f>
        <v>1.2000000000000011E-2</v>
      </c>
      <c r="EP190" s="44">
        <f>AVERAGE(DZ190:EA190)</f>
        <v>3.0495959595959592</v>
      </c>
      <c r="EQ190" s="44">
        <f>AVERAGE(DX190:DY190)</f>
        <v>3.595895424836602</v>
      </c>
      <c r="ER190" s="43">
        <f>EQ190-EP190</f>
        <v>0.54629946524064277</v>
      </c>
      <c r="ES190" s="64">
        <f>IF(CU190&gt;0.000001,CU190*352,0)</f>
        <v>1520.64</v>
      </c>
      <c r="ET190" s="64">
        <f>IF(DC190&gt;0.0001,DC190*682,0)</f>
        <v>0</v>
      </c>
      <c r="EU190" s="64">
        <f>CY190*795</f>
        <v>47.699999999999996</v>
      </c>
      <c r="EV190" s="64">
        <f>ES190+ET190+EU190</f>
        <v>1568.3400000000001</v>
      </c>
      <c r="EW190" s="64">
        <f>IF(AA190="YES",3.5*18.2,0)</f>
        <v>0</v>
      </c>
      <c r="EX190" s="64">
        <f>EV190-EW190</f>
        <v>1568.3400000000001</v>
      </c>
    </row>
    <row r="191" spans="1:154" ht="15" x14ac:dyDescent="0.2">
      <c r="A191" s="29" t="s">
        <v>556</v>
      </c>
      <c r="B191" s="29">
        <v>150</v>
      </c>
      <c r="C191" s="29" t="s">
        <v>175</v>
      </c>
      <c r="D191" s="29" t="s">
        <v>175</v>
      </c>
      <c r="E191" s="29" t="str">
        <f>VLOOKUP(D191,Harvest_2017_Formulae!$C$2:$D$968,2,FALSE)</f>
        <v>HALLU</v>
      </c>
      <c r="F191" s="29" t="s">
        <v>938</v>
      </c>
      <c r="G191" s="29">
        <v>0</v>
      </c>
      <c r="H191" s="61" t="str">
        <f>IF(G191&lt;0.05,"Homefield",IF(G191&lt;0.5,"Midfield","outfield"))</f>
        <v>Homefield</v>
      </c>
      <c r="I191" s="29" t="s">
        <v>557</v>
      </c>
      <c r="J191" s="61" t="s">
        <v>2233</v>
      </c>
      <c r="K191" s="61" t="s">
        <v>2233</v>
      </c>
      <c r="L191" s="67">
        <v>0</v>
      </c>
      <c r="O191" s="29" t="s">
        <v>547</v>
      </c>
      <c r="Q191" s="67">
        <v>1</v>
      </c>
      <c r="R191" s="29" t="s">
        <v>558</v>
      </c>
      <c r="S191" s="29">
        <v>12</v>
      </c>
      <c r="T191" s="29" t="s">
        <v>559</v>
      </c>
      <c r="U191" s="29" t="s">
        <v>560</v>
      </c>
      <c r="W191" s="29" t="s">
        <v>561</v>
      </c>
      <c r="Y191" s="29">
        <v>5000</v>
      </c>
      <c r="Z191" s="29" t="s">
        <v>547</v>
      </c>
      <c r="AA191" s="61" t="s">
        <v>548</v>
      </c>
      <c r="AB191" s="29" t="s">
        <v>568</v>
      </c>
      <c r="AC191" s="67">
        <v>0</v>
      </c>
      <c r="AD191" s="29" t="s">
        <v>547</v>
      </c>
      <c r="AF191" s="29" t="s">
        <v>547</v>
      </c>
      <c r="AG191" s="29" t="s">
        <v>547</v>
      </c>
      <c r="AH191" s="29" t="s">
        <v>548</v>
      </c>
      <c r="AI191" s="29" t="s">
        <v>546</v>
      </c>
      <c r="AJ191" s="29" t="s">
        <v>547</v>
      </c>
      <c r="AK191" s="67">
        <v>0</v>
      </c>
      <c r="AL191" s="29" t="s">
        <v>547</v>
      </c>
      <c r="AO191" s="29" t="s">
        <v>547</v>
      </c>
      <c r="AP191" s="29" t="s">
        <v>547</v>
      </c>
      <c r="AQ191" s="4">
        <f>Q191+AK191</f>
        <v>1</v>
      </c>
      <c r="AR191" s="4">
        <f>L191+AC191</f>
        <v>0</v>
      </c>
      <c r="AS191" t="str">
        <f>AQ191&amp;AR191</f>
        <v>10</v>
      </c>
      <c r="AT191" s="49">
        <f>AQ191-AR191</f>
        <v>1</v>
      </c>
      <c r="AU191">
        <v>2</v>
      </c>
      <c r="AV191" s="29" t="s">
        <v>548</v>
      </c>
      <c r="AW191" s="29">
        <v>1</v>
      </c>
      <c r="AX191" s="29" t="s">
        <v>548</v>
      </c>
      <c r="AY191" s="29">
        <v>2</v>
      </c>
      <c r="AZ191" s="29">
        <v>7</v>
      </c>
      <c r="BA191" s="29" t="s">
        <v>546</v>
      </c>
      <c r="BB191" s="29" t="s">
        <v>547</v>
      </c>
      <c r="BD191" s="29">
        <f>AW191+AZ191</f>
        <v>8</v>
      </c>
      <c r="BE191" s="29">
        <f>BD191+BC191</f>
        <v>8</v>
      </c>
      <c r="BF191" s="29" t="s">
        <v>548</v>
      </c>
      <c r="BG191" s="29" t="s">
        <v>548</v>
      </c>
      <c r="BH191" s="29" t="s">
        <v>546</v>
      </c>
      <c r="BI191" s="29" t="s">
        <v>546</v>
      </c>
      <c r="BJ191" s="29" t="s">
        <v>546</v>
      </c>
      <c r="BK191" s="29" t="s">
        <v>546</v>
      </c>
      <c r="BL191" s="29">
        <v>10</v>
      </c>
      <c r="BM191" s="29" t="s">
        <v>549</v>
      </c>
      <c r="BN191" s="29">
        <v>5</v>
      </c>
      <c r="BO191" s="29" t="s">
        <v>549</v>
      </c>
      <c r="BQ191" s="29" t="s">
        <v>547</v>
      </c>
      <c r="BS191" s="29" t="s">
        <v>547</v>
      </c>
      <c r="BU191" s="29" t="s">
        <v>547</v>
      </c>
      <c r="BW191" s="29">
        <f>(BL191*1)+(BN191*0.1)+(BP191*0.01)+(BR191*0.1)+(BT191*0.3)+(BV191*0.4)</f>
        <v>10.5</v>
      </c>
      <c r="BX191" s="29" t="s">
        <v>2220</v>
      </c>
      <c r="BY191" s="29">
        <v>4</v>
      </c>
      <c r="BZ191" s="29">
        <v>1</v>
      </c>
      <c r="CA191" s="29">
        <v>5</v>
      </c>
      <c r="CB191" s="29">
        <v>10</v>
      </c>
      <c r="CC191" s="29">
        <v>0</v>
      </c>
      <c r="CD191" s="29">
        <v>0</v>
      </c>
      <c r="CE191" s="29">
        <v>1</v>
      </c>
      <c r="CF191" s="29" t="s">
        <v>547</v>
      </c>
      <c r="CG191" s="29">
        <f>(CC191*15)+(CD191*0.8)+(CE191*0.3)+((AW191+AZ191)*15)</f>
        <v>120.3</v>
      </c>
      <c r="CH191" s="29" t="s">
        <v>2221</v>
      </c>
      <c r="CI191" s="29">
        <f>(BL191*1)+(BN191*0.1)+(BP191*0.01)+(BR191*0.1)+(BT191*0.3)+(BV191*0.4)+(CC191*15)+(CD191*0.8)+(CE191*0.3)+((AW191+AZ191)*15)</f>
        <v>130.80000000000001</v>
      </c>
      <c r="CJ191" s="29" t="s">
        <v>546</v>
      </c>
      <c r="CK191" s="29" t="s">
        <v>547</v>
      </c>
      <c r="CL191" s="29" t="s">
        <v>546</v>
      </c>
      <c r="CM191" s="29" t="s">
        <v>547</v>
      </c>
      <c r="CN191" s="29">
        <v>0.5</v>
      </c>
      <c r="CO191" s="29">
        <v>0.5</v>
      </c>
      <c r="CQ191" s="29" t="s">
        <v>548</v>
      </c>
      <c r="CR191" s="29">
        <v>1</v>
      </c>
      <c r="CS191" s="29">
        <v>25</v>
      </c>
      <c r="CT191" s="29" t="s">
        <v>551</v>
      </c>
      <c r="CU191" s="30">
        <v>6</v>
      </c>
      <c r="CW191" s="29">
        <v>999</v>
      </c>
      <c r="CX191" s="29" t="s">
        <v>551</v>
      </c>
      <c r="CY191" s="62"/>
      <c r="CZ191" s="29">
        <v>3</v>
      </c>
      <c r="DA191" s="29">
        <v>4</v>
      </c>
      <c r="DB191" s="29" t="s">
        <v>551</v>
      </c>
      <c r="DC191" s="62">
        <v>0.32</v>
      </c>
      <c r="DD191" s="29" t="s">
        <v>548</v>
      </c>
      <c r="DE191" s="29" t="s">
        <v>548</v>
      </c>
      <c r="DF191" s="29" t="s">
        <v>548</v>
      </c>
      <c r="DG191" s="29" t="s">
        <v>548</v>
      </c>
      <c r="DH191" s="29" t="s">
        <v>548</v>
      </c>
      <c r="DI191" s="29">
        <v>5</v>
      </c>
      <c r="DJ191" s="29">
        <v>4</v>
      </c>
      <c r="DK191" s="29" t="s">
        <v>953</v>
      </c>
      <c r="DL191" s="29" t="s">
        <v>954</v>
      </c>
      <c r="DM191" s="29">
        <v>-4.3047881126403809</v>
      </c>
      <c r="DN191" s="29">
        <v>35.890499114990234</v>
      </c>
      <c r="DO191" s="29">
        <v>1218.4000244140625</v>
      </c>
      <c r="DP191" s="29">
        <v>5</v>
      </c>
      <c r="DQ191" s="29">
        <v>1706031849</v>
      </c>
      <c r="DR191" s="29" t="s">
        <v>955</v>
      </c>
      <c r="DS191" s="31">
        <v>42913.638611111106</v>
      </c>
      <c r="DT191" s="31">
        <v>42909.598946759259</v>
      </c>
      <c r="DU191" s="31">
        <v>42909.613310185188</v>
      </c>
      <c r="DV191" s="32">
        <v>42770</v>
      </c>
      <c r="DX191" s="44">
        <v>6.8981069958847732</v>
      </c>
      <c r="DY191" s="44">
        <v>6.6179423868312757</v>
      </c>
      <c r="DZ191" s="44">
        <v>6.0869642857142852</v>
      </c>
      <c r="EA191" s="44">
        <v>5.5322222222222219</v>
      </c>
      <c r="EC191" s="29">
        <f>IF(EQ191&lt;EP191,"FALSEE",1)</f>
        <v>1</v>
      </c>
      <c r="EE191" s="29" t="s">
        <v>2171</v>
      </c>
      <c r="EF191" s="29">
        <v>1.4196667671200001</v>
      </c>
      <c r="EG191" s="29" t="str">
        <f>IF(EF191&lt;0.5,"Depression",IF(EF191&lt;2,"Very gentle",IF(EF191&lt;5,"Gentle",IF(EF191&lt;9,"Moderate",IF(EF191&lt;15,"Strong",IF(EF191&lt;30,"Steep",IF(EF191&lt;1,"Very steep")))))))</f>
        <v>Very gentle</v>
      </c>
      <c r="EH191" s="29" t="s">
        <v>2173</v>
      </c>
      <c r="EI191" s="29">
        <v>-0.18127532303300001</v>
      </c>
      <c r="EJ191" s="43">
        <v>9.1224098205599997</v>
      </c>
      <c r="EK191" s="43">
        <f>VLOOKUP(D191,[1]SoilData!$G$15:$K$237,5,FALSE)</f>
        <v>509.28001623321745</v>
      </c>
      <c r="EL191" s="43">
        <f>VLOOKUP(D191,[1]SoilData!$G$245:$K$451,5,FALSE)</f>
        <v>441.00846156447648</v>
      </c>
      <c r="EM191" s="43">
        <f>VLOOKUP(D191,[1]SoilData!$G$15:$M$238,7,FALSE)</f>
        <v>1.9259999999999999</v>
      </c>
      <c r="EN191" s="43">
        <f>VLOOKUP(D191,[1]SoilData!$G$245:$M$454,7,FALSE)</f>
        <v>1.9810000000000001</v>
      </c>
      <c r="EO191" s="60">
        <f>EM191-EN191</f>
        <v>-5.500000000000016E-2</v>
      </c>
      <c r="EP191" s="44">
        <f>AVERAGE(DZ191:EA191)</f>
        <v>5.809593253968254</v>
      </c>
      <c r="EQ191" s="44">
        <f>AVERAGE(DX191:DY191)</f>
        <v>6.758024691358024</v>
      </c>
      <c r="ER191" s="43">
        <f>EQ191-EP191</f>
        <v>0.94843143738976998</v>
      </c>
      <c r="ES191" s="64">
        <f>IF(CU191&gt;0.000001,CU191*352,0)</f>
        <v>2112</v>
      </c>
      <c r="ET191" s="64">
        <f>IF(DC191&gt;0.0001,DC191*682,0)</f>
        <v>218.24</v>
      </c>
      <c r="EU191" s="64">
        <f>CY191*795</f>
        <v>0</v>
      </c>
      <c r="EV191" s="64">
        <f>ES191+ET191+EU191</f>
        <v>2330.2399999999998</v>
      </c>
      <c r="EW191" s="64">
        <f>IF(AA191="YES",3.5*18.2,0)</f>
        <v>63.699999999999996</v>
      </c>
      <c r="EX191" s="64">
        <f>EV191-EW191</f>
        <v>2266.54</v>
      </c>
    </row>
    <row r="192" spans="1:154" s="34" customFormat="1" ht="15" x14ac:dyDescent="0.2">
      <c r="A192" s="29" t="s">
        <v>789</v>
      </c>
      <c r="B192" s="29">
        <v>54</v>
      </c>
      <c r="C192" s="29" t="s">
        <v>193</v>
      </c>
      <c r="D192" s="29" t="s">
        <v>193</v>
      </c>
      <c r="E192" s="29" t="str">
        <f>VLOOKUP(D192,Harvest_2017_Formulae!$C$2:$D$968,2,FALSE)</f>
        <v>MANDI</v>
      </c>
      <c r="F192" s="29" t="s">
        <v>1014</v>
      </c>
      <c r="G192" s="29">
        <v>0.20000000298023224</v>
      </c>
      <c r="H192" s="61" t="str">
        <f>IF(G192&lt;0.05,"Homefield",IF(G192&lt;0.5,"Midfield","outfield"))</f>
        <v>Midfield</v>
      </c>
      <c r="I192" s="29" t="s">
        <v>557</v>
      </c>
      <c r="J192" s="61" t="s">
        <v>2233</v>
      </c>
      <c r="K192" s="61" t="s">
        <v>2233</v>
      </c>
      <c r="L192" s="67">
        <v>0</v>
      </c>
      <c r="M192" s="29"/>
      <c r="N192" s="29"/>
      <c r="O192" s="29" t="s">
        <v>547</v>
      </c>
      <c r="P192" s="29"/>
      <c r="Q192" s="67">
        <v>1</v>
      </c>
      <c r="R192" s="29" t="s">
        <v>942</v>
      </c>
      <c r="S192" s="29">
        <v>2</v>
      </c>
      <c r="T192" s="29">
        <v>1.5</v>
      </c>
      <c r="U192" s="29" t="s">
        <v>560</v>
      </c>
      <c r="V192" s="29"/>
      <c r="W192" s="29" t="s">
        <v>635</v>
      </c>
      <c r="X192" s="29"/>
      <c r="Y192" s="29"/>
      <c r="Z192" s="29" t="s">
        <v>831</v>
      </c>
      <c r="AA192" s="61" t="s">
        <v>548</v>
      </c>
      <c r="AB192" s="29" t="s">
        <v>568</v>
      </c>
      <c r="AC192" s="67">
        <v>0</v>
      </c>
      <c r="AD192" s="29" t="s">
        <v>547</v>
      </c>
      <c r="AE192" s="29"/>
      <c r="AF192" s="29" t="s">
        <v>547</v>
      </c>
      <c r="AG192" s="29" t="s">
        <v>547</v>
      </c>
      <c r="AH192" s="29" t="s">
        <v>548</v>
      </c>
      <c r="AI192" s="29" t="s">
        <v>546</v>
      </c>
      <c r="AJ192" s="29"/>
      <c r="AK192" s="67">
        <v>0</v>
      </c>
      <c r="AL192" s="29" t="s">
        <v>547</v>
      </c>
      <c r="AM192" s="29"/>
      <c r="AN192" s="29"/>
      <c r="AO192" s="29" t="s">
        <v>547</v>
      </c>
      <c r="AP192" s="29" t="s">
        <v>547</v>
      </c>
      <c r="AQ192" s="4">
        <f>Q192+AK192</f>
        <v>1</v>
      </c>
      <c r="AR192" s="4">
        <f>L192+AC192</f>
        <v>0</v>
      </c>
      <c r="AS192" t="str">
        <f>AQ192&amp;AR192</f>
        <v>10</v>
      </c>
      <c r="AT192" s="49">
        <f>AQ192-AR192</f>
        <v>1</v>
      </c>
      <c r="AU192">
        <v>2</v>
      </c>
      <c r="AV192" s="29" t="s">
        <v>548</v>
      </c>
      <c r="AW192" s="29">
        <v>0.75</v>
      </c>
      <c r="AX192" s="29" t="s">
        <v>548</v>
      </c>
      <c r="AY192" s="29">
        <v>3</v>
      </c>
      <c r="AZ192" s="29">
        <v>7</v>
      </c>
      <c r="BA192" s="29" t="s">
        <v>546</v>
      </c>
      <c r="BB192" s="29" t="s">
        <v>547</v>
      </c>
      <c r="BC192" s="29"/>
      <c r="BD192" s="29">
        <f>AW192+AZ192</f>
        <v>7.75</v>
      </c>
      <c r="BE192" s="29">
        <f>BD192+BC192</f>
        <v>7.75</v>
      </c>
      <c r="BF192" s="29" t="s">
        <v>548</v>
      </c>
      <c r="BG192" s="29" t="s">
        <v>548</v>
      </c>
      <c r="BH192" s="29" t="s">
        <v>548</v>
      </c>
      <c r="BI192" s="29" t="s">
        <v>546</v>
      </c>
      <c r="BJ192" s="29" t="s">
        <v>546</v>
      </c>
      <c r="BK192" s="29" t="s">
        <v>546</v>
      </c>
      <c r="BL192" s="29">
        <v>10</v>
      </c>
      <c r="BM192" s="29" t="s">
        <v>580</v>
      </c>
      <c r="BN192" s="29">
        <v>5</v>
      </c>
      <c r="BO192" s="29" t="s">
        <v>580</v>
      </c>
      <c r="BP192" s="29">
        <v>10</v>
      </c>
      <c r="BQ192" s="29" t="s">
        <v>580</v>
      </c>
      <c r="BR192" s="29"/>
      <c r="BS192" s="29" t="s">
        <v>547</v>
      </c>
      <c r="BT192" s="29"/>
      <c r="BU192" s="29" t="s">
        <v>547</v>
      </c>
      <c r="BV192" s="29"/>
      <c r="BW192" s="29">
        <f>(BL192*1)+(BN192*0.1)+(BP192*0.01)+(BR192*0.1)+(BT192*0.3)+(BV192*0.4)</f>
        <v>10.6</v>
      </c>
      <c r="BX192" s="29" t="s">
        <v>2220</v>
      </c>
      <c r="BY192" s="29">
        <v>1</v>
      </c>
      <c r="BZ192" s="29">
        <v>3</v>
      </c>
      <c r="CA192" s="29">
        <v>9</v>
      </c>
      <c r="CB192" s="29">
        <v>13</v>
      </c>
      <c r="CC192" s="29">
        <v>0</v>
      </c>
      <c r="CD192" s="29">
        <v>1</v>
      </c>
      <c r="CE192" s="29">
        <v>1</v>
      </c>
      <c r="CF192" s="29"/>
      <c r="CG192" s="29">
        <f>(CC192*15)+(CD192*0.8)+(CE192*0.3)+((AW192+AZ192)*15)</f>
        <v>117.35</v>
      </c>
      <c r="CH192" s="29" t="s">
        <v>2221</v>
      </c>
      <c r="CI192" s="29">
        <f>(BL192*1)+(BN192*0.1)+(BP192*0.01)+(BR192*0.1)+(BT192*0.3)+(BV192*0.4)+(CC192*15)+(CD192*0.8)+(CE192*0.3)+((AW192+AZ192)*15)</f>
        <v>127.95</v>
      </c>
      <c r="CJ192" s="29" t="s">
        <v>548</v>
      </c>
      <c r="CK192" s="29" t="s">
        <v>1015</v>
      </c>
      <c r="CL192" s="29" t="s">
        <v>548</v>
      </c>
      <c r="CM192" s="29" t="s">
        <v>793</v>
      </c>
      <c r="CN192" s="29">
        <v>0.25</v>
      </c>
      <c r="CO192" s="29">
        <v>6.75</v>
      </c>
      <c r="CP192" s="29">
        <v>0</v>
      </c>
      <c r="CQ192" s="29" t="s">
        <v>548</v>
      </c>
      <c r="CR192" s="29">
        <v>1</v>
      </c>
      <c r="CS192" s="29">
        <v>9</v>
      </c>
      <c r="CT192" s="29" t="s">
        <v>551</v>
      </c>
      <c r="CU192" s="30">
        <v>2.16</v>
      </c>
      <c r="CV192" s="29">
        <v>1</v>
      </c>
      <c r="CW192" s="29">
        <v>2</v>
      </c>
      <c r="CX192" s="29" t="s">
        <v>551</v>
      </c>
      <c r="CY192" s="62">
        <v>0.48</v>
      </c>
      <c r="CZ192" s="29"/>
      <c r="DA192" s="29">
        <v>999</v>
      </c>
      <c r="DB192" s="29" t="s">
        <v>551</v>
      </c>
      <c r="DC192" s="62"/>
      <c r="DD192" s="29" t="s">
        <v>546</v>
      </c>
      <c r="DE192" s="29" t="s">
        <v>548</v>
      </c>
      <c r="DF192" s="29" t="s">
        <v>546</v>
      </c>
      <c r="DG192" s="29" t="s">
        <v>548</v>
      </c>
      <c r="DH192" s="29" t="s">
        <v>546</v>
      </c>
      <c r="DI192" s="29">
        <v>2</v>
      </c>
      <c r="DJ192" s="29">
        <v>2</v>
      </c>
      <c r="DK192" s="29" t="s">
        <v>1016</v>
      </c>
      <c r="DL192" s="29" t="s">
        <v>1017</v>
      </c>
      <c r="DM192" s="29">
        <v>-4.3519630432128906</v>
      </c>
      <c r="DN192" s="29">
        <v>35.427867889404297</v>
      </c>
      <c r="DO192" s="29">
        <v>1650.4000244140625</v>
      </c>
      <c r="DP192" s="29">
        <v>5</v>
      </c>
      <c r="DQ192" s="29">
        <v>1705231439</v>
      </c>
      <c r="DR192" s="29" t="s">
        <v>1018</v>
      </c>
      <c r="DS192" s="31">
        <v>42923.381770833337</v>
      </c>
      <c r="DT192" s="31">
        <v>42908.495706018519</v>
      </c>
      <c r="DU192" s="31">
        <v>42908.511087962965</v>
      </c>
      <c r="DV192" s="32">
        <v>42791</v>
      </c>
      <c r="DW192" s="29"/>
      <c r="DX192" s="44">
        <v>2.3600000000000003</v>
      </c>
      <c r="DY192" s="44">
        <v>2.3272222222222219</v>
      </c>
      <c r="DZ192" s="44">
        <v>1.4639682539682541</v>
      </c>
      <c r="EA192" s="44">
        <v>1.9286190476190479</v>
      </c>
      <c r="EB192" s="29"/>
      <c r="EC192" s="29">
        <f>IF(EQ192&lt;EP192,"FALSEE",1)</f>
        <v>1</v>
      </c>
      <c r="ED192" s="29"/>
      <c r="EE192" s="29" t="s">
        <v>2171</v>
      </c>
      <c r="EF192" s="29">
        <v>4.8935842514000001</v>
      </c>
      <c r="EG192" s="29" t="str">
        <f>IF(EF192&lt;0.5,"Depression",IF(EF192&lt;2,"Very gentle",IF(EF192&lt;5,"Gentle",IF(EF192&lt;9,"Moderate",IF(EF192&lt;15,"Strong",IF(EF192&lt;30,"Steep",IF(EF192&lt;1,"Very steep")))))))</f>
        <v>Gentle</v>
      </c>
      <c r="EH192" s="29" t="s">
        <v>2177</v>
      </c>
      <c r="EI192" s="29">
        <v>0.63450175523800001</v>
      </c>
      <c r="EJ192" s="43">
        <v>7.66307353973</v>
      </c>
      <c r="EK192" s="43">
        <f>VLOOKUP(D192,[1]SoilData!$G$15:$K$237,5,FALSE)</f>
        <v>209.60793566716438</v>
      </c>
      <c r="EL192" s="43">
        <f>VLOOKUP(D192,[1]SoilData!$G$245:$K$451,5,FALSE)</f>
        <v>461.1365339240142</v>
      </c>
      <c r="EM192" s="43">
        <f>VLOOKUP(D192,[1]SoilData!$G$15:$M$238,7,FALSE)</f>
        <v>1.5620000000000001</v>
      </c>
      <c r="EN192" s="43">
        <f>VLOOKUP(D192,[1]SoilData!$G$245:$M$454,7,FALSE)</f>
        <v>2.3849999999999998</v>
      </c>
      <c r="EO192" s="60">
        <f>EM192-EN192</f>
        <v>-0.82299999999999973</v>
      </c>
      <c r="EP192" s="44">
        <f>AVERAGE(DZ192:EA192)</f>
        <v>1.696293650793651</v>
      </c>
      <c r="EQ192" s="44">
        <f>AVERAGE(DX192:DY192)</f>
        <v>2.3436111111111111</v>
      </c>
      <c r="ER192" s="43">
        <f>EQ192-EP192</f>
        <v>0.64731746031746007</v>
      </c>
      <c r="ES192" s="64">
        <f>IF(CU192&gt;0.000001,CU192*352,0)</f>
        <v>760.32</v>
      </c>
      <c r="ET192" s="64">
        <f>IF(DC192&gt;0.0001,DC192*682,0)</f>
        <v>0</v>
      </c>
      <c r="EU192" s="64">
        <f>CY192*795</f>
        <v>381.59999999999997</v>
      </c>
      <c r="EV192" s="64">
        <f>ES192+ET192+EU192</f>
        <v>1141.92</v>
      </c>
      <c r="EW192" s="64">
        <f>IF(AA192="YES",3.5*18.2,0)</f>
        <v>63.699999999999996</v>
      </c>
      <c r="EX192" s="64">
        <f>EV192-EW192</f>
        <v>1078.22</v>
      </c>
    </row>
    <row r="193" spans="1:154" s="34" customFormat="1" ht="15" x14ac:dyDescent="0.2">
      <c r="A193" s="29" t="s">
        <v>789</v>
      </c>
      <c r="B193" s="29">
        <v>16</v>
      </c>
      <c r="C193" s="29" t="s">
        <v>1440</v>
      </c>
      <c r="D193" s="29" t="s">
        <v>1440</v>
      </c>
      <c r="E193" s="29" t="e">
        <f>VLOOKUP(D193,Harvest_2017_Formulae!$C$2:$D$968,2,FALSE)</f>
        <v>#N/A</v>
      </c>
      <c r="F193" s="29" t="s">
        <v>1175</v>
      </c>
      <c r="G193" s="29">
        <v>0</v>
      </c>
      <c r="H193" s="61" t="str">
        <f>IF(G193&lt;0.05,"Homefield",IF(G193&lt;0.5,"Midfield","outfield"))</f>
        <v>Homefield</v>
      </c>
      <c r="I193" s="29" t="s">
        <v>557</v>
      </c>
      <c r="J193" s="61" t="s">
        <v>2233</v>
      </c>
      <c r="K193" s="61" t="s">
        <v>2233</v>
      </c>
      <c r="L193" s="67">
        <v>0</v>
      </c>
      <c r="M193" s="29"/>
      <c r="N193" s="29"/>
      <c r="O193" s="29" t="s">
        <v>547</v>
      </c>
      <c r="P193" s="29"/>
      <c r="Q193" s="67">
        <v>1</v>
      </c>
      <c r="R193" s="29" t="s">
        <v>615</v>
      </c>
      <c r="S193" s="29">
        <v>3</v>
      </c>
      <c r="T193" s="29">
        <v>0.60000002384185791</v>
      </c>
      <c r="U193" s="29" t="s">
        <v>560</v>
      </c>
      <c r="V193" s="29"/>
      <c r="W193" s="29" t="s">
        <v>635</v>
      </c>
      <c r="X193" s="29"/>
      <c r="Y193" s="29">
        <v>13300</v>
      </c>
      <c r="Z193" s="29" t="s">
        <v>547</v>
      </c>
      <c r="AA193" s="61" t="s">
        <v>548</v>
      </c>
      <c r="AB193" s="29" t="s">
        <v>568</v>
      </c>
      <c r="AC193" s="67">
        <v>0</v>
      </c>
      <c r="AD193" s="29" t="s">
        <v>547</v>
      </c>
      <c r="AE193" s="29"/>
      <c r="AF193" s="29" t="s">
        <v>547</v>
      </c>
      <c r="AG193" s="29" t="s">
        <v>547</v>
      </c>
      <c r="AH193" s="29" t="s">
        <v>548</v>
      </c>
      <c r="AI193" s="29" t="s">
        <v>546</v>
      </c>
      <c r="AJ193" s="29" t="s">
        <v>547</v>
      </c>
      <c r="AK193" s="67">
        <v>0</v>
      </c>
      <c r="AL193" s="29" t="s">
        <v>547</v>
      </c>
      <c r="AM193" s="29"/>
      <c r="AN193" s="29"/>
      <c r="AO193" s="29" t="s">
        <v>547</v>
      </c>
      <c r="AP193" s="29" t="s">
        <v>547</v>
      </c>
      <c r="AQ193" s="4">
        <f>Q193+AK193</f>
        <v>1</v>
      </c>
      <c r="AR193" s="4">
        <f>L193+AC193</f>
        <v>0</v>
      </c>
      <c r="AS193" t="str">
        <f>AQ193&amp;AR193</f>
        <v>10</v>
      </c>
      <c r="AT193" s="49">
        <f>AQ193-AR193</f>
        <v>1</v>
      </c>
      <c r="AU193">
        <v>2</v>
      </c>
      <c r="AV193" s="29" t="s">
        <v>548</v>
      </c>
      <c r="AW193" s="29">
        <v>5</v>
      </c>
      <c r="AX193" s="29" t="s">
        <v>546</v>
      </c>
      <c r="AY193" s="29"/>
      <c r="AZ193" s="29"/>
      <c r="BA193" s="29" t="s">
        <v>546</v>
      </c>
      <c r="BB193" s="29" t="s">
        <v>547</v>
      </c>
      <c r="BC193" s="29"/>
      <c r="BD193" s="29">
        <f>AW193+AZ193</f>
        <v>5</v>
      </c>
      <c r="BE193" s="29">
        <f>BD193+BC193</f>
        <v>5</v>
      </c>
      <c r="BF193" s="29" t="s">
        <v>548</v>
      </c>
      <c r="BG193" s="29" t="s">
        <v>548</v>
      </c>
      <c r="BH193" s="29" t="s">
        <v>548</v>
      </c>
      <c r="BI193" s="29" t="s">
        <v>546</v>
      </c>
      <c r="BJ193" s="29" t="s">
        <v>548</v>
      </c>
      <c r="BK193" s="29" t="s">
        <v>548</v>
      </c>
      <c r="BL193" s="29">
        <v>9</v>
      </c>
      <c r="BM193" s="29" t="s">
        <v>580</v>
      </c>
      <c r="BN193" s="29">
        <v>5</v>
      </c>
      <c r="BO193" s="29" t="s">
        <v>580</v>
      </c>
      <c r="BP193" s="29">
        <v>12</v>
      </c>
      <c r="BQ193" s="29" t="s">
        <v>580</v>
      </c>
      <c r="BR193" s="29"/>
      <c r="BS193" s="29" t="s">
        <v>547</v>
      </c>
      <c r="BT193" s="29">
        <v>1</v>
      </c>
      <c r="BU193" s="29" t="s">
        <v>562</v>
      </c>
      <c r="BV193" s="29">
        <v>2</v>
      </c>
      <c r="BW193" s="29">
        <f>(BL193*1)+(BN193*0.1)+(BP193*0.01)+(BR193*0.1)+(BT193*0.3)+(BV193*0.4)</f>
        <v>10.72</v>
      </c>
      <c r="BX193" s="29" t="s">
        <v>2220</v>
      </c>
      <c r="BY193" s="29">
        <v>3</v>
      </c>
      <c r="BZ193" s="29">
        <v>3</v>
      </c>
      <c r="CA193" s="29">
        <v>1</v>
      </c>
      <c r="CB193" s="29">
        <v>7</v>
      </c>
      <c r="CC193" s="29">
        <v>0</v>
      </c>
      <c r="CD193" s="29">
        <v>1</v>
      </c>
      <c r="CE193" s="29">
        <v>1</v>
      </c>
      <c r="CF193" s="29" t="s">
        <v>547</v>
      </c>
      <c r="CG193" s="29">
        <f>(CC193*15)+(CD193*0.8)+(CE193*0.3)+((AW193+AZ193)*15)</f>
        <v>76.099999999999994</v>
      </c>
      <c r="CH193" s="29" t="s">
        <v>2221</v>
      </c>
      <c r="CI193" s="29">
        <f>(BL193*1)+(BN193*0.1)+(BP193*0.01)+(BR193*0.1)+(BT193*0.3)+(BV193*0.4)+(CC193*15)+(CD193*0.8)+(CE193*0.3)+((AW193+AZ193)*15)</f>
        <v>86.820000000000007</v>
      </c>
      <c r="CJ193" s="29" t="s">
        <v>548</v>
      </c>
      <c r="CK193" s="29" t="s">
        <v>797</v>
      </c>
      <c r="CL193" s="29" t="s">
        <v>548</v>
      </c>
      <c r="CM193" s="29" t="s">
        <v>550</v>
      </c>
      <c r="CN193" s="29">
        <v>10.36185302</v>
      </c>
      <c r="CO193" s="29">
        <v>6.5046325600000001</v>
      </c>
      <c r="CP193" s="29">
        <v>0</v>
      </c>
      <c r="CQ193" s="29" t="s">
        <v>548</v>
      </c>
      <c r="CR193" s="29">
        <v>1</v>
      </c>
      <c r="CS193" s="29">
        <v>10.600000381469727</v>
      </c>
      <c r="CT193" s="29" t="s">
        <v>551</v>
      </c>
      <c r="CU193" s="30">
        <v>2.5440000915527343</v>
      </c>
      <c r="CV193" s="29">
        <v>1</v>
      </c>
      <c r="CW193" s="29">
        <v>1.2999999523162842</v>
      </c>
      <c r="CX193" s="29" t="s">
        <v>551</v>
      </c>
      <c r="CY193" s="62">
        <v>0.31199998855590821</v>
      </c>
      <c r="CZ193" s="29">
        <v>1</v>
      </c>
      <c r="DA193" s="29">
        <v>0.67000001668930054</v>
      </c>
      <c r="DB193" s="29" t="s">
        <v>551</v>
      </c>
      <c r="DC193" s="62">
        <v>0.16080000400543212</v>
      </c>
      <c r="DD193" s="29" t="s">
        <v>546</v>
      </c>
      <c r="DE193" s="29" t="s">
        <v>546</v>
      </c>
      <c r="DF193" s="29" t="s">
        <v>548</v>
      </c>
      <c r="DG193" s="29" t="s">
        <v>548</v>
      </c>
      <c r="DH193" s="29" t="s">
        <v>546</v>
      </c>
      <c r="DI193" s="29">
        <v>2</v>
      </c>
      <c r="DJ193" s="29">
        <v>3</v>
      </c>
      <c r="DK193" s="29" t="s">
        <v>1441</v>
      </c>
      <c r="DL193" s="29" t="s">
        <v>1442</v>
      </c>
      <c r="DM193" s="29">
        <v>-4.351494312286377</v>
      </c>
      <c r="DN193" s="29">
        <v>35.499122619628906</v>
      </c>
      <c r="DO193" s="29">
        <v>1629.300048828125</v>
      </c>
      <c r="DP193" s="29">
        <v>15</v>
      </c>
      <c r="DQ193" s="29">
        <v>1705231439</v>
      </c>
      <c r="DR193" s="29" t="s">
        <v>1443</v>
      </c>
      <c r="DS193" s="31">
        <v>42908.292511574073</v>
      </c>
      <c r="DT193" s="31">
        <v>42893.628148148149</v>
      </c>
      <c r="DU193" s="31">
        <v>42908.287326388891</v>
      </c>
      <c r="DV193" s="32">
        <v>42800</v>
      </c>
      <c r="DW193" s="29"/>
      <c r="DX193" s="29"/>
      <c r="DY193" s="29"/>
      <c r="DZ193" s="29"/>
      <c r="EA193" s="29"/>
      <c r="EB193" s="29"/>
      <c r="EC193" s="29">
        <f>IF(EQ193&lt;EP193,"FALSEE",1)</f>
        <v>1</v>
      </c>
      <c r="ED193" s="29"/>
      <c r="EE193" s="29" t="s">
        <v>2171</v>
      </c>
      <c r="EF193" s="29">
        <v>3.2750730514500002</v>
      </c>
      <c r="EG193" s="29" t="str">
        <f>IF(EF193&lt;0.5,"Depression",IF(EF193&lt;2,"Very gentle",IF(EF193&lt;5,"Gentle",IF(EF193&lt;9,"Moderate",IF(EF193&lt;15,"Strong",IF(EF193&lt;30,"Steep",IF(EF193&lt;1,"Very steep")))))))</f>
        <v>Gentle</v>
      </c>
      <c r="EH193" s="29" t="s">
        <v>2173</v>
      </c>
      <c r="EI193" s="29">
        <v>-0.27191722393000001</v>
      </c>
      <c r="EJ193" s="43">
        <v>10.296551704400001</v>
      </c>
      <c r="EK193" s="43"/>
      <c r="EL193" s="43"/>
      <c r="EM193" s="43"/>
      <c r="EN193" s="43"/>
      <c r="EO193" s="60"/>
      <c r="EP193" s="43"/>
      <c r="EQ193" s="43"/>
      <c r="ER193" s="43"/>
      <c r="ES193" s="64">
        <f>IF(CU193&gt;0.000001,CU193*352,0)</f>
        <v>895.4880322265625</v>
      </c>
      <c r="ET193" s="64">
        <f>IF(DC193&gt;0.0001,DC193*682,0)</f>
        <v>109.66560273170471</v>
      </c>
      <c r="EU193" s="64">
        <f>CY193*795</f>
        <v>248.03999090194702</v>
      </c>
      <c r="EV193" s="64">
        <f>ES193+ET193+EU193</f>
        <v>1253.1936258602141</v>
      </c>
      <c r="EW193" s="64">
        <f>IF(AA193="YES",3.5*18.2,0)</f>
        <v>63.699999999999996</v>
      </c>
      <c r="EX193" s="64">
        <f>EV193-EW193</f>
        <v>1189.493625860214</v>
      </c>
    </row>
    <row r="194" spans="1:154" ht="15" x14ac:dyDescent="0.2">
      <c r="A194" s="29" t="s">
        <v>789</v>
      </c>
      <c r="B194" s="29">
        <v>42</v>
      </c>
      <c r="C194" s="29" t="s">
        <v>261</v>
      </c>
      <c r="D194" s="29" t="s">
        <v>261</v>
      </c>
      <c r="E194" s="29" t="str">
        <f>VLOOKUP(D194,Harvest_2017_Formulae!$C$2:$D$968,2,FALSE)</f>
        <v>Sangara</v>
      </c>
      <c r="F194" s="29" t="s">
        <v>1014</v>
      </c>
      <c r="G194" s="29">
        <v>0</v>
      </c>
      <c r="H194" s="61" t="str">
        <f>IF(G194&lt;0.05,"Homefield",IF(G194&lt;0.5,"Midfield","outfield"))</f>
        <v>Homefield</v>
      </c>
      <c r="I194" s="29" t="s">
        <v>557</v>
      </c>
      <c r="J194" s="61" t="s">
        <v>2234</v>
      </c>
      <c r="K194" s="61" t="s">
        <v>2234</v>
      </c>
      <c r="L194" s="67">
        <v>0</v>
      </c>
      <c r="O194" s="29" t="s">
        <v>547</v>
      </c>
      <c r="Q194" s="67">
        <v>1</v>
      </c>
      <c r="R194" s="29" t="s">
        <v>615</v>
      </c>
      <c r="S194" s="29">
        <v>1</v>
      </c>
      <c r="T194" s="29">
        <v>1.5</v>
      </c>
      <c r="U194" s="29" t="s">
        <v>560</v>
      </c>
      <c r="W194" s="29" t="s">
        <v>635</v>
      </c>
      <c r="Z194" s="29" t="s">
        <v>831</v>
      </c>
      <c r="AA194" s="61" t="s">
        <v>548</v>
      </c>
      <c r="AB194" s="29" t="s">
        <v>568</v>
      </c>
      <c r="AC194" s="67">
        <v>0</v>
      </c>
      <c r="AD194" s="29" t="s">
        <v>547</v>
      </c>
      <c r="AF194" s="29" t="s">
        <v>547</v>
      </c>
      <c r="AG194" s="29" t="s">
        <v>547</v>
      </c>
      <c r="AH194" s="29" t="s">
        <v>548</v>
      </c>
      <c r="AI194" s="29" t="s">
        <v>546</v>
      </c>
      <c r="AK194" s="67">
        <v>0</v>
      </c>
      <c r="AL194" s="29" t="s">
        <v>547</v>
      </c>
      <c r="AO194" s="29" t="s">
        <v>547</v>
      </c>
      <c r="AP194" s="29" t="s">
        <v>547</v>
      </c>
      <c r="AQ194" s="4">
        <f>Q194+AK194</f>
        <v>1</v>
      </c>
      <c r="AR194" s="4">
        <f>L194+AC194</f>
        <v>0</v>
      </c>
      <c r="AS194" t="str">
        <f>AQ194&amp;AR194</f>
        <v>10</v>
      </c>
      <c r="AT194" s="49">
        <f>AQ194-AR194</f>
        <v>1</v>
      </c>
      <c r="AU194">
        <v>2</v>
      </c>
      <c r="AV194" s="29" t="s">
        <v>548</v>
      </c>
      <c r="AW194" s="29">
        <v>3.5</v>
      </c>
      <c r="AX194" s="29" t="s">
        <v>548</v>
      </c>
      <c r="AY194" s="29">
        <v>1</v>
      </c>
      <c r="AZ194" s="29">
        <v>2</v>
      </c>
      <c r="BA194" s="29" t="s">
        <v>548</v>
      </c>
      <c r="BB194" s="29" t="s">
        <v>569</v>
      </c>
      <c r="BC194" s="29">
        <v>6.5</v>
      </c>
      <c r="BD194" s="29">
        <f>AW194+AZ194</f>
        <v>5.5</v>
      </c>
      <c r="BE194" s="29">
        <f>BD194+BC194</f>
        <v>12</v>
      </c>
      <c r="BF194" s="29" t="s">
        <v>548</v>
      </c>
      <c r="BG194" s="29" t="s">
        <v>548</v>
      </c>
      <c r="BH194" s="29" t="s">
        <v>548</v>
      </c>
      <c r="BI194" s="29" t="s">
        <v>546</v>
      </c>
      <c r="BJ194" s="29" t="s">
        <v>546</v>
      </c>
      <c r="BK194" s="29" t="s">
        <v>546</v>
      </c>
      <c r="BL194" s="29">
        <v>10</v>
      </c>
      <c r="BM194" s="29" t="s">
        <v>549</v>
      </c>
      <c r="BN194" s="29">
        <v>7</v>
      </c>
      <c r="BO194" s="29" t="s">
        <v>580</v>
      </c>
      <c r="BP194" s="29">
        <v>6</v>
      </c>
      <c r="BQ194" s="29" t="s">
        <v>580</v>
      </c>
      <c r="BS194" s="29" t="s">
        <v>547</v>
      </c>
      <c r="BU194" s="29" t="s">
        <v>547</v>
      </c>
      <c r="BW194" s="29">
        <f>(BL194*1)+(BN194*0.1)+(BP194*0.01)+(BR194*0.1)+(BT194*0.3)+(BV194*0.4)</f>
        <v>10.76</v>
      </c>
      <c r="BX194" s="29" t="s">
        <v>2220</v>
      </c>
      <c r="BY194" s="29">
        <v>2</v>
      </c>
      <c r="BZ194" s="29">
        <v>3</v>
      </c>
      <c r="CA194" s="29">
        <v>3</v>
      </c>
      <c r="CB194" s="29">
        <v>8</v>
      </c>
      <c r="CC194" s="29">
        <v>0</v>
      </c>
      <c r="CD194" s="29">
        <v>1</v>
      </c>
      <c r="CE194" s="29">
        <v>1</v>
      </c>
      <c r="CG194" s="29">
        <f>(CC194*15)+(CD194*0.8)+(CE194*0.3)+((AW194+AZ194)*15)</f>
        <v>83.6</v>
      </c>
      <c r="CH194" s="29" t="s">
        <v>2221</v>
      </c>
      <c r="CI194" s="29">
        <f>(BL194*1)+(BN194*0.1)+(BP194*0.01)+(BR194*0.1)+(BT194*0.3)+(BV194*0.4)+(CC194*15)+(CD194*0.8)+(CE194*0.3)+((AW194+AZ194)*15)</f>
        <v>94.36</v>
      </c>
      <c r="CJ194" s="29" t="s">
        <v>546</v>
      </c>
      <c r="CK194" s="29" t="s">
        <v>547</v>
      </c>
      <c r="CL194" s="29" t="s">
        <v>548</v>
      </c>
      <c r="CM194" s="29" t="s">
        <v>550</v>
      </c>
      <c r="CN194" s="29">
        <v>0.25</v>
      </c>
      <c r="CO194" s="29">
        <v>3.5</v>
      </c>
      <c r="CP194" s="29">
        <v>0</v>
      </c>
      <c r="CQ194" s="29" t="s">
        <v>546</v>
      </c>
      <c r="CR194" s="29">
        <v>1</v>
      </c>
      <c r="CS194" s="29">
        <v>8</v>
      </c>
      <c r="CT194" s="29" t="s">
        <v>551</v>
      </c>
      <c r="CU194" s="30">
        <v>1.92</v>
      </c>
      <c r="CW194" s="29">
        <v>999</v>
      </c>
      <c r="CX194" s="29" t="s">
        <v>551</v>
      </c>
      <c r="CY194" s="62"/>
      <c r="CZ194" s="29">
        <v>1</v>
      </c>
      <c r="DA194" s="29">
        <v>1.5</v>
      </c>
      <c r="DB194" s="29" t="s">
        <v>551</v>
      </c>
      <c r="DC194" s="62">
        <v>0.36</v>
      </c>
      <c r="DD194" s="29" t="s">
        <v>546</v>
      </c>
      <c r="DE194" s="29" t="s">
        <v>548</v>
      </c>
      <c r="DF194" s="29" t="s">
        <v>546</v>
      </c>
      <c r="DG194" s="29" t="s">
        <v>546</v>
      </c>
      <c r="DH194" s="29" t="s">
        <v>546</v>
      </c>
      <c r="DI194" s="29">
        <v>1</v>
      </c>
      <c r="DJ194" s="29">
        <v>3</v>
      </c>
      <c r="DK194" s="29" t="s">
        <v>1258</v>
      </c>
      <c r="DL194" s="29" t="s">
        <v>1259</v>
      </c>
      <c r="DM194" s="29">
        <v>-4.2916507720947266</v>
      </c>
      <c r="DN194" s="29">
        <v>35.629604339599609</v>
      </c>
      <c r="DO194" s="29">
        <v>1460.5999755859375</v>
      </c>
      <c r="DP194" s="29">
        <v>10</v>
      </c>
      <c r="DQ194" s="29">
        <v>1705231439</v>
      </c>
      <c r="DR194" s="29" t="s">
        <v>1260</v>
      </c>
      <c r="DS194" s="31">
        <v>42908.292685185181</v>
      </c>
      <c r="DT194" s="31">
        <v>42899.670277777783</v>
      </c>
      <c r="DU194" s="31">
        <v>42908.290104166663</v>
      </c>
      <c r="DV194" s="32">
        <v>42744</v>
      </c>
      <c r="DX194" s="44">
        <v>2.2297297297297303</v>
      </c>
      <c r="DY194" s="44">
        <v>1.8618618618618619</v>
      </c>
      <c r="DZ194" s="44">
        <v>5.1101754385964924</v>
      </c>
      <c r="EA194" s="44">
        <v>5.0021052631578957</v>
      </c>
      <c r="EC194" s="29" t="str">
        <f>IF(EQ194&lt;EP194,"FALSEE",1)</f>
        <v>FALSEE</v>
      </c>
      <c r="ED194" s="29" t="s">
        <v>1547</v>
      </c>
      <c r="EE194" s="29" t="s">
        <v>2184</v>
      </c>
      <c r="EF194" s="29">
        <v>9.4852285385100004</v>
      </c>
      <c r="EG194" s="29" t="str">
        <f>IF(EF194&lt;0.5,"Depression",IF(EF194&lt;2,"Very gentle",IF(EF194&lt;5,"Gentle",IF(EF194&lt;9,"Moderate",IF(EF194&lt;15,"Strong",IF(EF194&lt;30,"Steep",IF(EF194&lt;1,"Very steep")))))))</f>
        <v>Strong</v>
      </c>
      <c r="EH194" s="29" t="s">
        <v>2176</v>
      </c>
      <c r="EI194" s="29">
        <v>-1.2689781189</v>
      </c>
      <c r="EJ194" s="43">
        <v>9.6982078552199997</v>
      </c>
      <c r="EK194" s="43">
        <f>VLOOKUP(D194,[1]SoilData!$G$15:$K$237,5,FALSE)</f>
        <v>133.02335568728293</v>
      </c>
      <c r="EL194" s="43">
        <f>VLOOKUP(D194,[1]SoilData!$G$245:$K$451,5,FALSE)</f>
        <v>49.446330665519206</v>
      </c>
      <c r="EM194" s="43">
        <f>VLOOKUP(D194,[1]SoilData!$G$15:$M$238,7,FALSE)</f>
        <v>0.55100000000000005</v>
      </c>
      <c r="EN194" s="43">
        <f>VLOOKUP(D194,[1]SoilData!$G$245:$M$454,7,FALSE)</f>
        <v>0.48499999999999999</v>
      </c>
      <c r="EO194" s="60">
        <f>EM194-EN194</f>
        <v>6.6000000000000059E-2</v>
      </c>
      <c r="EP194" s="44">
        <f>AVERAGE(DZ194:EA194)</f>
        <v>5.056140350877194</v>
      </c>
      <c r="EQ194" s="44">
        <f>AVERAGE(DX194:DY194)</f>
        <v>2.045795795795796</v>
      </c>
      <c r="ER194" s="43">
        <f>EQ194-EP194</f>
        <v>-3.0103445550813981</v>
      </c>
      <c r="ES194" s="64">
        <f>IF(CU194&gt;0.000001,CU194*352,0)</f>
        <v>675.83999999999992</v>
      </c>
      <c r="ET194" s="64">
        <f>IF(DC194&gt;0.0001,DC194*682,0)</f>
        <v>245.51999999999998</v>
      </c>
      <c r="EU194" s="64">
        <f>CY194*795</f>
        <v>0</v>
      </c>
      <c r="EV194" s="64">
        <f>ES194+ET194+EU194</f>
        <v>921.3599999999999</v>
      </c>
      <c r="EW194" s="64">
        <f>IF(AA194="YES",3.5*18.2,0)</f>
        <v>63.699999999999996</v>
      </c>
      <c r="EX194" s="64">
        <f>EV194-EW194</f>
        <v>857.65999999999985</v>
      </c>
    </row>
    <row r="195" spans="1:154" ht="15" x14ac:dyDescent="0.2">
      <c r="A195" s="29" t="s">
        <v>789</v>
      </c>
      <c r="B195" s="29">
        <v>79</v>
      </c>
      <c r="C195" s="29" t="s">
        <v>203</v>
      </c>
      <c r="D195" s="29" t="s">
        <v>203</v>
      </c>
      <c r="E195" s="29" t="str">
        <f>VLOOKUP(D195,Harvest_2017_Formulae!$C$2:$D$968,2,FALSE)</f>
        <v>MANDI</v>
      </c>
      <c r="F195" s="29" t="s">
        <v>1014</v>
      </c>
      <c r="G195" s="29">
        <v>1</v>
      </c>
      <c r="H195" s="61" t="str">
        <f>IF(G195&lt;0.05,"Homefield",IF(G195&lt;0.5,"Midfield","outfield"))</f>
        <v>outfield</v>
      </c>
      <c r="I195" s="29" t="s">
        <v>557</v>
      </c>
      <c r="J195" s="61" t="s">
        <v>2233</v>
      </c>
      <c r="K195" s="61" t="s">
        <v>2233</v>
      </c>
      <c r="L195" s="67">
        <v>0</v>
      </c>
      <c r="O195" s="29" t="s">
        <v>547</v>
      </c>
      <c r="Q195" s="67">
        <v>1</v>
      </c>
      <c r="R195" s="29" t="s">
        <v>615</v>
      </c>
      <c r="S195" s="29">
        <v>3</v>
      </c>
      <c r="T195" s="29">
        <v>2</v>
      </c>
      <c r="U195" s="29" t="s">
        <v>560</v>
      </c>
      <c r="W195" s="29" t="s">
        <v>561</v>
      </c>
      <c r="Y195" s="29">
        <v>15000</v>
      </c>
      <c r="Z195" s="29" t="s">
        <v>547</v>
      </c>
      <c r="AA195" s="61" t="s">
        <v>548</v>
      </c>
      <c r="AB195" s="29" t="s">
        <v>568</v>
      </c>
      <c r="AC195" s="67">
        <v>0</v>
      </c>
      <c r="AD195" s="29" t="s">
        <v>547</v>
      </c>
      <c r="AF195" s="29" t="s">
        <v>547</v>
      </c>
      <c r="AG195" s="29" t="s">
        <v>547</v>
      </c>
      <c r="AH195" s="29" t="s">
        <v>548</v>
      </c>
      <c r="AI195" s="29" t="s">
        <v>546</v>
      </c>
      <c r="AK195" s="67">
        <v>0</v>
      </c>
      <c r="AL195" s="29" t="s">
        <v>547</v>
      </c>
      <c r="AO195" s="29" t="s">
        <v>547</v>
      </c>
      <c r="AP195" s="29" t="s">
        <v>547</v>
      </c>
      <c r="AQ195" s="4">
        <f>Q195+AK195</f>
        <v>1</v>
      </c>
      <c r="AR195" s="4">
        <f>L195+AC195</f>
        <v>0</v>
      </c>
      <c r="AS195" t="str">
        <f>AQ195&amp;AR195</f>
        <v>10</v>
      </c>
      <c r="AT195" s="49">
        <f>AQ195-AR195</f>
        <v>1</v>
      </c>
      <c r="AU195">
        <v>2</v>
      </c>
      <c r="AV195" s="29" t="s">
        <v>548</v>
      </c>
      <c r="AW195" s="29">
        <v>1</v>
      </c>
      <c r="AX195" s="29" t="s">
        <v>548</v>
      </c>
      <c r="AY195" s="29">
        <v>3</v>
      </c>
      <c r="AZ195" s="29">
        <v>5.5</v>
      </c>
      <c r="BA195" s="29" t="s">
        <v>546</v>
      </c>
      <c r="BB195" s="29" t="s">
        <v>547</v>
      </c>
      <c r="BD195" s="29">
        <f>AW195+AZ195</f>
        <v>6.5</v>
      </c>
      <c r="BE195" s="29">
        <f>BD195+BC195</f>
        <v>6.5</v>
      </c>
      <c r="BF195" s="29" t="s">
        <v>548</v>
      </c>
      <c r="BG195" s="29" t="s">
        <v>548</v>
      </c>
      <c r="BH195" s="29" t="s">
        <v>548</v>
      </c>
      <c r="BI195" s="29" t="s">
        <v>548</v>
      </c>
      <c r="BJ195" s="29" t="s">
        <v>548</v>
      </c>
      <c r="BK195" s="29" t="s">
        <v>546</v>
      </c>
      <c r="BL195" s="29">
        <v>10</v>
      </c>
      <c r="BM195" s="29" t="s">
        <v>580</v>
      </c>
      <c r="BN195" s="29">
        <v>4</v>
      </c>
      <c r="BO195" s="29" t="s">
        <v>580</v>
      </c>
      <c r="BP195" s="29">
        <v>15</v>
      </c>
      <c r="BQ195" s="29" t="s">
        <v>580</v>
      </c>
      <c r="BR195" s="29">
        <v>4</v>
      </c>
      <c r="BS195" s="29" t="s">
        <v>580</v>
      </c>
      <c r="BT195" s="29">
        <v>2</v>
      </c>
      <c r="BU195" s="29" t="s">
        <v>580</v>
      </c>
      <c r="BW195" s="29">
        <f>(BL195*1)+(BN195*0.1)+(BP195*0.01)+(BR195*0.1)+(BT195*0.3)+(BV195*0.4)</f>
        <v>11.55</v>
      </c>
      <c r="BX195" s="29" t="s">
        <v>2220</v>
      </c>
      <c r="BY195" s="29">
        <v>3</v>
      </c>
      <c r="BZ195" s="29">
        <v>2</v>
      </c>
      <c r="CA195" s="29">
        <v>5</v>
      </c>
      <c r="CB195" s="29">
        <v>10</v>
      </c>
      <c r="CC195" s="29">
        <v>0</v>
      </c>
      <c r="CD195" s="29">
        <v>1</v>
      </c>
      <c r="CE195" s="29">
        <v>1</v>
      </c>
      <c r="CG195" s="29">
        <f>(CC195*15)+(CD195*0.8)+(CE195*0.3)+((AW195+AZ195)*15)</f>
        <v>98.6</v>
      </c>
      <c r="CH195" s="29" t="s">
        <v>2221</v>
      </c>
      <c r="CI195" s="29">
        <f>(BL195*1)+(BN195*0.1)+(BP195*0.01)+(BR195*0.1)+(BT195*0.3)+(BV195*0.4)+(CC195*15)+(CD195*0.8)+(CE195*0.3)+((AW195+AZ195)*15)</f>
        <v>110.15</v>
      </c>
      <c r="CJ195" s="29" t="s">
        <v>548</v>
      </c>
      <c r="CK195" s="29" t="s">
        <v>1046</v>
      </c>
      <c r="CL195" s="29" t="s">
        <v>548</v>
      </c>
      <c r="CM195" s="29" t="s">
        <v>550</v>
      </c>
      <c r="CN195" s="29">
        <v>0.25</v>
      </c>
      <c r="CO195" s="29">
        <v>5.25</v>
      </c>
      <c r="CP195" s="29">
        <v>0</v>
      </c>
      <c r="CQ195" s="29" t="s">
        <v>548</v>
      </c>
      <c r="CS195" s="29">
        <v>999</v>
      </c>
      <c r="CT195" s="29" t="s">
        <v>551</v>
      </c>
      <c r="CW195" s="29">
        <v>999</v>
      </c>
      <c r="CX195" s="29" t="s">
        <v>551</v>
      </c>
      <c r="CY195" s="62"/>
      <c r="DA195" s="29">
        <v>999</v>
      </c>
      <c r="DB195" s="29" t="s">
        <v>551</v>
      </c>
      <c r="DC195" s="62"/>
      <c r="DD195" s="29" t="s">
        <v>546</v>
      </c>
      <c r="DE195" s="29" t="s">
        <v>548</v>
      </c>
      <c r="DF195" s="29" t="s">
        <v>546</v>
      </c>
      <c r="DG195" s="29" t="s">
        <v>548</v>
      </c>
      <c r="DH195" s="29" t="s">
        <v>546</v>
      </c>
      <c r="DI195" s="29">
        <v>2</v>
      </c>
      <c r="DJ195" s="29">
        <v>4</v>
      </c>
      <c r="DK195" s="29" t="s">
        <v>1047</v>
      </c>
      <c r="DL195" s="29" t="s">
        <v>1048</v>
      </c>
      <c r="DM195" s="29">
        <v>-4.3285355567932129</v>
      </c>
      <c r="DN195" s="29">
        <v>35.444652557373047</v>
      </c>
      <c r="DO195" s="29">
        <v>1545.4000244140625</v>
      </c>
      <c r="DP195" s="29">
        <v>5</v>
      </c>
      <c r="DQ195" s="29">
        <v>1705231439</v>
      </c>
      <c r="DR195" s="29" t="s">
        <v>1049</v>
      </c>
      <c r="DS195" s="31">
        <v>42923.387141203704</v>
      </c>
      <c r="DT195" s="31">
        <v>42907.485937500001</v>
      </c>
      <c r="DU195" s="31">
        <v>42923.382789351846</v>
      </c>
      <c r="DV195" s="32">
        <v>42761</v>
      </c>
      <c r="DX195" s="44">
        <v>2.5609356725146202</v>
      </c>
      <c r="DY195" s="44">
        <v>2.7001169590643275</v>
      </c>
      <c r="DZ195" s="44">
        <v>2.9149999999999996</v>
      </c>
      <c r="EA195" s="44">
        <v>3.1799999999999997</v>
      </c>
      <c r="EC195" s="29" t="str">
        <f>IF(EQ195&lt;EP195,"FALSEE",1)</f>
        <v>FALSEE</v>
      </c>
      <c r="EE195" s="29" t="s">
        <v>2171</v>
      </c>
      <c r="EF195" s="29">
        <v>0</v>
      </c>
      <c r="EG195" s="29" t="str">
        <f>IF(EF195&lt;0.5,"Depression",IF(EF195&lt;2,"Very gentle",IF(EF195&lt;5,"Gentle",IF(EF195&lt;9,"Moderate",IF(EF195&lt;15,"Strong",IF(EF195&lt;30,"Steep",IF(EF195&lt;1,"Very steep")))))))</f>
        <v>Depression</v>
      </c>
      <c r="EH195" s="29" t="s">
        <v>2173</v>
      </c>
      <c r="EI195" s="29">
        <v>8.4776775111099995E-6</v>
      </c>
      <c r="EJ195" s="43">
        <v>11.4374370575</v>
      </c>
      <c r="EK195" s="43">
        <f>VLOOKUP(D195,[1]SoilData!$G$15:$K$237,5,FALSE)</f>
        <v>119.26212524697208</v>
      </c>
      <c r="EL195" s="43">
        <f>VLOOKUP(D195,[1]SoilData!$G$245:$K$451,5,FALSE)</f>
        <v>438.15422545384513</v>
      </c>
      <c r="EM195" s="43">
        <f>VLOOKUP(D195,[1]SoilData!$G$15:$M$238,7,FALSE)</f>
        <v>1.712</v>
      </c>
      <c r="EN195" s="43">
        <f>VLOOKUP(D195,[1]SoilData!$G$245:$M$454,7,FALSE)</f>
        <v>2.774</v>
      </c>
      <c r="EO195" s="60">
        <f>EM195-EN195</f>
        <v>-1.0620000000000001</v>
      </c>
      <c r="EP195" s="44">
        <f>AVERAGE(DZ195:EA195)</f>
        <v>3.0474999999999994</v>
      </c>
      <c r="EQ195" s="44">
        <f>AVERAGE(DX195:DY195)</f>
        <v>2.6305263157894738</v>
      </c>
      <c r="ER195" s="43">
        <f>EQ195-EP195</f>
        <v>-0.41697368421052561</v>
      </c>
      <c r="ES195" s="64">
        <f>IF(CU195&gt;0.000001,CU195*352,0)</f>
        <v>0</v>
      </c>
      <c r="ET195" s="64">
        <f>IF(DC195&gt;0.0001,DC195*682,0)</f>
        <v>0</v>
      </c>
      <c r="EU195" s="64">
        <f>CY195*795</f>
        <v>0</v>
      </c>
      <c r="EV195" s="64">
        <f>ES195+ET195+EU195</f>
        <v>0</v>
      </c>
      <c r="EW195" s="64">
        <f>IF(AA195="YES",3.5*18.2,0)</f>
        <v>63.699999999999996</v>
      </c>
      <c r="EX195" s="64">
        <f>EV195-EW195</f>
        <v>-63.699999999999996</v>
      </c>
    </row>
    <row r="196" spans="1:154" ht="15" x14ac:dyDescent="0.2">
      <c r="A196" s="29" t="s">
        <v>556</v>
      </c>
      <c r="B196" s="29">
        <v>139</v>
      </c>
      <c r="C196" s="29" t="s">
        <v>415</v>
      </c>
      <c r="D196" s="29" t="s">
        <v>415</v>
      </c>
      <c r="E196" s="29" t="str">
        <f>VLOOKUP(D196,Harvest_2017_Formulae!$C$2:$D$968,2,FALSE)</f>
        <v>AYAMANGO</v>
      </c>
      <c r="F196" s="29" t="s">
        <v>196</v>
      </c>
      <c r="G196" s="29">
        <v>0</v>
      </c>
      <c r="H196" s="61" t="str">
        <f>IF(G196&lt;0.05,"Homefield",IF(G196&lt;0.5,"Midfield","outfield"))</f>
        <v>Homefield</v>
      </c>
      <c r="I196" s="29" t="s">
        <v>557</v>
      </c>
      <c r="J196" s="61" t="s">
        <v>2234</v>
      </c>
      <c r="K196" s="61" t="s">
        <v>2234</v>
      </c>
      <c r="L196" s="67">
        <v>0</v>
      </c>
      <c r="O196" s="29" t="s">
        <v>547</v>
      </c>
      <c r="Q196" s="67">
        <v>1</v>
      </c>
      <c r="R196" s="29" t="s">
        <v>558</v>
      </c>
      <c r="S196" s="29">
        <v>15</v>
      </c>
      <c r="T196" s="29" t="s">
        <v>559</v>
      </c>
      <c r="U196" s="29" t="s">
        <v>560</v>
      </c>
      <c r="W196" s="29" t="s">
        <v>561</v>
      </c>
      <c r="Y196" s="29">
        <v>5000</v>
      </c>
      <c r="Z196" s="29" t="s">
        <v>547</v>
      </c>
      <c r="AA196" s="61" t="s">
        <v>546</v>
      </c>
      <c r="AB196" s="29" t="s">
        <v>547</v>
      </c>
      <c r="AC196" s="67">
        <v>0</v>
      </c>
      <c r="AD196" s="29" t="s">
        <v>547</v>
      </c>
      <c r="AF196" s="29" t="s">
        <v>547</v>
      </c>
      <c r="AG196" s="29" t="s">
        <v>547</v>
      </c>
      <c r="AH196" s="29" t="s">
        <v>548</v>
      </c>
      <c r="AI196" s="29" t="s">
        <v>546</v>
      </c>
      <c r="AJ196" s="29" t="s">
        <v>547</v>
      </c>
      <c r="AK196" s="67">
        <v>0</v>
      </c>
      <c r="AL196" s="29" t="s">
        <v>547</v>
      </c>
      <c r="AO196" s="29" t="s">
        <v>547</v>
      </c>
      <c r="AP196" s="29" t="s">
        <v>547</v>
      </c>
      <c r="AQ196" s="4">
        <f>Q196+AK196</f>
        <v>1</v>
      </c>
      <c r="AR196" s="4">
        <f>L196+AC196</f>
        <v>0</v>
      </c>
      <c r="AS196" t="str">
        <f>AQ196&amp;AR196</f>
        <v>10</v>
      </c>
      <c r="AT196" s="49">
        <f>AQ196-AR196</f>
        <v>1</v>
      </c>
      <c r="AU196">
        <v>2</v>
      </c>
      <c r="AV196" s="29" t="s">
        <v>548</v>
      </c>
      <c r="AW196" s="29">
        <v>0.5</v>
      </c>
      <c r="AX196" s="29" t="s">
        <v>548</v>
      </c>
      <c r="AY196" s="29">
        <v>3</v>
      </c>
      <c r="AZ196" s="29">
        <v>6.75</v>
      </c>
      <c r="BA196" s="29" t="s">
        <v>546</v>
      </c>
      <c r="BB196" s="29" t="s">
        <v>547</v>
      </c>
      <c r="BD196" s="29">
        <f>AW196+AZ196</f>
        <v>7.25</v>
      </c>
      <c r="BE196" s="29">
        <f>BD196+BC196</f>
        <v>7.25</v>
      </c>
      <c r="BF196" s="29" t="s">
        <v>548</v>
      </c>
      <c r="BG196" s="29" t="s">
        <v>548</v>
      </c>
      <c r="BH196" s="29" t="s">
        <v>546</v>
      </c>
      <c r="BI196" s="29" t="s">
        <v>546</v>
      </c>
      <c r="BJ196" s="29" t="s">
        <v>548</v>
      </c>
      <c r="BK196" s="29" t="s">
        <v>546</v>
      </c>
      <c r="BL196" s="29">
        <v>6</v>
      </c>
      <c r="BM196" s="29" t="s">
        <v>562</v>
      </c>
      <c r="BN196" s="29">
        <v>26</v>
      </c>
      <c r="BO196" s="29" t="s">
        <v>549</v>
      </c>
      <c r="BQ196" s="29" t="s">
        <v>547</v>
      </c>
      <c r="BS196" s="29" t="s">
        <v>547</v>
      </c>
      <c r="BT196" s="29">
        <v>10</v>
      </c>
      <c r="BU196" s="29" t="s">
        <v>549</v>
      </c>
      <c r="BW196" s="29">
        <f>(BL196*1)+(BN196*0.1)+(BP196*0.01)+(BR196*0.1)+(BT196*0.3)+(BV196*0.4)</f>
        <v>11.6</v>
      </c>
      <c r="BX196" s="29" t="s">
        <v>2220</v>
      </c>
      <c r="BY196" s="29">
        <v>2</v>
      </c>
      <c r="BZ196" s="29">
        <v>1</v>
      </c>
      <c r="CA196" s="29">
        <v>1</v>
      </c>
      <c r="CB196" s="29">
        <v>4</v>
      </c>
      <c r="CC196" s="29">
        <v>0</v>
      </c>
      <c r="CD196" s="29">
        <v>0</v>
      </c>
      <c r="CE196" s="29">
        <v>0</v>
      </c>
      <c r="CF196" s="29" t="s">
        <v>547</v>
      </c>
      <c r="CG196" s="29">
        <f>(CC196*15)+(CD196*0.8)+(CE196*0.3)+((AW196+AZ196)*15)</f>
        <v>108.75</v>
      </c>
      <c r="CH196" s="29" t="s">
        <v>2221</v>
      </c>
      <c r="CI196" s="29">
        <f>(BL196*1)+(BN196*0.1)+(BP196*0.01)+(BR196*0.1)+(BT196*0.3)+(BV196*0.4)+(CC196*15)+(CD196*0.8)+(CE196*0.3)+((AW196+AZ196)*15)</f>
        <v>120.35</v>
      </c>
      <c r="CJ196" s="29" t="s">
        <v>548</v>
      </c>
      <c r="CK196" s="29" t="s">
        <v>563</v>
      </c>
      <c r="CL196" s="29" t="s">
        <v>548</v>
      </c>
      <c r="CM196" s="29" t="s">
        <v>550</v>
      </c>
      <c r="CN196" s="29">
        <v>0.25</v>
      </c>
      <c r="CO196" s="29">
        <v>1</v>
      </c>
      <c r="CQ196" s="29" t="s">
        <v>548</v>
      </c>
      <c r="CR196" s="29">
        <v>3</v>
      </c>
      <c r="CS196" s="29">
        <v>14</v>
      </c>
      <c r="CT196" s="29" t="s">
        <v>551</v>
      </c>
      <c r="CU196" s="30">
        <v>1.1200000000000001</v>
      </c>
      <c r="CW196" s="29">
        <v>999</v>
      </c>
      <c r="CX196" s="29" t="s">
        <v>551</v>
      </c>
      <c r="CY196" s="62"/>
      <c r="CZ196" s="29">
        <v>3</v>
      </c>
      <c r="DA196" s="29">
        <v>6</v>
      </c>
      <c r="DB196" s="29" t="s">
        <v>551</v>
      </c>
      <c r="DC196" s="62">
        <v>0.48</v>
      </c>
      <c r="DD196" s="29" t="s">
        <v>546</v>
      </c>
      <c r="DE196" s="29" t="s">
        <v>546</v>
      </c>
      <c r="DF196" s="29" t="s">
        <v>546</v>
      </c>
      <c r="DG196" s="29" t="s">
        <v>546</v>
      </c>
      <c r="DH196" s="29" t="s">
        <v>546</v>
      </c>
      <c r="DI196" s="29">
        <v>0</v>
      </c>
      <c r="DJ196" s="29">
        <v>4</v>
      </c>
      <c r="DK196" s="29" t="s">
        <v>564</v>
      </c>
      <c r="DL196" s="29" t="s">
        <v>565</v>
      </c>
      <c r="DM196" s="29">
        <v>-4.2229156494140625</v>
      </c>
      <c r="DN196" s="29">
        <v>35.878105163574219</v>
      </c>
      <c r="DO196" s="29">
        <v>1278.300048828125</v>
      </c>
      <c r="DP196" s="29">
        <v>5</v>
      </c>
      <c r="DQ196" s="29">
        <v>1706031849</v>
      </c>
      <c r="DR196" s="29" t="s">
        <v>566</v>
      </c>
      <c r="DS196" s="31">
        <v>42908.460543981477</v>
      </c>
      <c r="DT196" s="31">
        <v>42907.526377314818</v>
      </c>
      <c r="DU196" s="31">
        <v>42908.459293981483</v>
      </c>
      <c r="DV196" s="32">
        <v>42778</v>
      </c>
      <c r="DX196" s="44"/>
      <c r="DY196" s="44">
        <v>7.5716569200779738</v>
      </c>
      <c r="DZ196" s="44">
        <v>4.6220272904483437</v>
      </c>
      <c r="EA196" s="44">
        <v>4.1774658869395722</v>
      </c>
      <c r="EB196" s="29">
        <v>1</v>
      </c>
      <c r="EC196" s="29">
        <f>IF(EQ196&lt;EP196,"FALSEE",1)</f>
        <v>1</v>
      </c>
      <c r="EE196" s="29" t="s">
        <v>2171</v>
      </c>
      <c r="EF196" s="29">
        <v>2.0308978557600001</v>
      </c>
      <c r="EG196" s="29" t="str">
        <f>IF(EF196&lt;0.5,"Depression",IF(EF196&lt;2,"Very gentle",IF(EF196&lt;5,"Gentle",IF(EF196&lt;9,"Moderate",IF(EF196&lt;15,"Strong",IF(EF196&lt;30,"Steep",IF(EF196&lt;1,"Very steep")))))))</f>
        <v>Gentle</v>
      </c>
      <c r="EH196" s="29" t="s">
        <v>2173</v>
      </c>
      <c r="EI196" s="29">
        <v>-0.45320102572400001</v>
      </c>
      <c r="EJ196" s="43">
        <v>9.1417102813700009</v>
      </c>
      <c r="EK196" s="43">
        <f>VLOOKUP(D196,[1]SoilData!$G$15:$K$237,5,FALSE)</f>
        <v>179.88372217450674</v>
      </c>
      <c r="EL196" s="43">
        <f>VLOOKUP(D196,[1]SoilData!$G$245:$K$451,5,FALSE)</f>
        <v>397.27937468948687</v>
      </c>
      <c r="EM196" s="43">
        <f>VLOOKUP(D196,[1]SoilData!$G$15:$M$238,7,FALSE)</f>
        <v>1.085</v>
      </c>
      <c r="EN196" s="43">
        <f>VLOOKUP(D196,[1]SoilData!$G$245:$M$454,7,FALSE)</f>
        <v>1.669</v>
      </c>
      <c r="EO196" s="60">
        <f>EM196-EN196</f>
        <v>-0.58400000000000007</v>
      </c>
      <c r="EP196" s="44">
        <f>AVERAGE(DZ196:EA196)</f>
        <v>4.399746588693958</v>
      </c>
      <c r="EQ196" s="44">
        <f>AVERAGE(DX196:DY196)</f>
        <v>7.5716569200779738</v>
      </c>
      <c r="ER196" s="43">
        <f>EQ196-EP196</f>
        <v>3.1719103313840158</v>
      </c>
      <c r="ES196" s="64">
        <f>IF(CU196&gt;0.000001,CU196*352,0)</f>
        <v>394.24</v>
      </c>
      <c r="ET196" s="64">
        <f>IF(DC196&gt;0.0001,DC196*682,0)</f>
        <v>327.36</v>
      </c>
      <c r="EU196" s="64">
        <f>CY196*795</f>
        <v>0</v>
      </c>
      <c r="EV196" s="64">
        <f>ES196+ET196+EU196</f>
        <v>721.6</v>
      </c>
      <c r="EW196" s="64">
        <f>IF(AA196="YES",3.5*18.2,0)</f>
        <v>0</v>
      </c>
      <c r="EX196" s="64">
        <f>EV196-EW196</f>
        <v>721.6</v>
      </c>
    </row>
    <row r="197" spans="1:154" ht="15" x14ac:dyDescent="0.2">
      <c r="A197" s="29" t="s">
        <v>789</v>
      </c>
      <c r="B197" s="29">
        <v>22</v>
      </c>
      <c r="C197" s="29" t="s">
        <v>1213</v>
      </c>
      <c r="D197" s="29" t="s">
        <v>381</v>
      </c>
      <c r="E197" s="29" t="str">
        <f>VLOOKUP(D197,Harvest_2017_Formulae!$C$2:$D$968,2,FALSE)</f>
        <v>SABILO</v>
      </c>
      <c r="F197" s="29" t="s">
        <v>1175</v>
      </c>
      <c r="G197" s="29">
        <v>1.25</v>
      </c>
      <c r="H197" s="61" t="str">
        <f>IF(G197&lt;0.05,"Homefield",IF(G197&lt;0.5,"Midfield","outfield"))</f>
        <v>outfield</v>
      </c>
      <c r="I197" s="29" t="s">
        <v>557</v>
      </c>
      <c r="J197" s="61" t="s">
        <v>2233</v>
      </c>
      <c r="K197" s="61" t="s">
        <v>2233</v>
      </c>
      <c r="L197" s="67">
        <v>0</v>
      </c>
      <c r="O197" s="29" t="s">
        <v>547</v>
      </c>
      <c r="Q197" s="67">
        <v>1</v>
      </c>
      <c r="R197" s="29" t="s">
        <v>615</v>
      </c>
      <c r="S197" s="29">
        <v>5</v>
      </c>
      <c r="T197" s="29">
        <v>1</v>
      </c>
      <c r="U197" s="29" t="s">
        <v>560</v>
      </c>
      <c r="W197" s="29" t="s">
        <v>561</v>
      </c>
      <c r="Y197" s="29">
        <v>15000</v>
      </c>
      <c r="Z197" s="29" t="s">
        <v>547</v>
      </c>
      <c r="AA197" s="61" t="s">
        <v>548</v>
      </c>
      <c r="AB197" s="29" t="s">
        <v>568</v>
      </c>
      <c r="AC197" s="67">
        <v>0</v>
      </c>
      <c r="AD197" s="29" t="s">
        <v>547</v>
      </c>
      <c r="AF197" s="29" t="s">
        <v>547</v>
      </c>
      <c r="AG197" s="29" t="s">
        <v>547</v>
      </c>
      <c r="AH197" s="29" t="s">
        <v>548</v>
      </c>
      <c r="AI197" s="29" t="s">
        <v>546</v>
      </c>
      <c r="AK197" s="67">
        <v>0</v>
      </c>
      <c r="AL197" s="29" t="s">
        <v>547</v>
      </c>
      <c r="AO197" s="29" t="s">
        <v>547</v>
      </c>
      <c r="AP197" s="29" t="s">
        <v>547</v>
      </c>
      <c r="AQ197" s="4">
        <f>Q197+AK197</f>
        <v>1</v>
      </c>
      <c r="AR197" s="4">
        <f>L197+AC197</f>
        <v>0</v>
      </c>
      <c r="AS197" t="str">
        <f>AQ197&amp;AR197</f>
        <v>10</v>
      </c>
      <c r="AT197" s="49">
        <f>AQ197-AR197</f>
        <v>1</v>
      </c>
      <c r="AU197">
        <v>2</v>
      </c>
      <c r="AV197" s="29" t="s">
        <v>548</v>
      </c>
      <c r="AW197" s="29">
        <v>0.5</v>
      </c>
      <c r="AX197" s="29" t="s">
        <v>548</v>
      </c>
      <c r="AY197" s="29">
        <v>3</v>
      </c>
      <c r="AZ197" s="29">
        <v>5</v>
      </c>
      <c r="BA197" s="29" t="s">
        <v>546</v>
      </c>
      <c r="BB197" s="29" t="s">
        <v>547</v>
      </c>
      <c r="BD197" s="29">
        <f>AW197+AZ197</f>
        <v>5.5</v>
      </c>
      <c r="BE197" s="29">
        <f>BD197+BC197</f>
        <v>5.5</v>
      </c>
      <c r="BF197" s="29" t="s">
        <v>548</v>
      </c>
      <c r="BG197" s="29" t="s">
        <v>548</v>
      </c>
      <c r="BH197" s="29" t="s">
        <v>548</v>
      </c>
      <c r="BI197" s="29" t="s">
        <v>548</v>
      </c>
      <c r="BJ197" s="29" t="s">
        <v>548</v>
      </c>
      <c r="BK197" s="29" t="s">
        <v>546</v>
      </c>
      <c r="BL197" s="29">
        <v>10</v>
      </c>
      <c r="BM197" s="29" t="s">
        <v>549</v>
      </c>
      <c r="BN197" s="29">
        <v>8</v>
      </c>
      <c r="BO197" s="29" t="s">
        <v>580</v>
      </c>
      <c r="BP197" s="29">
        <v>10</v>
      </c>
      <c r="BQ197" s="29" t="s">
        <v>580</v>
      </c>
      <c r="BR197" s="29">
        <v>2</v>
      </c>
      <c r="BS197" s="29" t="s">
        <v>580</v>
      </c>
      <c r="BT197" s="29">
        <v>2</v>
      </c>
      <c r="BU197" s="29" t="s">
        <v>562</v>
      </c>
      <c r="BW197" s="29">
        <f>(BL197*1)+(BN197*0.1)+(BP197*0.01)+(BR197*0.1)+(BT197*0.3)+(BV197*0.4)</f>
        <v>11.7</v>
      </c>
      <c r="BX197" s="29" t="s">
        <v>2220</v>
      </c>
      <c r="BY197" s="29">
        <v>3</v>
      </c>
      <c r="BZ197" s="29">
        <v>3</v>
      </c>
      <c r="CA197" s="29">
        <v>1</v>
      </c>
      <c r="CB197" s="29">
        <v>7</v>
      </c>
      <c r="CC197" s="29">
        <v>0</v>
      </c>
      <c r="CD197" s="29">
        <v>1</v>
      </c>
      <c r="CE197" s="29">
        <v>1</v>
      </c>
      <c r="CG197" s="29">
        <f>(CC197*15)+(CD197*0.8)+(CE197*0.3)+((AW197+AZ197)*15)</f>
        <v>83.6</v>
      </c>
      <c r="CH197" s="29" t="s">
        <v>2221</v>
      </c>
      <c r="CI197" s="29">
        <f>(BL197*1)+(BN197*0.1)+(BP197*0.01)+(BR197*0.1)+(BT197*0.3)+(BV197*0.4)+(CC197*15)+(CD197*0.8)+(CE197*0.3)+((AW197+AZ197)*15)</f>
        <v>95.3</v>
      </c>
      <c r="CJ197" s="29" t="s">
        <v>548</v>
      </c>
      <c r="CK197" s="29" t="s">
        <v>815</v>
      </c>
      <c r="CL197" s="29" t="s">
        <v>548</v>
      </c>
      <c r="CM197" s="29" t="s">
        <v>793</v>
      </c>
      <c r="CN197" s="29">
        <v>1</v>
      </c>
      <c r="CO197" s="29">
        <v>2</v>
      </c>
      <c r="CP197" s="29">
        <v>0</v>
      </c>
      <c r="CQ197" s="29" t="s">
        <v>548</v>
      </c>
      <c r="CR197" s="29">
        <v>1</v>
      </c>
      <c r="CS197" s="29">
        <v>17</v>
      </c>
      <c r="CT197" s="29" t="s">
        <v>551</v>
      </c>
      <c r="CU197" s="30">
        <v>4.08</v>
      </c>
      <c r="CV197" s="29">
        <v>1</v>
      </c>
      <c r="CW197" s="29">
        <v>1</v>
      </c>
      <c r="CX197" s="29" t="s">
        <v>551</v>
      </c>
      <c r="CY197" s="62">
        <v>0.24</v>
      </c>
      <c r="CZ197" s="29">
        <v>1</v>
      </c>
      <c r="DA197" s="29">
        <v>0</v>
      </c>
      <c r="DB197" s="29" t="s">
        <v>551</v>
      </c>
      <c r="DC197" s="62">
        <v>0</v>
      </c>
      <c r="DD197" s="29" t="s">
        <v>546</v>
      </c>
      <c r="DE197" s="29" t="s">
        <v>548</v>
      </c>
      <c r="DF197" s="29" t="s">
        <v>546</v>
      </c>
      <c r="DG197" s="29" t="s">
        <v>546</v>
      </c>
      <c r="DH197" s="29" t="s">
        <v>546</v>
      </c>
      <c r="DI197" s="29">
        <v>1</v>
      </c>
      <c r="DJ197" s="29">
        <v>2</v>
      </c>
      <c r="DK197" s="29" t="s">
        <v>1214</v>
      </c>
      <c r="DL197" s="29" t="s">
        <v>1215</v>
      </c>
      <c r="DM197" s="29">
        <v>-4.3578367233276367</v>
      </c>
      <c r="DN197" s="29">
        <v>35.476325988769531</v>
      </c>
      <c r="DO197" s="29">
        <v>1663.9000244140625</v>
      </c>
      <c r="DP197" s="29">
        <v>15</v>
      </c>
      <c r="DQ197" s="29">
        <v>1705231439</v>
      </c>
      <c r="DR197" s="29" t="s">
        <v>1216</v>
      </c>
      <c r="DS197" s="31">
        <v>42908.292557870373</v>
      </c>
      <c r="DT197" s="31">
        <v>42894.617743055554</v>
      </c>
      <c r="DU197" s="31">
        <v>42908.28701388889</v>
      </c>
      <c r="DV197" s="32">
        <v>42765</v>
      </c>
      <c r="DX197" s="44">
        <v>3.5077777777777785</v>
      </c>
      <c r="DY197" s="44">
        <v>2.046203703703704</v>
      </c>
      <c r="DZ197" s="44">
        <v>1.6939682539682539</v>
      </c>
      <c r="EA197" s="44">
        <v>1.4895238095238095</v>
      </c>
      <c r="EC197" s="29">
        <f>IF(EQ197&lt;EP197,"FALSEE",1)</f>
        <v>1</v>
      </c>
      <c r="EE197" s="29" t="s">
        <v>2171</v>
      </c>
      <c r="EF197" s="29">
        <v>3.36980676651</v>
      </c>
      <c r="EG197" s="29" t="str">
        <f>IF(EF197&lt;0.5,"Depression",IF(EF197&lt;2,"Very gentle",IF(EF197&lt;5,"Gentle",IF(EF197&lt;9,"Moderate",IF(EF197&lt;15,"Strong",IF(EF197&lt;30,"Steep",IF(EF197&lt;1,"Very steep")))))))</f>
        <v>Gentle</v>
      </c>
      <c r="EH197" s="29" t="s">
        <v>2173</v>
      </c>
      <c r="EI197" s="29">
        <v>-0.45320102572400001</v>
      </c>
      <c r="EJ197" s="43">
        <v>10.7425298691</v>
      </c>
      <c r="EK197" s="43"/>
      <c r="EL197" s="43">
        <f>VLOOKUP(D197,[1]SoilData!$G$245:$K$451,5,FALSE)</f>
        <v>39.794211970915427</v>
      </c>
      <c r="EM197" s="43"/>
      <c r="EN197" s="43">
        <f>VLOOKUP(D197,[1]SoilData!$G$245:$M$454,7,FALSE)</f>
        <v>1.3720000000000001</v>
      </c>
      <c r="EO197" s="60"/>
      <c r="EP197" s="44">
        <f>AVERAGE(DZ197:EA197)</f>
        <v>1.5917460317460317</v>
      </c>
      <c r="EQ197" s="44">
        <f>AVERAGE(DX197:DY197)</f>
        <v>2.7769907407407413</v>
      </c>
      <c r="ER197" s="43">
        <f>EQ197-EP197</f>
        <v>1.1852447089947096</v>
      </c>
      <c r="ES197" s="64">
        <f>IF(CU197&gt;0.000001,CU197*352,0)</f>
        <v>1436.16</v>
      </c>
      <c r="ET197" s="64">
        <f>IF(DC197&gt;0.0001,DC197*682,0)</f>
        <v>0</v>
      </c>
      <c r="EU197" s="64">
        <f>CY197*795</f>
        <v>190.79999999999998</v>
      </c>
      <c r="EV197" s="64">
        <f>ES197+ET197+EU197</f>
        <v>1626.96</v>
      </c>
      <c r="EW197" s="64">
        <f>IF(AA197="YES",3.5*18.2,0)</f>
        <v>63.699999999999996</v>
      </c>
      <c r="EX197" s="64">
        <f>EV197-EW197</f>
        <v>1563.26</v>
      </c>
    </row>
    <row r="198" spans="1:154" ht="15" x14ac:dyDescent="0.2">
      <c r="A198" s="29" t="s">
        <v>789</v>
      </c>
      <c r="B198" s="29">
        <v>70</v>
      </c>
      <c r="C198" s="29" t="s">
        <v>346</v>
      </c>
      <c r="D198" s="29" t="s">
        <v>346</v>
      </c>
      <c r="E198" s="29" t="str">
        <f>VLOOKUP(D198,Harvest_2017_Formulae!$C$2:$D$968,2,FALSE)</f>
        <v>Endanachan</v>
      </c>
      <c r="F198" s="29" t="s">
        <v>777</v>
      </c>
      <c r="G198" s="29">
        <v>0</v>
      </c>
      <c r="H198" s="61" t="str">
        <f>IF(G198&lt;0.05,"Homefield",IF(G198&lt;0.5,"Midfield","outfield"))</f>
        <v>Homefield</v>
      </c>
      <c r="I198" s="29" t="s">
        <v>557</v>
      </c>
      <c r="J198" s="61" t="s">
        <v>2233</v>
      </c>
      <c r="K198" s="61" t="s">
        <v>2233</v>
      </c>
      <c r="L198" s="67">
        <v>0</v>
      </c>
      <c r="O198" s="29" t="s">
        <v>547</v>
      </c>
      <c r="Q198" s="67">
        <v>1</v>
      </c>
      <c r="R198" s="29" t="s">
        <v>615</v>
      </c>
      <c r="S198" s="29">
        <v>3</v>
      </c>
      <c r="T198" s="29">
        <v>5.000000074505806E-2</v>
      </c>
      <c r="U198" s="29" t="s">
        <v>560</v>
      </c>
      <c r="W198" s="29" t="s">
        <v>635</v>
      </c>
      <c r="Y198" s="29">
        <v>7000</v>
      </c>
      <c r="Z198" s="29" t="s">
        <v>547</v>
      </c>
      <c r="AA198" s="61" t="s">
        <v>548</v>
      </c>
      <c r="AB198" s="29" t="s">
        <v>568</v>
      </c>
      <c r="AC198" s="67">
        <v>0</v>
      </c>
      <c r="AD198" s="29" t="s">
        <v>547</v>
      </c>
      <c r="AF198" s="29" t="s">
        <v>547</v>
      </c>
      <c r="AG198" s="29" t="s">
        <v>547</v>
      </c>
      <c r="AH198" s="29" t="s">
        <v>548</v>
      </c>
      <c r="AI198" s="29" t="s">
        <v>546</v>
      </c>
      <c r="AK198" s="67">
        <v>0</v>
      </c>
      <c r="AL198" s="29" t="s">
        <v>547</v>
      </c>
      <c r="AO198" s="29" t="s">
        <v>547</v>
      </c>
      <c r="AP198" s="29" t="s">
        <v>547</v>
      </c>
      <c r="AQ198" s="4">
        <f>Q198+AK198</f>
        <v>1</v>
      </c>
      <c r="AR198" s="4">
        <f>L198+AC198</f>
        <v>0</v>
      </c>
      <c r="AS198" t="str">
        <f>AQ198&amp;AR198</f>
        <v>10</v>
      </c>
      <c r="AT198" s="49">
        <f>AQ198-AR198</f>
        <v>1</v>
      </c>
      <c r="AU198">
        <v>2</v>
      </c>
      <c r="AV198" s="29" t="s">
        <v>548</v>
      </c>
      <c r="AW198" s="29">
        <v>3.5</v>
      </c>
      <c r="AX198" s="29" t="s">
        <v>548</v>
      </c>
      <c r="AY198" s="29">
        <v>1</v>
      </c>
      <c r="AZ198" s="29">
        <v>0.75</v>
      </c>
      <c r="BA198" s="29" t="s">
        <v>548</v>
      </c>
      <c r="BB198" s="29" t="s">
        <v>569</v>
      </c>
      <c r="BC198" s="29">
        <v>6.25</v>
      </c>
      <c r="BD198" s="29">
        <f>AW198+AZ198</f>
        <v>4.25</v>
      </c>
      <c r="BE198" s="29">
        <f>BD198+BC198</f>
        <v>10.5</v>
      </c>
      <c r="BF198" s="29" t="s">
        <v>548</v>
      </c>
      <c r="BG198" s="29" t="s">
        <v>548</v>
      </c>
      <c r="BH198" s="29" t="s">
        <v>548</v>
      </c>
      <c r="BI198" s="29" t="s">
        <v>548</v>
      </c>
      <c r="BJ198" s="29" t="s">
        <v>546</v>
      </c>
      <c r="BK198" s="29" t="s">
        <v>546</v>
      </c>
      <c r="BL198" s="29">
        <v>10</v>
      </c>
      <c r="BM198" s="29" t="s">
        <v>549</v>
      </c>
      <c r="BN198" s="29">
        <v>10</v>
      </c>
      <c r="BO198" s="29" t="s">
        <v>562</v>
      </c>
      <c r="BP198" s="29">
        <v>20</v>
      </c>
      <c r="BQ198" s="29" t="s">
        <v>580</v>
      </c>
      <c r="BR198" s="29">
        <v>6</v>
      </c>
      <c r="BS198" s="29" t="s">
        <v>580</v>
      </c>
      <c r="BU198" s="29" t="s">
        <v>547</v>
      </c>
      <c r="BW198" s="29">
        <f>(BL198*1)+(BN198*0.1)+(BP198*0.01)+(BR198*0.1)+(BT198*0.3)+(BV198*0.4)</f>
        <v>11.799999999999999</v>
      </c>
      <c r="BX198" s="29" t="s">
        <v>2220</v>
      </c>
      <c r="BY198" s="29">
        <v>1</v>
      </c>
      <c r="BZ198" s="29">
        <v>1</v>
      </c>
      <c r="CA198" s="29">
        <v>5</v>
      </c>
      <c r="CB198" s="29">
        <v>7</v>
      </c>
      <c r="CC198" s="29">
        <v>0</v>
      </c>
      <c r="CD198" s="29">
        <v>0</v>
      </c>
      <c r="CE198" s="29">
        <v>1</v>
      </c>
      <c r="CG198" s="29">
        <f>(CC198*15)+(CD198*0.8)+(CE198*0.3)+((AW198+AZ198)*15)</f>
        <v>64.05</v>
      </c>
      <c r="CH198" s="29" t="s">
        <v>2221</v>
      </c>
      <c r="CI198" s="29">
        <f>(BL198*1)+(BN198*0.1)+(BP198*0.01)+(BR198*0.1)+(BT198*0.3)+(BV198*0.4)+(CC198*15)+(CD198*0.8)+(CE198*0.3)+((AW198+AZ198)*15)</f>
        <v>75.849999999999994</v>
      </c>
      <c r="CJ198" s="29" t="s">
        <v>548</v>
      </c>
      <c r="CK198" s="29" t="s">
        <v>797</v>
      </c>
      <c r="CL198" s="29" t="s">
        <v>548</v>
      </c>
      <c r="CM198" s="29" t="s">
        <v>550</v>
      </c>
      <c r="CN198" s="29">
        <v>0.25</v>
      </c>
      <c r="CO198" s="29">
        <v>5.75</v>
      </c>
      <c r="CP198" s="29">
        <v>0</v>
      </c>
      <c r="CQ198" s="29" t="s">
        <v>548</v>
      </c>
      <c r="CS198" s="29">
        <v>999</v>
      </c>
      <c r="CT198" s="29" t="s">
        <v>551</v>
      </c>
      <c r="CV198" s="29">
        <v>1</v>
      </c>
      <c r="CW198" s="29">
        <v>4</v>
      </c>
      <c r="CX198" s="29" t="s">
        <v>551</v>
      </c>
      <c r="CY198" s="62">
        <v>0.96</v>
      </c>
      <c r="DA198" s="29">
        <v>999</v>
      </c>
      <c r="DB198" s="29" t="s">
        <v>551</v>
      </c>
      <c r="DC198" s="62"/>
      <c r="DD198" s="29" t="s">
        <v>546</v>
      </c>
      <c r="DE198" s="29" t="s">
        <v>548</v>
      </c>
      <c r="DF198" s="29" t="s">
        <v>546</v>
      </c>
      <c r="DG198" s="29" t="s">
        <v>548</v>
      </c>
      <c r="DH198" s="29" t="s">
        <v>546</v>
      </c>
      <c r="DI198" s="29">
        <v>2</v>
      </c>
      <c r="DJ198" s="29">
        <v>3</v>
      </c>
      <c r="DK198" s="29" t="s">
        <v>798</v>
      </c>
      <c r="DL198" s="29" t="s">
        <v>799</v>
      </c>
      <c r="DM198" s="29">
        <v>-4.3501195907592773</v>
      </c>
      <c r="DN198" s="29">
        <v>35.712425231933594</v>
      </c>
      <c r="DO198" s="29">
        <v>1373.4000244140625</v>
      </c>
      <c r="DP198" s="29">
        <v>15</v>
      </c>
      <c r="DQ198" s="29">
        <v>1705231439</v>
      </c>
      <c r="DR198" s="29" t="s">
        <v>800</v>
      </c>
      <c r="DS198" s="31">
        <v>42923.387094907404</v>
      </c>
      <c r="DT198" s="31">
        <v>42903.430335648147</v>
      </c>
      <c r="DU198" s="31">
        <v>42923.384930555556</v>
      </c>
      <c r="DV198" s="32">
        <v>42776</v>
      </c>
      <c r="DX198" s="44">
        <v>6.4555555555555566</v>
      </c>
      <c r="DY198" s="44">
        <v>6.7417624521072801</v>
      </c>
      <c r="DZ198" s="44">
        <v>4.5600000000000005</v>
      </c>
      <c r="EA198" s="44">
        <v>5.7949999999999999</v>
      </c>
      <c r="EC198" s="29">
        <f>IF(EQ198&lt;EP198,"FALSEE",1)</f>
        <v>1</v>
      </c>
      <c r="EE198" s="29" t="s">
        <v>2171</v>
      </c>
      <c r="EF198" s="29">
        <v>1.62334883213</v>
      </c>
      <c r="EG198" s="29" t="str">
        <f>IF(EF198&lt;0.5,"Depression",IF(EF198&lt;2,"Very gentle",IF(EF198&lt;5,"Gentle",IF(EF198&lt;9,"Moderate",IF(EF198&lt;15,"Strong",IF(EF198&lt;30,"Steep",IF(EF198&lt;1,"Very steep")))))))</f>
        <v>Very gentle</v>
      </c>
      <c r="EH198" s="29" t="s">
        <v>2173</v>
      </c>
      <c r="EI198" s="29">
        <v>-9.0633422136300004E-2</v>
      </c>
      <c r="EJ198" s="43">
        <v>9.0073556900000007</v>
      </c>
      <c r="EK198" s="43">
        <f>VLOOKUP(D198,[1]SoilData!$G$15:$K$237,5,FALSE)</f>
        <v>386.66987723629484</v>
      </c>
      <c r="EL198" s="43"/>
      <c r="EM198" s="43">
        <f>VLOOKUP(D198,[1]SoilData!$G$15:$M$238,7,FALSE)</f>
        <v>1.1639999999999999</v>
      </c>
      <c r="EN198" s="43"/>
      <c r="EO198" s="60"/>
      <c r="EP198" s="44">
        <f>AVERAGE(DZ198:EA198)</f>
        <v>5.1775000000000002</v>
      </c>
      <c r="EQ198" s="44">
        <f>AVERAGE(DX198:DY198)</f>
        <v>6.5986590038314183</v>
      </c>
      <c r="ER198" s="43">
        <f>EQ198-EP198</f>
        <v>1.4211590038314181</v>
      </c>
      <c r="ES198" s="64">
        <f>IF(CU198&gt;0.000001,CU198*352,0)</f>
        <v>0</v>
      </c>
      <c r="ET198" s="64">
        <f>IF(DC198&gt;0.0001,DC198*682,0)</f>
        <v>0</v>
      </c>
      <c r="EU198" s="64">
        <f>CY198*795</f>
        <v>763.19999999999993</v>
      </c>
      <c r="EV198" s="64">
        <f>ES198+ET198+EU198</f>
        <v>763.19999999999993</v>
      </c>
      <c r="EW198" s="64">
        <f>IF(AA198="YES",3.5*18.2,0)</f>
        <v>63.699999999999996</v>
      </c>
      <c r="EX198" s="64">
        <f>EV198-EW198</f>
        <v>699.49999999999989</v>
      </c>
    </row>
    <row r="199" spans="1:154" ht="15" x14ac:dyDescent="0.2">
      <c r="A199" s="29" t="s">
        <v>556</v>
      </c>
      <c r="B199" s="29">
        <v>100</v>
      </c>
      <c r="C199" s="29" t="s">
        <v>1523</v>
      </c>
      <c r="D199" s="29" t="s">
        <v>547</v>
      </c>
      <c r="E199" s="29" t="e">
        <f>VLOOKUP(D199,Harvest_2017_Formulae!$C$2:$D$968,2,FALSE)</f>
        <v>#N/A</v>
      </c>
      <c r="F199" s="29" t="s">
        <v>777</v>
      </c>
      <c r="G199" s="29">
        <v>1</v>
      </c>
      <c r="H199" s="61" t="str">
        <f>IF(G199&lt;0.05,"Homefield",IF(G199&lt;0.5,"Midfield","outfield"))</f>
        <v>outfield</v>
      </c>
      <c r="I199" s="29" t="s">
        <v>557</v>
      </c>
      <c r="J199" s="61" t="s">
        <v>2233</v>
      </c>
      <c r="K199" s="61" t="s">
        <v>2233</v>
      </c>
      <c r="L199" s="67">
        <v>0</v>
      </c>
      <c r="O199" s="29" t="s">
        <v>547</v>
      </c>
      <c r="Q199" s="67">
        <v>1</v>
      </c>
      <c r="R199" s="29" t="s">
        <v>558</v>
      </c>
      <c r="S199" s="29">
        <v>4</v>
      </c>
      <c r="T199" s="29" t="s">
        <v>559</v>
      </c>
      <c r="U199" s="29" t="s">
        <v>560</v>
      </c>
      <c r="W199" s="29" t="s">
        <v>561</v>
      </c>
      <c r="Y199" s="29">
        <v>5000</v>
      </c>
      <c r="Z199" s="29" t="s">
        <v>547</v>
      </c>
      <c r="AA199" s="61" t="s">
        <v>548</v>
      </c>
      <c r="AB199" s="29" t="s">
        <v>568</v>
      </c>
      <c r="AC199" s="67">
        <v>0</v>
      </c>
      <c r="AD199" s="29" t="s">
        <v>547</v>
      </c>
      <c r="AF199" s="29" t="s">
        <v>547</v>
      </c>
      <c r="AG199" s="29" t="s">
        <v>547</v>
      </c>
      <c r="AH199" s="29" t="s">
        <v>548</v>
      </c>
      <c r="AI199" s="29" t="s">
        <v>546</v>
      </c>
      <c r="AJ199" s="29" t="s">
        <v>547</v>
      </c>
      <c r="AK199" s="67">
        <v>0</v>
      </c>
      <c r="AL199" s="29" t="s">
        <v>547</v>
      </c>
      <c r="AO199" s="29" t="s">
        <v>547</v>
      </c>
      <c r="AP199" s="29" t="s">
        <v>547</v>
      </c>
      <c r="AQ199" s="4">
        <f>Q199+AK199</f>
        <v>1</v>
      </c>
      <c r="AR199" s="4">
        <f>L199+AC199</f>
        <v>0</v>
      </c>
      <c r="AS199" t="str">
        <f>AQ199&amp;AR199</f>
        <v>10</v>
      </c>
      <c r="AT199" s="49">
        <f>AQ199-AR199</f>
        <v>1</v>
      </c>
      <c r="AU199">
        <v>2</v>
      </c>
      <c r="AV199" s="29" t="s">
        <v>548</v>
      </c>
      <c r="AW199" s="29">
        <v>0.125</v>
      </c>
      <c r="AX199" s="29" t="s">
        <v>548</v>
      </c>
      <c r="AY199" s="29">
        <v>2</v>
      </c>
      <c r="AZ199" s="29">
        <v>2</v>
      </c>
      <c r="BA199" s="29" t="s">
        <v>548</v>
      </c>
      <c r="BB199" s="29" t="s">
        <v>584</v>
      </c>
      <c r="BC199" s="29">
        <v>1</v>
      </c>
      <c r="BD199" s="29">
        <f>AW199+AZ199</f>
        <v>2.125</v>
      </c>
      <c r="BE199" s="29">
        <f>BD199+BC199</f>
        <v>3.125</v>
      </c>
      <c r="BF199" s="29" t="s">
        <v>548</v>
      </c>
      <c r="BG199" s="29" t="s">
        <v>546</v>
      </c>
      <c r="BH199" s="29" t="s">
        <v>548</v>
      </c>
      <c r="BI199" s="29" t="s">
        <v>546</v>
      </c>
      <c r="BJ199" s="29" t="s">
        <v>546</v>
      </c>
      <c r="BK199" s="29" t="s">
        <v>546</v>
      </c>
      <c r="BL199" s="29">
        <v>12</v>
      </c>
      <c r="BM199" s="29" t="s">
        <v>549</v>
      </c>
      <c r="BO199" s="29" t="s">
        <v>547</v>
      </c>
      <c r="BP199" s="29">
        <v>7</v>
      </c>
      <c r="BQ199" s="29" t="s">
        <v>549</v>
      </c>
      <c r="BS199" s="29" t="s">
        <v>547</v>
      </c>
      <c r="BU199" s="29" t="s">
        <v>547</v>
      </c>
      <c r="BW199" s="29">
        <f>(BL199*1)+(BN199*0.1)+(BP199*0.01)+(BR199*0.1)+(BT199*0.3)+(BV199*0.4)</f>
        <v>12.07</v>
      </c>
      <c r="BX199" s="29" t="s">
        <v>2220</v>
      </c>
      <c r="BY199" s="29">
        <v>0</v>
      </c>
      <c r="BZ199" s="29">
        <v>1</v>
      </c>
      <c r="CA199" s="29">
        <v>2</v>
      </c>
      <c r="CB199" s="29">
        <v>3</v>
      </c>
      <c r="CC199" s="29">
        <v>0</v>
      </c>
      <c r="CD199" s="29">
        <v>0</v>
      </c>
      <c r="CE199" s="29">
        <v>0</v>
      </c>
      <c r="CG199" s="29">
        <f>(CC199*15)+(CD199*0.8)+(CE199*0.3)+((AW199+AZ199)*15)</f>
        <v>31.875</v>
      </c>
      <c r="CH199" s="29" t="s">
        <v>2220</v>
      </c>
      <c r="CI199" s="29">
        <f>(BL199*1)+(BN199*0.1)+(BP199*0.01)+(BR199*0.1)+(BT199*0.3)+(BV199*0.4)+(CC199*15)+(CD199*0.8)+(CE199*0.3)+((AW199+AZ199)*15)</f>
        <v>43.945</v>
      </c>
      <c r="CJ199" s="29" t="s">
        <v>546</v>
      </c>
      <c r="CK199" s="29" t="s">
        <v>547</v>
      </c>
      <c r="CL199" s="29" t="s">
        <v>548</v>
      </c>
      <c r="CM199" s="29" t="s">
        <v>550</v>
      </c>
      <c r="CN199" s="29">
        <v>0.25</v>
      </c>
      <c r="CO199" s="29">
        <v>0.75</v>
      </c>
      <c r="CP199" s="29">
        <v>0</v>
      </c>
      <c r="CQ199" s="29" t="s">
        <v>548</v>
      </c>
      <c r="CR199" s="29">
        <v>1</v>
      </c>
      <c r="CS199" s="29">
        <v>13</v>
      </c>
      <c r="CT199" s="29" t="s">
        <v>551</v>
      </c>
      <c r="CU199" s="30">
        <v>3.12</v>
      </c>
      <c r="CW199" s="29">
        <v>999</v>
      </c>
      <c r="CX199" s="29" t="s">
        <v>551</v>
      </c>
      <c r="CY199" s="62"/>
      <c r="CZ199" s="29">
        <v>1</v>
      </c>
      <c r="DA199" s="29">
        <v>3</v>
      </c>
      <c r="DB199" s="29" t="s">
        <v>551</v>
      </c>
      <c r="DC199" s="62">
        <v>0.72</v>
      </c>
      <c r="DD199" s="29" t="s">
        <v>548</v>
      </c>
      <c r="DE199" s="29" t="s">
        <v>546</v>
      </c>
      <c r="DF199" s="29" t="s">
        <v>546</v>
      </c>
      <c r="DG199" s="29" t="s">
        <v>546</v>
      </c>
      <c r="DH199" s="29" t="s">
        <v>546</v>
      </c>
      <c r="DI199" s="29">
        <v>1</v>
      </c>
      <c r="DJ199" s="29">
        <v>3</v>
      </c>
      <c r="DK199" s="29" t="s">
        <v>1524</v>
      </c>
      <c r="DL199" s="29" t="s">
        <v>1525</v>
      </c>
      <c r="DM199" s="29">
        <v>-4.2963933944702148</v>
      </c>
      <c r="DN199" s="29">
        <v>35.861850738525391</v>
      </c>
      <c r="DO199" s="29">
        <v>1264.300048828125</v>
      </c>
      <c r="DP199" s="29">
        <v>5</v>
      </c>
      <c r="DQ199" s="29">
        <v>1705231439</v>
      </c>
      <c r="DR199" s="29" t="s">
        <v>1526</v>
      </c>
      <c r="DS199" s="31">
        <v>42950.965173611112</v>
      </c>
      <c r="DT199" s="31">
        <v>42892.672291666662</v>
      </c>
      <c r="DU199" s="31">
        <v>42950.920983796299</v>
      </c>
      <c r="DV199" s="32">
        <v>42776</v>
      </c>
      <c r="EC199" s="29">
        <f>IF(EQ199&lt;EP199,"FALSEE",1)</f>
        <v>1</v>
      </c>
      <c r="EE199" s="29" t="s">
        <v>2171</v>
      </c>
      <c r="EF199" s="29">
        <v>1.00692403316</v>
      </c>
      <c r="EG199" s="29" t="str">
        <f>IF(EF199&lt;0.5,"Depression",IF(EF199&lt;2,"Very gentle",IF(EF199&lt;5,"Gentle",IF(EF199&lt;9,"Moderate",IF(EF199&lt;15,"Strong",IF(EF199&lt;30,"Steep",IF(EF199&lt;1,"Very steep")))))))</f>
        <v>Very gentle</v>
      </c>
      <c r="EH199" s="29" t="s">
        <v>2172</v>
      </c>
      <c r="EI199" s="29">
        <v>-0.63448482751799995</v>
      </c>
      <c r="EJ199" s="43">
        <v>12.447251319899999</v>
      </c>
      <c r="EK199" s="43"/>
      <c r="EL199" s="43"/>
      <c r="EM199" s="43"/>
      <c r="EN199" s="43"/>
      <c r="EO199" s="60"/>
      <c r="EP199" s="43"/>
      <c r="EQ199" s="43"/>
      <c r="ER199" s="43"/>
      <c r="ES199" s="64">
        <f>IF(CU199&gt;0.000001,CU199*352,0)</f>
        <v>1098.24</v>
      </c>
      <c r="ET199" s="64">
        <f>IF(DC199&gt;0.0001,DC199*682,0)</f>
        <v>491.03999999999996</v>
      </c>
      <c r="EU199" s="64">
        <f>CY199*795</f>
        <v>0</v>
      </c>
      <c r="EV199" s="64">
        <f>ES199+ET199+EU199</f>
        <v>1589.28</v>
      </c>
      <c r="EW199" s="64">
        <f>IF(AA199="YES",3.5*18.2,0)</f>
        <v>63.699999999999996</v>
      </c>
      <c r="EX199" s="64">
        <f>EV199-EW199</f>
        <v>1525.58</v>
      </c>
    </row>
    <row r="200" spans="1:154" ht="15" x14ac:dyDescent="0.2">
      <c r="A200" s="29" t="s">
        <v>789</v>
      </c>
      <c r="B200" s="29">
        <v>23</v>
      </c>
      <c r="C200" s="29" t="s">
        <v>383</v>
      </c>
      <c r="D200" s="29" t="s">
        <v>383</v>
      </c>
      <c r="E200" s="29" t="str">
        <f>VLOOKUP(D200,Harvest_2017_Formulae!$C$2:$D$968,2,FALSE)</f>
        <v>SABILO</v>
      </c>
      <c r="F200" s="29" t="s">
        <v>1175</v>
      </c>
      <c r="G200" s="29">
        <v>0.20000000298023224</v>
      </c>
      <c r="H200" s="61" t="str">
        <f>IF(G200&lt;0.05,"Homefield",IF(G200&lt;0.5,"Midfield","outfield"))</f>
        <v>Midfield</v>
      </c>
      <c r="I200" s="29" t="s">
        <v>557</v>
      </c>
      <c r="J200" s="61" t="s">
        <v>2233</v>
      </c>
      <c r="K200" s="61" t="s">
        <v>2233</v>
      </c>
      <c r="L200" s="67">
        <v>0</v>
      </c>
      <c r="O200" s="29" t="s">
        <v>547</v>
      </c>
      <c r="Q200" s="67">
        <v>1</v>
      </c>
      <c r="R200" s="29" t="s">
        <v>615</v>
      </c>
      <c r="S200" s="29">
        <v>6</v>
      </c>
      <c r="T200" s="29">
        <v>2</v>
      </c>
      <c r="U200" s="29" t="s">
        <v>560</v>
      </c>
      <c r="W200" s="29" t="s">
        <v>561</v>
      </c>
      <c r="Y200" s="29">
        <v>20000</v>
      </c>
      <c r="Z200" s="29" t="s">
        <v>547</v>
      </c>
      <c r="AA200" s="61" t="s">
        <v>548</v>
      </c>
      <c r="AB200" s="29" t="s">
        <v>568</v>
      </c>
      <c r="AC200" s="67">
        <v>0</v>
      </c>
      <c r="AD200" s="29" t="s">
        <v>547</v>
      </c>
      <c r="AF200" s="29" t="s">
        <v>547</v>
      </c>
      <c r="AG200" s="29" t="s">
        <v>547</v>
      </c>
      <c r="AH200" s="29" t="s">
        <v>548</v>
      </c>
      <c r="AI200" s="29" t="s">
        <v>546</v>
      </c>
      <c r="AK200" s="67">
        <v>0</v>
      </c>
      <c r="AL200" s="29" t="s">
        <v>547</v>
      </c>
      <c r="AO200" s="29" t="s">
        <v>547</v>
      </c>
      <c r="AP200" s="29" t="s">
        <v>547</v>
      </c>
      <c r="AQ200" s="4">
        <f>Q200+AK200</f>
        <v>1</v>
      </c>
      <c r="AR200" s="4">
        <f>L200+AC200</f>
        <v>0</v>
      </c>
      <c r="AS200" t="str">
        <f>AQ200&amp;AR200</f>
        <v>10</v>
      </c>
      <c r="AT200" s="49">
        <f>AQ200-AR200</f>
        <v>1</v>
      </c>
      <c r="AU200">
        <v>2</v>
      </c>
      <c r="AV200" s="29" t="s">
        <v>548</v>
      </c>
      <c r="AW200" s="29">
        <v>1</v>
      </c>
      <c r="AX200" s="29" t="s">
        <v>548</v>
      </c>
      <c r="AY200" s="29">
        <v>3</v>
      </c>
      <c r="AZ200" s="29">
        <v>5</v>
      </c>
      <c r="BA200" s="29" t="s">
        <v>546</v>
      </c>
      <c r="BB200" s="29" t="s">
        <v>547</v>
      </c>
      <c r="BD200" s="29">
        <f>AW200+AZ200</f>
        <v>6</v>
      </c>
      <c r="BE200" s="29">
        <f>BD200+BC200</f>
        <v>6</v>
      </c>
      <c r="BF200" s="29" t="s">
        <v>548</v>
      </c>
      <c r="BG200" s="29" t="s">
        <v>548</v>
      </c>
      <c r="BH200" s="29" t="s">
        <v>548</v>
      </c>
      <c r="BI200" s="29" t="s">
        <v>548</v>
      </c>
      <c r="BJ200" s="29" t="s">
        <v>546</v>
      </c>
      <c r="BK200" s="29" t="s">
        <v>548</v>
      </c>
      <c r="BL200" s="29">
        <v>10</v>
      </c>
      <c r="BM200" s="29" t="s">
        <v>580</v>
      </c>
      <c r="BN200" s="29">
        <v>9</v>
      </c>
      <c r="BO200" s="29" t="s">
        <v>580</v>
      </c>
      <c r="BP200" s="29">
        <v>5</v>
      </c>
      <c r="BQ200" s="29" t="s">
        <v>580</v>
      </c>
      <c r="BR200" s="29">
        <v>8</v>
      </c>
      <c r="BS200" s="29" t="s">
        <v>580</v>
      </c>
      <c r="BU200" s="29" t="s">
        <v>547</v>
      </c>
      <c r="BV200" s="29">
        <v>2</v>
      </c>
      <c r="BW200" s="29">
        <f>(BL200*1)+(BN200*0.1)+(BP200*0.01)+(BR200*0.1)+(BT200*0.3)+(BV200*0.4)</f>
        <v>12.550000000000002</v>
      </c>
      <c r="BX200" s="29" t="s">
        <v>2220</v>
      </c>
      <c r="BY200" s="29">
        <v>1</v>
      </c>
      <c r="BZ200" s="29">
        <v>1</v>
      </c>
      <c r="CA200" s="29">
        <v>6</v>
      </c>
      <c r="CB200" s="29">
        <v>8</v>
      </c>
      <c r="CC200" s="29">
        <v>0</v>
      </c>
      <c r="CD200" s="29">
        <v>1</v>
      </c>
      <c r="CE200" s="29">
        <v>1</v>
      </c>
      <c r="CG200" s="29">
        <f>(CC200*15)+(CD200*0.8)+(CE200*0.3)+((AW200+AZ200)*15)</f>
        <v>91.1</v>
      </c>
      <c r="CH200" s="29" t="s">
        <v>2221</v>
      </c>
      <c r="CI200" s="29">
        <f>(BL200*1)+(BN200*0.1)+(BP200*0.01)+(BR200*0.1)+(BT200*0.3)+(BV200*0.4)+(CC200*15)+(CD200*0.8)+(CE200*0.3)+((AW200+AZ200)*15)</f>
        <v>103.65</v>
      </c>
      <c r="CJ200" s="29" t="s">
        <v>548</v>
      </c>
      <c r="CK200" s="29" t="s">
        <v>797</v>
      </c>
      <c r="CL200" s="29" t="s">
        <v>548</v>
      </c>
      <c r="CM200" s="29" t="s">
        <v>793</v>
      </c>
      <c r="CN200" s="29">
        <v>0.25</v>
      </c>
      <c r="CO200" s="29">
        <v>4.75</v>
      </c>
      <c r="CP200" s="29">
        <v>0</v>
      </c>
      <c r="CQ200" s="29" t="s">
        <v>548</v>
      </c>
      <c r="CS200" s="29">
        <v>999</v>
      </c>
      <c r="CT200" s="29" t="s">
        <v>551</v>
      </c>
      <c r="CW200" s="29">
        <v>999</v>
      </c>
      <c r="CX200" s="29" t="s">
        <v>551</v>
      </c>
      <c r="CY200" s="62"/>
      <c r="DA200" s="29">
        <v>999</v>
      </c>
      <c r="DB200" s="29" t="s">
        <v>551</v>
      </c>
      <c r="DC200" s="62"/>
      <c r="DD200" s="29" t="s">
        <v>548</v>
      </c>
      <c r="DE200" s="29" t="s">
        <v>548</v>
      </c>
      <c r="DF200" s="29" t="s">
        <v>548</v>
      </c>
      <c r="DG200" s="29" t="s">
        <v>548</v>
      </c>
      <c r="DH200" s="29" t="s">
        <v>548</v>
      </c>
      <c r="DI200" s="29">
        <v>5</v>
      </c>
      <c r="DJ200" s="29">
        <v>3</v>
      </c>
      <c r="DK200" s="29" t="s">
        <v>1227</v>
      </c>
      <c r="DL200" s="29" t="s">
        <v>1228</v>
      </c>
      <c r="DM200" s="29">
        <v>-4.3527083396911621</v>
      </c>
      <c r="DN200" s="29">
        <v>35.471397399902344</v>
      </c>
      <c r="DO200" s="29">
        <v>1654.9000244140625</v>
      </c>
      <c r="DP200" s="29">
        <v>15</v>
      </c>
      <c r="DQ200" s="29">
        <v>1705231439</v>
      </c>
      <c r="DR200" s="29" t="s">
        <v>1229</v>
      </c>
      <c r="DS200" s="31">
        <v>42908.292546296296</v>
      </c>
      <c r="DT200" s="31">
        <v>42894.505798611106</v>
      </c>
      <c r="DU200" s="31">
        <v>42908.286851851852</v>
      </c>
      <c r="DV200" s="32">
        <v>42772</v>
      </c>
      <c r="DX200" s="44">
        <v>8.67686274509804</v>
      </c>
      <c r="DY200" s="44">
        <v>8.0635294117647067</v>
      </c>
      <c r="DZ200" s="44">
        <v>2.125</v>
      </c>
      <c r="EA200" s="44">
        <v>5.1416666666666666</v>
      </c>
      <c r="EC200" s="29">
        <f>IF(EQ200&lt;EP200,"FALSEE",1)</f>
        <v>1</v>
      </c>
      <c r="EE200" s="29" t="s">
        <v>2171</v>
      </c>
      <c r="EF200" s="29">
        <v>3.93959927559</v>
      </c>
      <c r="EG200" s="29" t="str">
        <f>IF(EF200&lt;0.5,"Depression",IF(EF200&lt;2,"Very gentle",IF(EF200&lt;5,"Gentle",IF(EF200&lt;9,"Moderate",IF(EF200&lt;15,"Strong",IF(EF200&lt;30,"Steep",IF(EF200&lt;1,"Very steep")))))))</f>
        <v>Gentle</v>
      </c>
      <c r="EH200" s="29" t="s">
        <v>2172</v>
      </c>
      <c r="EI200" s="29">
        <v>-0.725126743317</v>
      </c>
      <c r="EJ200" s="43">
        <v>9.2705640792799997</v>
      </c>
      <c r="EK200" s="43">
        <f>VLOOKUP(D200,[1]SoilData!$G$15:$K$237,5,FALSE)</f>
        <v>344.32939073946693</v>
      </c>
      <c r="EL200" s="43">
        <f>VLOOKUP(D200,[1]SoilData!$G$245:$K$451,5,FALSE)</f>
        <v>188.70457211344129</v>
      </c>
      <c r="EM200" s="43">
        <f>VLOOKUP(D200,[1]SoilData!$G$15:$M$238,7,FALSE)</f>
        <v>2</v>
      </c>
      <c r="EN200" s="43">
        <f>VLOOKUP(D200,[1]SoilData!$G$245:$M$454,7,FALSE)</f>
        <v>1.8620000000000001</v>
      </c>
      <c r="EO200" s="60">
        <f>EM200-EN200</f>
        <v>0.1379999999999999</v>
      </c>
      <c r="EP200" s="44">
        <f>AVERAGE(DZ200:EA200)</f>
        <v>3.6333333333333333</v>
      </c>
      <c r="EQ200" s="44">
        <f>AVERAGE(DX200:DY200)</f>
        <v>8.3701960784313734</v>
      </c>
      <c r="ER200" s="43">
        <f>EQ200-EP200</f>
        <v>4.7368627450980405</v>
      </c>
      <c r="ES200" s="64">
        <f>IF(CU200&gt;0.000001,CU200*352,0)</f>
        <v>0</v>
      </c>
      <c r="ET200" s="64">
        <f>IF(DC200&gt;0.0001,DC200*682,0)</f>
        <v>0</v>
      </c>
      <c r="EU200" s="64">
        <f>CY200*795</f>
        <v>0</v>
      </c>
      <c r="EV200" s="64">
        <f>ES200+ET200+EU200</f>
        <v>0</v>
      </c>
      <c r="EW200" s="64">
        <f>IF(AA200="YES",3.5*18.2,0)</f>
        <v>63.699999999999996</v>
      </c>
      <c r="EX200" s="64">
        <f>EV200-EW200</f>
        <v>-63.699999999999996</v>
      </c>
    </row>
    <row r="201" spans="1:154" ht="15" x14ac:dyDescent="0.2">
      <c r="A201" s="29" t="s">
        <v>556</v>
      </c>
      <c r="B201" s="29">
        <v>118</v>
      </c>
      <c r="C201" s="29" t="s">
        <v>313</v>
      </c>
      <c r="D201" s="29" t="s">
        <v>313</v>
      </c>
      <c r="E201" s="29" t="str">
        <f>VLOOKUP(D201,Harvest_2017_Formulae!$C$2:$D$968,2,FALSE)</f>
        <v>AYAMANGO</v>
      </c>
      <c r="F201" s="29" t="s">
        <v>196</v>
      </c>
      <c r="G201" s="29">
        <v>0</v>
      </c>
      <c r="H201" s="61" t="str">
        <f>IF(G201&lt;0.05,"Homefield",IF(G201&lt;0.5,"Midfield","outfield"))</f>
        <v>Homefield</v>
      </c>
      <c r="I201" s="29" t="s">
        <v>557</v>
      </c>
      <c r="J201" s="61" t="s">
        <v>2233</v>
      </c>
      <c r="K201" s="61" t="s">
        <v>2233</v>
      </c>
      <c r="L201" s="67">
        <v>0</v>
      </c>
      <c r="O201" s="29" t="s">
        <v>547</v>
      </c>
      <c r="Q201" s="67">
        <v>1</v>
      </c>
      <c r="R201" s="29" t="s">
        <v>558</v>
      </c>
      <c r="S201" s="29">
        <v>2</v>
      </c>
      <c r="T201" s="29" t="s">
        <v>559</v>
      </c>
      <c r="U201" s="29" t="s">
        <v>560</v>
      </c>
      <c r="W201" s="29" t="s">
        <v>561</v>
      </c>
      <c r="Z201" s="29" t="s">
        <v>567</v>
      </c>
      <c r="AA201" s="61" t="s">
        <v>548</v>
      </c>
      <c r="AB201" s="29" t="s">
        <v>568</v>
      </c>
      <c r="AC201" s="67">
        <v>0</v>
      </c>
      <c r="AD201" s="29" t="s">
        <v>547</v>
      </c>
      <c r="AF201" s="29" t="s">
        <v>547</v>
      </c>
      <c r="AG201" s="29" t="s">
        <v>547</v>
      </c>
      <c r="AH201" s="29" t="s">
        <v>546</v>
      </c>
      <c r="AI201" s="29" t="s">
        <v>546</v>
      </c>
      <c r="AJ201" s="29" t="s">
        <v>547</v>
      </c>
      <c r="AK201" s="67">
        <v>0</v>
      </c>
      <c r="AL201" s="29" t="s">
        <v>547</v>
      </c>
      <c r="AO201" s="29" t="s">
        <v>547</v>
      </c>
      <c r="AP201" s="29" t="s">
        <v>547</v>
      </c>
      <c r="AQ201" s="4">
        <f>Q201+AK201</f>
        <v>1</v>
      </c>
      <c r="AR201" s="4">
        <f>L201+AC201</f>
        <v>0</v>
      </c>
      <c r="AS201" t="str">
        <f>AQ201&amp;AR201</f>
        <v>10</v>
      </c>
      <c r="AT201" s="49">
        <f>AQ201-AR201</f>
        <v>1</v>
      </c>
      <c r="AU201">
        <v>2</v>
      </c>
      <c r="AV201" s="29" t="s">
        <v>548</v>
      </c>
      <c r="AW201" s="29">
        <v>1</v>
      </c>
      <c r="AX201" s="29" t="s">
        <v>548</v>
      </c>
      <c r="AY201" s="29">
        <v>2</v>
      </c>
      <c r="AZ201" s="29">
        <v>2.5</v>
      </c>
      <c r="BA201" s="29" t="s">
        <v>548</v>
      </c>
      <c r="BB201" s="29" t="s">
        <v>569</v>
      </c>
      <c r="BC201" s="29">
        <v>1</v>
      </c>
      <c r="BD201" s="29">
        <f>AW201+AZ201</f>
        <v>3.5</v>
      </c>
      <c r="BE201" s="29">
        <f>BD201+BC201</f>
        <v>4.5</v>
      </c>
      <c r="BF201" s="29" t="s">
        <v>548</v>
      </c>
      <c r="BG201" s="29" t="s">
        <v>548</v>
      </c>
      <c r="BH201" s="29" t="s">
        <v>548</v>
      </c>
      <c r="BI201" s="29" t="s">
        <v>548</v>
      </c>
      <c r="BJ201" s="29" t="s">
        <v>546</v>
      </c>
      <c r="BK201" s="29" t="s">
        <v>546</v>
      </c>
      <c r="BL201" s="29">
        <v>10</v>
      </c>
      <c r="BM201" s="29" t="s">
        <v>549</v>
      </c>
      <c r="BN201" s="29">
        <v>20</v>
      </c>
      <c r="BO201" s="29" t="s">
        <v>549</v>
      </c>
      <c r="BP201" s="29">
        <v>25</v>
      </c>
      <c r="BQ201" s="29" t="s">
        <v>549</v>
      </c>
      <c r="BR201" s="29">
        <v>6</v>
      </c>
      <c r="BS201" s="29" t="s">
        <v>549</v>
      </c>
      <c r="BU201" s="29" t="s">
        <v>547</v>
      </c>
      <c r="BW201" s="29">
        <f>(BL201*1)+(BN201*0.1)+(BP201*0.01)+(BR201*0.1)+(BT201*0.3)+(BV201*0.4)</f>
        <v>12.85</v>
      </c>
      <c r="BX201" s="29" t="s">
        <v>2220</v>
      </c>
      <c r="BY201" s="29">
        <v>1</v>
      </c>
      <c r="BZ201" s="29">
        <v>1</v>
      </c>
      <c r="CA201" s="29">
        <v>2</v>
      </c>
      <c r="CB201" s="29">
        <v>4</v>
      </c>
      <c r="CC201" s="29">
        <v>0</v>
      </c>
      <c r="CD201" s="29">
        <v>0</v>
      </c>
      <c r="CE201" s="29">
        <v>1</v>
      </c>
      <c r="CG201" s="29">
        <f>(CC201*15)+(CD201*0.8)+(CE201*0.3)+((AW201+AZ201)*15)</f>
        <v>52.8</v>
      </c>
      <c r="CH201" s="29" t="s">
        <v>2220</v>
      </c>
      <c r="CI201" s="29">
        <f>(BL201*1)+(BN201*0.1)+(BP201*0.01)+(BR201*0.1)+(BT201*0.3)+(BV201*0.4)+(CC201*15)+(CD201*0.8)+(CE201*0.3)+((AW201+AZ201)*15)</f>
        <v>65.650000000000006</v>
      </c>
      <c r="CJ201" s="29" t="s">
        <v>548</v>
      </c>
      <c r="CK201" s="29" t="s">
        <v>563</v>
      </c>
      <c r="CL201" s="29" t="s">
        <v>548</v>
      </c>
      <c r="CM201" s="29" t="s">
        <v>550</v>
      </c>
      <c r="CN201" s="29">
        <v>0.25</v>
      </c>
      <c r="CP201" s="29">
        <v>0.5</v>
      </c>
      <c r="CQ201" s="29" t="s">
        <v>548</v>
      </c>
      <c r="CR201" s="29">
        <v>0.25</v>
      </c>
      <c r="CS201" s="29">
        <v>1.5</v>
      </c>
      <c r="CT201" s="29" t="s">
        <v>551</v>
      </c>
      <c r="CU201" s="30">
        <v>1.4400000000000002</v>
      </c>
      <c r="CW201" s="29">
        <v>999</v>
      </c>
      <c r="CX201" s="29" t="s">
        <v>551</v>
      </c>
      <c r="CY201" s="62"/>
      <c r="CZ201" s="29">
        <v>0.25</v>
      </c>
      <c r="DA201" s="29">
        <v>2.5</v>
      </c>
      <c r="DB201" s="29" t="s">
        <v>552</v>
      </c>
      <c r="DC201" s="62">
        <v>0.40079999999999999</v>
      </c>
      <c r="DD201" s="29" t="s">
        <v>548</v>
      </c>
      <c r="DE201" s="29" t="s">
        <v>548</v>
      </c>
      <c r="DF201" s="29" t="s">
        <v>548</v>
      </c>
      <c r="DG201" s="29" t="s">
        <v>548</v>
      </c>
      <c r="DH201" s="29" t="s">
        <v>548</v>
      </c>
      <c r="DI201" s="29">
        <v>5</v>
      </c>
      <c r="DJ201" s="29">
        <v>3</v>
      </c>
      <c r="DK201" s="29" t="s">
        <v>570</v>
      </c>
      <c r="DL201" s="29" t="s">
        <v>571</v>
      </c>
      <c r="DM201" s="29">
        <v>-4.2385525703430176</v>
      </c>
      <c r="DN201" s="29">
        <v>35.887550354003906</v>
      </c>
      <c r="DO201" s="29">
        <v>1242.9000244140625</v>
      </c>
      <c r="DP201" s="29">
        <v>5</v>
      </c>
      <c r="DQ201" s="29">
        <v>1706031849</v>
      </c>
      <c r="DR201" s="29" t="s">
        <v>572</v>
      </c>
      <c r="DS201" s="31">
        <v>42906.498981481476</v>
      </c>
      <c r="DT201" s="31">
        <v>42905.507858796293</v>
      </c>
      <c r="DU201" s="31">
        <v>42905.518831018519</v>
      </c>
      <c r="DV201" s="32">
        <v>42769</v>
      </c>
      <c r="DX201" s="44">
        <v>8.8350997150997159</v>
      </c>
      <c r="DY201" s="44">
        <v>7.7997364672364675</v>
      </c>
      <c r="DZ201" s="44">
        <v>7.3412186379928315</v>
      </c>
      <c r="EA201" s="44">
        <v>6.5032258064516126</v>
      </c>
      <c r="EB201" s="29">
        <v>2</v>
      </c>
      <c r="EC201" s="29">
        <f>IF(EQ201&lt;EP201,"FALSEE",1)</f>
        <v>1</v>
      </c>
      <c r="EE201" s="29" t="s">
        <v>2174</v>
      </c>
      <c r="EF201" s="29">
        <v>9.2816181182899999</v>
      </c>
      <c r="EG201" s="29" t="str">
        <f>IF(EF201&lt;0.5,"Depression",IF(EF201&lt;2,"Very gentle",IF(EF201&lt;5,"Gentle",IF(EF201&lt;9,"Moderate",IF(EF201&lt;15,"Strong",IF(EF201&lt;30,"Steep",IF(EF201&lt;1,"Very steep")))))))</f>
        <v>Strong</v>
      </c>
      <c r="EH201" s="29" t="s">
        <v>2172</v>
      </c>
      <c r="EI201" s="29">
        <v>-0.725126743317</v>
      </c>
      <c r="EJ201" s="43">
        <v>6.8796205520599996</v>
      </c>
      <c r="EK201" s="43">
        <f>VLOOKUP(D201,[1]SoilData!$G$15:$K$237,5,FALSE)</f>
        <v>305.83218609577881</v>
      </c>
      <c r="EL201" s="43">
        <f>VLOOKUP(D201,[1]SoilData!$G$245:$K$451,5,FALSE)</f>
        <v>570.58508573167853</v>
      </c>
      <c r="EM201" s="43">
        <f>VLOOKUP(D201,[1]SoilData!$G$15:$M$238,7,FALSE)</f>
        <v>1.181</v>
      </c>
      <c r="EN201" s="43">
        <f>VLOOKUP(D201,[1]SoilData!$G$245:$M$454,7,FALSE)</f>
        <v>1.784</v>
      </c>
      <c r="EO201" s="60">
        <f>EM201-EN201</f>
        <v>-0.60299999999999998</v>
      </c>
      <c r="EP201" s="44">
        <f>AVERAGE(DZ201:EA201)</f>
        <v>6.9222222222222225</v>
      </c>
      <c r="EQ201" s="44">
        <f>AVERAGE(DX201:DY201)</f>
        <v>8.3174180911680917</v>
      </c>
      <c r="ER201" s="43">
        <f>EQ201-EP201</f>
        <v>1.3951958689458692</v>
      </c>
      <c r="ES201" s="64">
        <f>IF(CU201&gt;0.000001,CU201*352,0)</f>
        <v>506.88000000000005</v>
      </c>
      <c r="ET201" s="64">
        <f>IF(DC201&gt;0.0001,DC201*682,0)</f>
        <v>273.34559999999999</v>
      </c>
      <c r="EU201" s="64">
        <f>CY201*795</f>
        <v>0</v>
      </c>
      <c r="EV201" s="64">
        <f>ES201+ET201+EU201</f>
        <v>780.22559999999999</v>
      </c>
      <c r="EW201" s="64">
        <f>IF(AA201="YES",3.5*18.2,0)</f>
        <v>63.699999999999996</v>
      </c>
      <c r="EX201" s="64">
        <f>EV201-EW201</f>
        <v>716.52559999999994</v>
      </c>
    </row>
    <row r="202" spans="1:154" ht="15" x14ac:dyDescent="0.2">
      <c r="A202" s="29" t="s">
        <v>789</v>
      </c>
      <c r="B202" s="29">
        <v>68</v>
      </c>
      <c r="C202" s="29" t="s">
        <v>281</v>
      </c>
      <c r="D202" s="29" t="s">
        <v>281</v>
      </c>
      <c r="E202" s="29" t="str">
        <f>VLOOKUP(D202,Harvest_2017_Formulae!$C$2:$D$968,2,FALSE)</f>
        <v>SOLETO</v>
      </c>
      <c r="F202" s="29" t="s">
        <v>1310</v>
      </c>
      <c r="G202" s="29">
        <v>0</v>
      </c>
      <c r="H202" s="61" t="str">
        <f>IF(G202&lt;0.05,"Homefield",IF(G202&lt;0.5,"Midfield","outfield"))</f>
        <v>Homefield</v>
      </c>
      <c r="I202" s="29" t="s">
        <v>557</v>
      </c>
      <c r="J202" s="61" t="s">
        <v>2233</v>
      </c>
      <c r="K202" s="61" t="s">
        <v>2233</v>
      </c>
      <c r="L202" s="67">
        <v>0</v>
      </c>
      <c r="O202" s="29" t="s">
        <v>547</v>
      </c>
      <c r="Q202" s="67">
        <v>1</v>
      </c>
      <c r="R202" s="29" t="s">
        <v>615</v>
      </c>
      <c r="S202" s="29">
        <v>15</v>
      </c>
      <c r="T202" s="29">
        <v>0.5</v>
      </c>
      <c r="U202" s="29" t="s">
        <v>560</v>
      </c>
      <c r="W202" s="29" t="s">
        <v>635</v>
      </c>
      <c r="Y202" s="29">
        <v>6000</v>
      </c>
      <c r="Z202" s="29" t="s">
        <v>547</v>
      </c>
      <c r="AA202" s="61" t="s">
        <v>548</v>
      </c>
      <c r="AB202" s="29" t="s">
        <v>568</v>
      </c>
      <c r="AC202" s="67">
        <v>0</v>
      </c>
      <c r="AD202" s="29" t="s">
        <v>547</v>
      </c>
      <c r="AF202" s="29" t="s">
        <v>547</v>
      </c>
      <c r="AG202" s="29" t="s">
        <v>547</v>
      </c>
      <c r="AH202" s="29" t="s">
        <v>548</v>
      </c>
      <c r="AI202" s="29" t="s">
        <v>546</v>
      </c>
      <c r="AK202" s="67">
        <v>0</v>
      </c>
      <c r="AL202" s="29" t="s">
        <v>547</v>
      </c>
      <c r="AO202" s="29" t="s">
        <v>547</v>
      </c>
      <c r="AP202" s="29" t="s">
        <v>547</v>
      </c>
      <c r="AQ202" s="4">
        <f>Q202+AK202</f>
        <v>1</v>
      </c>
      <c r="AR202" s="4">
        <f>L202+AC202</f>
        <v>0</v>
      </c>
      <c r="AS202" t="str">
        <f>AQ202&amp;AR202</f>
        <v>10</v>
      </c>
      <c r="AT202" s="49">
        <f>AQ202-AR202</f>
        <v>1</v>
      </c>
      <c r="AU202">
        <v>2</v>
      </c>
      <c r="AV202" s="29" t="s">
        <v>548</v>
      </c>
      <c r="AW202" s="29">
        <v>1</v>
      </c>
      <c r="AX202" s="29" t="s">
        <v>548</v>
      </c>
      <c r="AY202" s="29">
        <v>2</v>
      </c>
      <c r="AZ202" s="29">
        <v>4.5</v>
      </c>
      <c r="BA202" s="29" t="s">
        <v>548</v>
      </c>
      <c r="BB202" s="29" t="s">
        <v>569</v>
      </c>
      <c r="BC202" s="29">
        <v>9.5</v>
      </c>
      <c r="BD202" s="29">
        <f>AW202+AZ202</f>
        <v>5.5</v>
      </c>
      <c r="BE202" s="29">
        <f>BD202+BC202</f>
        <v>15</v>
      </c>
      <c r="BF202" s="29" t="s">
        <v>548</v>
      </c>
      <c r="BG202" s="29" t="s">
        <v>548</v>
      </c>
      <c r="BH202" s="29" t="s">
        <v>548</v>
      </c>
      <c r="BI202" s="29" t="s">
        <v>548</v>
      </c>
      <c r="BJ202" s="29" t="s">
        <v>548</v>
      </c>
      <c r="BK202" s="29" t="s">
        <v>546</v>
      </c>
      <c r="BL202" s="29">
        <v>10</v>
      </c>
      <c r="BM202" s="29" t="s">
        <v>549</v>
      </c>
      <c r="BN202" s="29">
        <v>5</v>
      </c>
      <c r="BO202" s="29" t="s">
        <v>580</v>
      </c>
      <c r="BP202" s="29">
        <v>5</v>
      </c>
      <c r="BQ202" s="29" t="s">
        <v>580</v>
      </c>
      <c r="BR202" s="29">
        <v>8</v>
      </c>
      <c r="BS202" s="29" t="s">
        <v>580</v>
      </c>
      <c r="BT202" s="29">
        <v>5</v>
      </c>
      <c r="BU202" s="29" t="s">
        <v>562</v>
      </c>
      <c r="BW202" s="29">
        <f>(BL202*1)+(BN202*0.1)+(BP202*0.01)+(BR202*0.1)+(BT202*0.3)+(BV202*0.4)</f>
        <v>12.850000000000001</v>
      </c>
      <c r="BX202" s="29" t="s">
        <v>2220</v>
      </c>
      <c r="BY202" s="29">
        <v>2</v>
      </c>
      <c r="BZ202" s="29">
        <v>2</v>
      </c>
      <c r="CA202" s="29">
        <v>6</v>
      </c>
      <c r="CB202" s="29">
        <v>10</v>
      </c>
      <c r="CC202" s="29">
        <v>0</v>
      </c>
      <c r="CD202" s="29">
        <v>1</v>
      </c>
      <c r="CE202" s="29">
        <v>2</v>
      </c>
      <c r="CG202" s="29">
        <f>(CC202*15)+(CD202*0.8)+(CE202*0.3)+((AW202+AZ202)*15)</f>
        <v>83.9</v>
      </c>
      <c r="CH202" s="29" t="s">
        <v>2221</v>
      </c>
      <c r="CI202" s="29">
        <f>(BL202*1)+(BN202*0.1)+(BP202*0.01)+(BR202*0.1)+(BT202*0.3)+(BV202*0.4)+(CC202*15)+(CD202*0.8)+(CE202*0.3)+((AW202+AZ202)*15)</f>
        <v>96.75</v>
      </c>
      <c r="CJ202" s="29" t="s">
        <v>546</v>
      </c>
      <c r="CK202" s="29" t="s">
        <v>547</v>
      </c>
      <c r="CL202" s="29" t="s">
        <v>548</v>
      </c>
      <c r="CM202" s="29" t="s">
        <v>793</v>
      </c>
      <c r="CN202" s="29">
        <v>0.75</v>
      </c>
      <c r="CO202" s="29">
        <v>8.5</v>
      </c>
      <c r="CP202" s="29">
        <v>0</v>
      </c>
      <c r="CQ202" s="29" t="s">
        <v>546</v>
      </c>
      <c r="CR202" s="29">
        <v>1</v>
      </c>
      <c r="CS202" s="29">
        <v>8</v>
      </c>
      <c r="CT202" s="29" t="s">
        <v>551</v>
      </c>
      <c r="CU202" s="30">
        <v>1.92</v>
      </c>
      <c r="CV202" s="29">
        <v>1</v>
      </c>
      <c r="CW202" s="29">
        <v>0</v>
      </c>
      <c r="CX202" s="29" t="s">
        <v>551</v>
      </c>
      <c r="CY202" s="62">
        <v>0</v>
      </c>
      <c r="CZ202" s="29">
        <v>1</v>
      </c>
      <c r="DA202" s="29">
        <v>1</v>
      </c>
      <c r="DB202" s="29" t="s">
        <v>551</v>
      </c>
      <c r="DC202" s="62">
        <v>0.24</v>
      </c>
      <c r="DD202" s="29" t="s">
        <v>548</v>
      </c>
      <c r="DE202" s="29" t="s">
        <v>546</v>
      </c>
      <c r="DF202" s="29" t="s">
        <v>546</v>
      </c>
      <c r="DG202" s="29" t="s">
        <v>546</v>
      </c>
      <c r="DH202" s="29" t="s">
        <v>548</v>
      </c>
      <c r="DI202" s="29">
        <v>2</v>
      </c>
      <c r="DJ202" s="29">
        <v>3</v>
      </c>
      <c r="DK202" s="29" t="s">
        <v>1330</v>
      </c>
      <c r="DL202" s="29" t="s">
        <v>1331</v>
      </c>
      <c r="DM202" s="29">
        <v>-4.2564525604248047</v>
      </c>
      <c r="DN202" s="29">
        <v>35.521675109863281</v>
      </c>
      <c r="DO202" s="29">
        <v>1622.199951171875</v>
      </c>
      <c r="DP202" s="29">
        <v>10</v>
      </c>
      <c r="DQ202" s="29">
        <v>1705231439</v>
      </c>
      <c r="DR202" s="29" t="s">
        <v>1332</v>
      </c>
      <c r="DS202" s="31">
        <v>42923.387083333335</v>
      </c>
      <c r="DT202" s="31">
        <v>42902.460983796293</v>
      </c>
      <c r="DU202" s="31">
        <v>42923.385358796295</v>
      </c>
      <c r="DV202" s="32">
        <v>42753</v>
      </c>
      <c r="DX202" s="44">
        <v>5.6288888888888886</v>
      </c>
      <c r="DY202" s="44">
        <v>6.0066666666666668</v>
      </c>
      <c r="DZ202" s="44">
        <v>4.6545777777777779</v>
      </c>
      <c r="EA202" s="44">
        <v>4.4284444444444446</v>
      </c>
      <c r="EC202" s="29">
        <f>IF(EQ202&lt;EP202,"FALSEE",1)</f>
        <v>1</v>
      </c>
      <c r="EE202" s="29" t="s">
        <v>2171</v>
      </c>
      <c r="EF202" s="29">
        <v>1.7775242328600001</v>
      </c>
      <c r="EG202" s="29" t="str">
        <f>IF(EF202&lt;0.5,"Depression",IF(EF202&lt;2,"Very gentle",IF(EF202&lt;5,"Gentle",IF(EF202&lt;9,"Moderate",IF(EF202&lt;15,"Strong",IF(EF202&lt;30,"Steep",IF(EF202&lt;1,"Very steep")))))))</f>
        <v>Very gentle</v>
      </c>
      <c r="EH202" s="29" t="s">
        <v>2173</v>
      </c>
      <c r="EI202" s="29">
        <v>-0.45320102572400001</v>
      </c>
      <c r="EJ202" s="43">
        <v>11.0366611481</v>
      </c>
      <c r="EK202" s="43">
        <f>VLOOKUP(D202,[1]SoilData!$G$15:$K$237,5,FALSE)</f>
        <v>444.63520316124055</v>
      </c>
      <c r="EL202" s="43">
        <f>VLOOKUP(D202,[1]SoilData!$G$245:$K$451,5,FALSE)</f>
        <v>593.92402714543437</v>
      </c>
      <c r="EM202" s="43">
        <f>VLOOKUP(D202,[1]SoilData!$G$15:$M$238,7,FALSE)</f>
        <v>1.8720000000000001</v>
      </c>
      <c r="EN202" s="43">
        <f>VLOOKUP(D202,[1]SoilData!$G$245:$M$454,7,FALSE)</f>
        <v>2.4180000000000001</v>
      </c>
      <c r="EO202" s="60">
        <f>EM202-EN202</f>
        <v>-0.54600000000000004</v>
      </c>
      <c r="EP202" s="44">
        <f>AVERAGE(DZ202:EA202)</f>
        <v>4.5415111111111113</v>
      </c>
      <c r="EQ202" s="44">
        <f>AVERAGE(DX202:DY202)</f>
        <v>5.8177777777777777</v>
      </c>
      <c r="ER202" s="43">
        <f>EQ202-EP202</f>
        <v>1.2762666666666664</v>
      </c>
      <c r="ES202" s="64">
        <f>IF(CU202&gt;0.000001,CU202*352,0)</f>
        <v>675.83999999999992</v>
      </c>
      <c r="ET202" s="64">
        <f>IF(DC202&gt;0.0001,DC202*682,0)</f>
        <v>163.68</v>
      </c>
      <c r="EU202" s="64">
        <f>CY202*795</f>
        <v>0</v>
      </c>
      <c r="EV202" s="64">
        <f>ES202+ET202+EU202</f>
        <v>839.52</v>
      </c>
      <c r="EW202" s="64">
        <f>IF(AA202="YES",3.5*18.2,0)</f>
        <v>63.699999999999996</v>
      </c>
      <c r="EX202" s="64">
        <f>EV202-EW202</f>
        <v>775.81999999999994</v>
      </c>
    </row>
    <row r="203" spans="1:154" ht="15" x14ac:dyDescent="0.2">
      <c r="A203" s="29" t="s">
        <v>789</v>
      </c>
      <c r="B203" s="29">
        <v>17</v>
      </c>
      <c r="C203" s="29" t="s">
        <v>427</v>
      </c>
      <c r="D203" s="29" t="s">
        <v>427</v>
      </c>
      <c r="E203" s="29" t="str">
        <f>VLOOKUP(D203,Harvest_2017_Formulae!$C$2:$D$968,2,FALSE)</f>
        <v>SABILO</v>
      </c>
      <c r="F203" s="29" t="s">
        <v>1175</v>
      </c>
      <c r="G203" s="29">
        <v>0</v>
      </c>
      <c r="H203" s="61" t="str">
        <f>IF(G203&lt;0.05,"Homefield",IF(G203&lt;0.5,"Midfield","outfield"))</f>
        <v>Homefield</v>
      </c>
      <c r="I203" s="29" t="s">
        <v>557</v>
      </c>
      <c r="J203" s="61" t="s">
        <v>2233</v>
      </c>
      <c r="K203" s="61" t="s">
        <v>2233</v>
      </c>
      <c r="L203" s="67">
        <v>0</v>
      </c>
      <c r="O203" s="29" t="s">
        <v>547</v>
      </c>
      <c r="Q203" s="67">
        <v>1</v>
      </c>
      <c r="R203" s="29" t="s">
        <v>615</v>
      </c>
      <c r="S203" s="29">
        <v>9</v>
      </c>
      <c r="T203" s="29">
        <v>1.5</v>
      </c>
      <c r="U203" s="29" t="s">
        <v>1192</v>
      </c>
      <c r="W203" s="29" t="s">
        <v>635</v>
      </c>
      <c r="Z203" s="29" t="s">
        <v>831</v>
      </c>
      <c r="AA203" s="61" t="s">
        <v>548</v>
      </c>
      <c r="AB203" s="29" t="s">
        <v>568</v>
      </c>
      <c r="AC203" s="67">
        <v>0</v>
      </c>
      <c r="AD203" s="29" t="s">
        <v>547</v>
      </c>
      <c r="AF203" s="29" t="s">
        <v>547</v>
      </c>
      <c r="AG203" s="29" t="s">
        <v>547</v>
      </c>
      <c r="AH203" s="29" t="s">
        <v>548</v>
      </c>
      <c r="AI203" s="29" t="s">
        <v>546</v>
      </c>
      <c r="AK203" s="67">
        <v>0</v>
      </c>
      <c r="AL203" s="29" t="s">
        <v>547</v>
      </c>
      <c r="AO203" s="29" t="s">
        <v>547</v>
      </c>
      <c r="AP203" s="29" t="s">
        <v>547</v>
      </c>
      <c r="AQ203" s="4">
        <f>Q203+AK203</f>
        <v>1</v>
      </c>
      <c r="AR203" s="4">
        <f>L203+AC203</f>
        <v>0</v>
      </c>
      <c r="AS203" t="str">
        <f>AQ203&amp;AR203</f>
        <v>10</v>
      </c>
      <c r="AT203" s="49">
        <f>AQ203-AR203</f>
        <v>1</v>
      </c>
      <c r="AU203">
        <v>2</v>
      </c>
      <c r="AV203" s="29" t="s">
        <v>548</v>
      </c>
      <c r="AW203" s="29">
        <v>3</v>
      </c>
      <c r="AX203" s="29" t="s">
        <v>548</v>
      </c>
      <c r="AY203" s="29">
        <v>2</v>
      </c>
      <c r="AZ203" s="29">
        <v>7</v>
      </c>
      <c r="BA203" s="29" t="s">
        <v>548</v>
      </c>
      <c r="BB203" s="29" t="s">
        <v>1209</v>
      </c>
      <c r="BC203" s="29">
        <v>10</v>
      </c>
      <c r="BD203" s="29">
        <f>AW203+AZ203</f>
        <v>10</v>
      </c>
      <c r="BE203" s="29">
        <f>BD203+BC203</f>
        <v>20</v>
      </c>
      <c r="BF203" s="29" t="s">
        <v>548</v>
      </c>
      <c r="BG203" s="29" t="s">
        <v>548</v>
      </c>
      <c r="BH203" s="29" t="s">
        <v>548</v>
      </c>
      <c r="BI203" s="29" t="s">
        <v>548</v>
      </c>
      <c r="BJ203" s="29" t="s">
        <v>548</v>
      </c>
      <c r="BK203" s="29" t="s">
        <v>548</v>
      </c>
      <c r="BL203" s="29">
        <v>8</v>
      </c>
      <c r="BM203" s="29" t="s">
        <v>580</v>
      </c>
      <c r="BN203" s="29">
        <v>12</v>
      </c>
      <c r="BO203" s="29" t="s">
        <v>580</v>
      </c>
      <c r="BP203" s="29">
        <v>8</v>
      </c>
      <c r="BQ203" s="29" t="s">
        <v>580</v>
      </c>
      <c r="BR203" s="29">
        <v>9</v>
      </c>
      <c r="BS203" s="29" t="s">
        <v>580</v>
      </c>
      <c r="BT203" s="29">
        <v>12</v>
      </c>
      <c r="BU203" s="29" t="s">
        <v>562</v>
      </c>
      <c r="BV203" s="29">
        <v>2</v>
      </c>
      <c r="BW203" s="29">
        <f>(BL203*1)+(BN203*0.1)+(BP203*0.01)+(BR203*0.1)+(BT203*0.3)+(BV203*0.4)</f>
        <v>14.58</v>
      </c>
      <c r="BX203" s="29" t="s">
        <v>2221</v>
      </c>
      <c r="BY203" s="29">
        <v>7</v>
      </c>
      <c r="BZ203" s="29">
        <v>2</v>
      </c>
      <c r="CA203" s="29">
        <v>4</v>
      </c>
      <c r="CB203" s="29">
        <v>13</v>
      </c>
      <c r="CC203" s="29">
        <v>0</v>
      </c>
      <c r="CD203" s="29">
        <v>1</v>
      </c>
      <c r="CE203" s="29">
        <v>1</v>
      </c>
      <c r="CF203" s="29" t="s">
        <v>547</v>
      </c>
      <c r="CG203" s="29">
        <f>(CC203*15)+(CD203*0.8)+(CE203*0.3)+((AW203+AZ203)*15)</f>
        <v>151.1</v>
      </c>
      <c r="CH203" s="29" t="s">
        <v>2221</v>
      </c>
      <c r="CI203" s="29">
        <f>(BL203*1)+(BN203*0.1)+(BP203*0.01)+(BR203*0.1)+(BT203*0.3)+(BV203*0.4)+(CC203*15)+(CD203*0.8)+(CE203*0.3)+((AW203+AZ203)*15)</f>
        <v>165.68</v>
      </c>
      <c r="CJ203" s="29" t="s">
        <v>546</v>
      </c>
      <c r="CK203" s="29" t="s">
        <v>547</v>
      </c>
      <c r="CL203" s="29" t="s">
        <v>546</v>
      </c>
      <c r="CM203" s="29" t="s">
        <v>547</v>
      </c>
      <c r="CN203" s="29">
        <v>0.75</v>
      </c>
      <c r="CO203" s="29">
        <v>2.5</v>
      </c>
      <c r="CP203" s="29">
        <v>0</v>
      </c>
      <c r="CQ203" s="29" t="s">
        <v>548</v>
      </c>
      <c r="CR203" s="29">
        <v>1</v>
      </c>
      <c r="CS203" s="29">
        <v>16</v>
      </c>
      <c r="CT203" s="29" t="s">
        <v>551</v>
      </c>
      <c r="CU203" s="30">
        <v>3.84</v>
      </c>
      <c r="CV203" s="29">
        <v>1</v>
      </c>
      <c r="CW203" s="29">
        <v>0</v>
      </c>
      <c r="CX203" s="29" t="s">
        <v>551</v>
      </c>
      <c r="CY203" s="62">
        <v>0</v>
      </c>
      <c r="CZ203" s="29">
        <v>1</v>
      </c>
      <c r="DA203" s="29">
        <v>0</v>
      </c>
      <c r="DB203" s="29" t="s">
        <v>551</v>
      </c>
      <c r="DC203" s="62">
        <v>0</v>
      </c>
      <c r="DD203" s="29" t="s">
        <v>548</v>
      </c>
      <c r="DE203" s="29" t="s">
        <v>546</v>
      </c>
      <c r="DF203" s="29" t="s">
        <v>546</v>
      </c>
      <c r="DG203" s="29" t="s">
        <v>546</v>
      </c>
      <c r="DH203" s="29" t="s">
        <v>546</v>
      </c>
      <c r="DI203" s="29">
        <v>1</v>
      </c>
      <c r="DJ203" s="29">
        <v>1</v>
      </c>
      <c r="DK203" s="29" t="s">
        <v>1210</v>
      </c>
      <c r="DL203" s="29" t="s">
        <v>1211</v>
      </c>
      <c r="DM203" s="29">
        <v>-4.3426685333251953</v>
      </c>
      <c r="DN203" s="29">
        <v>35.492160797119141</v>
      </c>
      <c r="DO203" s="29">
        <v>1616.0999755859375</v>
      </c>
      <c r="DP203" s="29">
        <v>15</v>
      </c>
      <c r="DQ203" s="29">
        <v>1705231439</v>
      </c>
      <c r="DR203" s="29" t="s">
        <v>1212</v>
      </c>
      <c r="DS203" s="31">
        <v>42908.292499999996</v>
      </c>
      <c r="DT203" s="31">
        <v>42893.533888888887</v>
      </c>
      <c r="DU203" s="31">
        <v>42908.286296296297</v>
      </c>
      <c r="DV203" s="32">
        <v>42770</v>
      </c>
      <c r="DX203" s="44">
        <v>2.7817777777777781</v>
      </c>
      <c r="DY203" s="44">
        <v>4.9313333333333329</v>
      </c>
      <c r="DZ203" s="44">
        <v>3.0338333333333338</v>
      </c>
      <c r="EA203" s="44">
        <v>3.0338333333333338</v>
      </c>
      <c r="EC203" s="29">
        <f>IF(EQ203&lt;EP203,"FALSEE",1)</f>
        <v>1</v>
      </c>
      <c r="EE203" s="29" t="s">
        <v>2183</v>
      </c>
      <c r="EF203" s="29">
        <v>3.07292437553</v>
      </c>
      <c r="EG203" s="29" t="str">
        <f>IF(EF203&lt;0.5,"Depression",IF(EF203&lt;2,"Very gentle",IF(EF203&lt;5,"Gentle",IF(EF203&lt;9,"Moderate",IF(EF203&lt;15,"Strong",IF(EF203&lt;30,"Steep",IF(EF203&lt;1,"Very steep")))))))</f>
        <v>Gentle</v>
      </c>
      <c r="EH203" s="29" t="s">
        <v>2182</v>
      </c>
      <c r="EI203" s="29">
        <v>1.26899504662</v>
      </c>
      <c r="EJ203" s="43">
        <v>7.5729436874399996</v>
      </c>
      <c r="EK203" s="43">
        <f>VLOOKUP(D203,[1]SoilData!$G$15:$K$237,5,FALSE)</f>
        <v>425.96863985475915</v>
      </c>
      <c r="EL203" s="43">
        <f>VLOOKUP(D203,[1]SoilData!$G$245:$K$451,5,FALSE)</f>
        <v>122.37268220726635</v>
      </c>
      <c r="EM203" s="43">
        <f>VLOOKUP(D203,[1]SoilData!$G$15:$M$238,7,FALSE)</f>
        <v>1.462</v>
      </c>
      <c r="EN203" s="43">
        <f>VLOOKUP(D203,[1]SoilData!$G$245:$M$454,7,FALSE)</f>
        <v>1.8169999999999999</v>
      </c>
      <c r="EO203" s="60">
        <f>EM203-EN203</f>
        <v>-0.35499999999999998</v>
      </c>
      <c r="EP203" s="44">
        <f>AVERAGE(DZ203:EA203)</f>
        <v>3.0338333333333338</v>
      </c>
      <c r="EQ203" s="44">
        <f>AVERAGE(DX203:DY203)</f>
        <v>3.8565555555555555</v>
      </c>
      <c r="ER203" s="43">
        <f>EQ203-EP203</f>
        <v>0.82272222222222169</v>
      </c>
      <c r="ES203" s="64">
        <f>IF(CU203&gt;0.000001,CU203*352,0)</f>
        <v>1351.6799999999998</v>
      </c>
      <c r="ET203" s="64">
        <f>IF(DC203&gt;0.0001,DC203*682,0)</f>
        <v>0</v>
      </c>
      <c r="EU203" s="64">
        <f>CY203*795</f>
        <v>0</v>
      </c>
      <c r="EV203" s="64">
        <f>ES203+ET203+EU203</f>
        <v>1351.6799999999998</v>
      </c>
      <c r="EW203" s="64">
        <f>IF(AA203="YES",3.5*18.2,0)</f>
        <v>63.699999999999996</v>
      </c>
      <c r="EX203" s="64">
        <f>EV203-EW203</f>
        <v>1287.9799999999998</v>
      </c>
    </row>
    <row r="204" spans="1:154" ht="15" x14ac:dyDescent="0.2">
      <c r="A204" s="29" t="s">
        <v>556</v>
      </c>
      <c r="B204" s="29">
        <v>5</v>
      </c>
      <c r="C204" s="29" t="s">
        <v>1458</v>
      </c>
      <c r="D204" s="29" t="s">
        <v>547</v>
      </c>
      <c r="E204" s="29" t="e">
        <f>VLOOKUP(D204,Harvest_2017_Formulae!$C$2:$D$968,2,FALSE)</f>
        <v>#N/A</v>
      </c>
      <c r="F204" s="29" t="s">
        <v>777</v>
      </c>
      <c r="G204" s="29">
        <v>1</v>
      </c>
      <c r="H204" s="61" t="str">
        <f>IF(G204&lt;0.05,"Homefield",IF(G204&lt;0.5,"Midfield","outfield"))</f>
        <v>outfield</v>
      </c>
      <c r="I204" s="29" t="s">
        <v>557</v>
      </c>
      <c r="J204" s="61" t="s">
        <v>2233</v>
      </c>
      <c r="K204" s="61" t="s">
        <v>2233</v>
      </c>
      <c r="L204" s="67">
        <v>0</v>
      </c>
      <c r="O204" s="29" t="s">
        <v>547</v>
      </c>
      <c r="Q204" s="67">
        <v>1</v>
      </c>
      <c r="R204" s="29" t="s">
        <v>615</v>
      </c>
      <c r="S204" s="29">
        <v>20</v>
      </c>
      <c r="T204" s="29">
        <v>1</v>
      </c>
      <c r="U204" s="29" t="s">
        <v>560</v>
      </c>
      <c r="W204" s="41" t="s">
        <v>635</v>
      </c>
      <c r="Y204" s="29">
        <v>5000</v>
      </c>
      <c r="Z204" s="29" t="s">
        <v>547</v>
      </c>
      <c r="AA204" s="61" t="s">
        <v>548</v>
      </c>
      <c r="AB204" s="29" t="s">
        <v>568</v>
      </c>
      <c r="AC204" s="67">
        <v>0</v>
      </c>
      <c r="AD204" s="29" t="s">
        <v>547</v>
      </c>
      <c r="AF204" s="29" t="s">
        <v>547</v>
      </c>
      <c r="AG204" s="29" t="s">
        <v>547</v>
      </c>
      <c r="AH204" s="29" t="s">
        <v>546</v>
      </c>
      <c r="AI204" s="29" t="s">
        <v>546</v>
      </c>
      <c r="AJ204" s="29" t="s">
        <v>547</v>
      </c>
      <c r="AK204" s="67">
        <v>0</v>
      </c>
      <c r="AL204" s="29" t="s">
        <v>547</v>
      </c>
      <c r="AO204" s="29" t="s">
        <v>547</v>
      </c>
      <c r="AP204" s="29" t="s">
        <v>547</v>
      </c>
      <c r="AQ204" s="4">
        <f>Q204+AK204</f>
        <v>1</v>
      </c>
      <c r="AR204" s="4">
        <f>L204+AC204</f>
        <v>0</v>
      </c>
      <c r="AS204" t="str">
        <f>AQ204&amp;AR204</f>
        <v>10</v>
      </c>
      <c r="AT204" s="49">
        <f>AQ204-AR204</f>
        <v>1</v>
      </c>
      <c r="AU204">
        <v>2</v>
      </c>
      <c r="AV204" s="29" t="s">
        <v>548</v>
      </c>
      <c r="AW204" s="29">
        <v>1</v>
      </c>
      <c r="AX204" s="29" t="s">
        <v>548</v>
      </c>
      <c r="AY204" s="29">
        <v>2</v>
      </c>
      <c r="AZ204" s="29">
        <v>8</v>
      </c>
      <c r="BA204" s="29" t="s">
        <v>546</v>
      </c>
      <c r="BB204" s="29" t="s">
        <v>547</v>
      </c>
      <c r="BD204" s="29">
        <f>AW204+AZ204</f>
        <v>9</v>
      </c>
      <c r="BE204" s="29">
        <f>BD204+BC204</f>
        <v>9</v>
      </c>
      <c r="BF204" s="29" t="s">
        <v>548</v>
      </c>
      <c r="BG204" s="29" t="s">
        <v>548</v>
      </c>
      <c r="BH204" s="29" t="s">
        <v>546</v>
      </c>
      <c r="BI204" s="29" t="s">
        <v>548</v>
      </c>
      <c r="BJ204" s="29" t="s">
        <v>546</v>
      </c>
      <c r="BK204" s="29" t="s">
        <v>546</v>
      </c>
      <c r="BL204" s="29">
        <v>14</v>
      </c>
      <c r="BM204" s="29" t="s">
        <v>549</v>
      </c>
      <c r="BN204" s="29">
        <v>6</v>
      </c>
      <c r="BO204" s="29" t="s">
        <v>580</v>
      </c>
      <c r="BQ204" s="29" t="s">
        <v>547</v>
      </c>
      <c r="BR204" s="29">
        <v>3</v>
      </c>
      <c r="BS204" s="29" t="s">
        <v>580</v>
      </c>
      <c r="BU204" s="29" t="s">
        <v>547</v>
      </c>
      <c r="BW204" s="29">
        <f>(BL204*1)+(BN204*0.1)+(BP204*0.01)+(BR204*0.1)+(BT204*0.3)+(BV204*0.4)</f>
        <v>14.9</v>
      </c>
      <c r="BX204" s="29" t="s">
        <v>2221</v>
      </c>
      <c r="BY204" s="29">
        <v>4</v>
      </c>
      <c r="BZ204" s="29">
        <v>2</v>
      </c>
      <c r="CA204" s="29">
        <v>7</v>
      </c>
      <c r="CB204" s="29">
        <v>13</v>
      </c>
      <c r="CC204" s="29">
        <v>0</v>
      </c>
      <c r="CD204" s="29">
        <v>1</v>
      </c>
      <c r="CE204" s="29">
        <v>1</v>
      </c>
      <c r="CF204" s="29" t="s">
        <v>547</v>
      </c>
      <c r="CG204" s="29">
        <f>(CC204*15)+(CD204*0.8)+(CE204*0.3)+((AW204+AZ204)*15)</f>
        <v>136.1</v>
      </c>
      <c r="CH204" s="29" t="s">
        <v>2221</v>
      </c>
      <c r="CI204" s="29">
        <f>(BL204*1)+(BN204*0.1)+(BP204*0.01)+(BR204*0.1)+(BT204*0.3)+(BV204*0.4)+(CC204*15)+(CD204*0.8)+(CE204*0.3)+((AW204+AZ204)*15)</f>
        <v>151</v>
      </c>
      <c r="CJ204" s="29" t="s">
        <v>546</v>
      </c>
      <c r="CK204" s="29" t="s">
        <v>547</v>
      </c>
      <c r="CL204" s="29" t="s">
        <v>548</v>
      </c>
      <c r="CM204" s="29" t="s">
        <v>550</v>
      </c>
      <c r="CN204" s="29">
        <v>0.25</v>
      </c>
      <c r="CP204" s="29">
        <v>0.25</v>
      </c>
      <c r="CQ204" s="29" t="s">
        <v>546</v>
      </c>
      <c r="CR204" s="29">
        <v>1</v>
      </c>
      <c r="CS204" s="29">
        <v>15</v>
      </c>
      <c r="CT204" s="29" t="s">
        <v>551</v>
      </c>
      <c r="CU204" s="30">
        <v>3.5999999999999996</v>
      </c>
      <c r="CW204" s="29">
        <v>999</v>
      </c>
      <c r="CX204" s="29" t="s">
        <v>551</v>
      </c>
      <c r="CY204" s="62"/>
      <c r="CZ204" s="29">
        <v>1</v>
      </c>
      <c r="DA204" s="29">
        <v>4</v>
      </c>
      <c r="DB204" s="29" t="s">
        <v>551</v>
      </c>
      <c r="DC204" s="62">
        <v>0.96</v>
      </c>
      <c r="DD204" s="29" t="s">
        <v>546</v>
      </c>
      <c r="DE204" s="29" t="s">
        <v>546</v>
      </c>
      <c r="DF204" s="29" t="s">
        <v>546</v>
      </c>
      <c r="DG204" s="29" t="s">
        <v>546</v>
      </c>
      <c r="DH204" s="29" t="s">
        <v>546</v>
      </c>
      <c r="DI204" s="29">
        <v>0</v>
      </c>
      <c r="DJ204" s="29">
        <v>3</v>
      </c>
      <c r="DK204" s="29" t="s">
        <v>1459</v>
      </c>
      <c r="DL204" s="29" t="s">
        <v>1460</v>
      </c>
      <c r="DM204" s="29">
        <v>-4.2934598922729492</v>
      </c>
      <c r="DN204" s="29">
        <v>35.852897644042969</v>
      </c>
      <c r="DO204" s="29">
        <v>1280.0999755859375</v>
      </c>
      <c r="DP204" s="29">
        <v>5</v>
      </c>
      <c r="DQ204" s="29">
        <v>1705231439</v>
      </c>
      <c r="DR204" s="29" t="s">
        <v>1461</v>
      </c>
      <c r="DS204" s="31">
        <v>42893.595266203702</v>
      </c>
      <c r="DT204" s="31">
        <v>42892.499247685184</v>
      </c>
      <c r="DU204" s="31">
        <v>42892.714907407411</v>
      </c>
      <c r="DV204" s="32">
        <v>41723</v>
      </c>
      <c r="EC204" s="29">
        <f>IF(EQ204&lt;EP204,"FALSEE",1)</f>
        <v>1</v>
      </c>
      <c r="EE204" s="29" t="s">
        <v>2171</v>
      </c>
      <c r="EF204" s="29">
        <v>1.3508191108700001</v>
      </c>
      <c r="EG204" s="29" t="str">
        <f>IF(EF204&lt;0.5,"Depression",IF(EF204&lt;2,"Very gentle",IF(EF204&lt;5,"Gentle",IF(EF204&lt;9,"Moderate",IF(EF204&lt;15,"Strong",IF(EF204&lt;30,"Steep",IF(EF204&lt;1,"Very steep")))))))</f>
        <v>Very gentle</v>
      </c>
      <c r="EH204" s="29" t="s">
        <v>2173</v>
      </c>
      <c r="EI204" s="29">
        <v>0.45321798324599999</v>
      </c>
      <c r="EJ204" s="43">
        <v>8.6629858016999997</v>
      </c>
      <c r="EK204" s="43"/>
      <c r="EL204" s="43"/>
      <c r="EM204" s="43"/>
      <c r="EN204" s="43"/>
      <c r="EO204" s="60"/>
      <c r="EP204" s="43"/>
      <c r="EQ204" s="43"/>
      <c r="ER204" s="43"/>
      <c r="ES204" s="64">
        <f>IF(CU204&gt;0.000001,CU204*352,0)</f>
        <v>1267.1999999999998</v>
      </c>
      <c r="ET204" s="64">
        <f>IF(DC204&gt;0.0001,DC204*682,0)</f>
        <v>654.72</v>
      </c>
      <c r="EU204" s="64">
        <f>CY204*795</f>
        <v>0</v>
      </c>
      <c r="EV204" s="64">
        <f>ES204+ET204+EU204</f>
        <v>1921.9199999999998</v>
      </c>
      <c r="EW204" s="64">
        <f>IF(AA204="YES",3.5*18.2,0)</f>
        <v>63.699999999999996</v>
      </c>
      <c r="EX204" s="64">
        <f>EV204-EW204</f>
        <v>1858.2199999999998</v>
      </c>
    </row>
    <row r="205" spans="1:154" ht="15" x14ac:dyDescent="0.2">
      <c r="A205" s="29" t="s">
        <v>789</v>
      </c>
      <c r="B205" s="29">
        <v>50</v>
      </c>
      <c r="C205" s="29" t="s">
        <v>1019</v>
      </c>
      <c r="D205" s="29" t="s">
        <v>195</v>
      </c>
      <c r="E205" s="29" t="str">
        <f>VLOOKUP(D205,Harvest_2017_Formulae!$C$2:$D$968,2,FALSE)</f>
        <v>MANDI</v>
      </c>
      <c r="F205" s="29" t="s">
        <v>1014</v>
      </c>
      <c r="G205" s="29">
        <v>0</v>
      </c>
      <c r="H205" s="61" t="str">
        <f>IF(G205&lt;0.05,"Homefield",IF(G205&lt;0.5,"Midfield","outfield"))</f>
        <v>Homefield</v>
      </c>
      <c r="I205" s="29" t="s">
        <v>557</v>
      </c>
      <c r="J205" s="61" t="s">
        <v>2233</v>
      </c>
      <c r="K205" s="61" t="s">
        <v>2233</v>
      </c>
      <c r="L205" s="67">
        <v>0</v>
      </c>
      <c r="O205" s="29" t="s">
        <v>547</v>
      </c>
      <c r="Q205" s="67">
        <v>1</v>
      </c>
      <c r="R205" s="29" t="s">
        <v>615</v>
      </c>
      <c r="S205" s="29">
        <v>6</v>
      </c>
      <c r="T205" s="29">
        <v>1.2000000476837158</v>
      </c>
      <c r="U205" s="29" t="s">
        <v>560</v>
      </c>
      <c r="W205" s="29" t="s">
        <v>635</v>
      </c>
      <c r="Y205" s="29">
        <v>10000</v>
      </c>
      <c r="Z205" s="29" t="s">
        <v>547</v>
      </c>
      <c r="AA205" s="61" t="s">
        <v>548</v>
      </c>
      <c r="AB205" s="29" t="s">
        <v>568</v>
      </c>
      <c r="AC205" s="67">
        <v>0</v>
      </c>
      <c r="AD205" s="29" t="s">
        <v>547</v>
      </c>
      <c r="AF205" s="29" t="s">
        <v>547</v>
      </c>
      <c r="AG205" s="29" t="s">
        <v>547</v>
      </c>
      <c r="AH205" s="29" t="s">
        <v>548</v>
      </c>
      <c r="AI205" s="29" t="s">
        <v>546</v>
      </c>
      <c r="AK205" s="67">
        <v>0</v>
      </c>
      <c r="AL205" s="29" t="s">
        <v>547</v>
      </c>
      <c r="AO205" s="29" t="s">
        <v>547</v>
      </c>
      <c r="AP205" s="29" t="s">
        <v>547</v>
      </c>
      <c r="AQ205" s="4">
        <f>Q205+AK205</f>
        <v>1</v>
      </c>
      <c r="AR205" s="4">
        <f>L205+AC205</f>
        <v>0</v>
      </c>
      <c r="AS205" t="str">
        <f>AQ205&amp;AR205</f>
        <v>10</v>
      </c>
      <c r="AT205" s="49">
        <f>AQ205-AR205</f>
        <v>1</v>
      </c>
      <c r="AU205">
        <v>2</v>
      </c>
      <c r="AV205" s="29" t="s">
        <v>548</v>
      </c>
      <c r="AW205" s="29">
        <v>4</v>
      </c>
      <c r="AX205" s="29" t="s">
        <v>548</v>
      </c>
      <c r="AY205" s="29">
        <v>1</v>
      </c>
      <c r="AZ205" s="29">
        <v>3</v>
      </c>
      <c r="BA205" s="29" t="s">
        <v>548</v>
      </c>
      <c r="BB205" s="29" t="s">
        <v>569</v>
      </c>
      <c r="BC205" s="29">
        <v>9</v>
      </c>
      <c r="BD205" s="29">
        <f>AW205+AZ205</f>
        <v>7</v>
      </c>
      <c r="BE205" s="29">
        <f>BD205+BC205</f>
        <v>16</v>
      </c>
      <c r="BF205" s="29" t="s">
        <v>548</v>
      </c>
      <c r="BG205" s="29" t="s">
        <v>548</v>
      </c>
      <c r="BH205" s="29" t="s">
        <v>548</v>
      </c>
      <c r="BI205" s="29" t="s">
        <v>548</v>
      </c>
      <c r="BJ205" s="29" t="s">
        <v>548</v>
      </c>
      <c r="BK205" s="29" t="s">
        <v>546</v>
      </c>
      <c r="BL205" s="29">
        <v>9</v>
      </c>
      <c r="BM205" s="29" t="s">
        <v>549</v>
      </c>
      <c r="BN205" s="29">
        <v>12</v>
      </c>
      <c r="BO205" s="29" t="s">
        <v>580</v>
      </c>
      <c r="BP205" s="29">
        <v>10</v>
      </c>
      <c r="BQ205" s="29" t="s">
        <v>580</v>
      </c>
      <c r="BR205" s="29">
        <v>22</v>
      </c>
      <c r="BS205" s="29" t="s">
        <v>580</v>
      </c>
      <c r="BT205" s="29">
        <v>11</v>
      </c>
      <c r="BU205" s="29" t="s">
        <v>580</v>
      </c>
      <c r="BW205" s="29">
        <f>(BL205*1)+(BN205*0.1)+(BP205*0.01)+(BR205*0.1)+(BT205*0.3)+(BV205*0.4)</f>
        <v>15.8</v>
      </c>
      <c r="BX205" s="29" t="s">
        <v>2221</v>
      </c>
      <c r="BY205" s="29">
        <v>5</v>
      </c>
      <c r="BZ205" s="29">
        <v>2</v>
      </c>
      <c r="CA205" s="29">
        <v>2</v>
      </c>
      <c r="CB205" s="29">
        <v>9</v>
      </c>
      <c r="CC205" s="29">
        <v>0</v>
      </c>
      <c r="CD205" s="29">
        <v>1</v>
      </c>
      <c r="CE205" s="29">
        <v>1</v>
      </c>
      <c r="CG205" s="29">
        <f>(CC205*15)+(CD205*0.8)+(CE205*0.3)+((AW205+AZ205)*15)</f>
        <v>106.1</v>
      </c>
      <c r="CH205" s="29" t="s">
        <v>2221</v>
      </c>
      <c r="CI205" s="29">
        <f>(BL205*1)+(BN205*0.1)+(BP205*0.01)+(BR205*0.1)+(BT205*0.3)+(BV205*0.4)+(CC205*15)+(CD205*0.8)+(CE205*0.3)+((AW205+AZ205)*15)</f>
        <v>121.9</v>
      </c>
      <c r="CJ205" s="29" t="s">
        <v>548</v>
      </c>
      <c r="CK205" s="29" t="s">
        <v>797</v>
      </c>
      <c r="CL205" s="29" t="s">
        <v>548</v>
      </c>
      <c r="CM205" s="29" t="s">
        <v>793</v>
      </c>
      <c r="CN205" s="29">
        <v>0.25</v>
      </c>
      <c r="CO205" s="29">
        <v>8.25</v>
      </c>
      <c r="CP205" s="29">
        <v>0</v>
      </c>
      <c r="CQ205" s="29" t="s">
        <v>548</v>
      </c>
      <c r="CR205" s="29">
        <v>1</v>
      </c>
      <c r="CS205" s="29">
        <v>9</v>
      </c>
      <c r="CT205" s="29" t="s">
        <v>551</v>
      </c>
      <c r="CU205" s="30">
        <v>2.16</v>
      </c>
      <c r="CV205" s="29">
        <v>1</v>
      </c>
      <c r="CW205" s="29">
        <v>0.75</v>
      </c>
      <c r="CX205" s="29" t="s">
        <v>551</v>
      </c>
      <c r="CY205" s="62">
        <v>0.18</v>
      </c>
      <c r="DA205" s="29">
        <v>999</v>
      </c>
      <c r="DB205" s="29" t="s">
        <v>551</v>
      </c>
      <c r="DC205" s="62"/>
      <c r="DD205" s="29" t="s">
        <v>548</v>
      </c>
      <c r="DE205" s="29" t="s">
        <v>546</v>
      </c>
      <c r="DF205" s="29" t="s">
        <v>548</v>
      </c>
      <c r="DG205" s="29" t="s">
        <v>546</v>
      </c>
      <c r="DH205" s="29" t="s">
        <v>548</v>
      </c>
      <c r="DI205" s="29">
        <v>3</v>
      </c>
      <c r="DJ205" s="29">
        <v>2</v>
      </c>
      <c r="DK205" s="29" t="s">
        <v>1020</v>
      </c>
      <c r="DL205" s="29" t="s">
        <v>1021</v>
      </c>
      <c r="DM205" s="29">
        <v>-4.3397197723388672</v>
      </c>
      <c r="DN205" s="29">
        <v>35.431865692138672</v>
      </c>
      <c r="DO205" s="29">
        <v>1596</v>
      </c>
      <c r="DP205" s="29">
        <v>5</v>
      </c>
      <c r="DQ205" s="29">
        <v>1705231439</v>
      </c>
      <c r="DR205" s="29" t="s">
        <v>1022</v>
      </c>
      <c r="DS205" s="31">
        <v>42923.381712962961</v>
      </c>
      <c r="DT205" s="31">
        <v>42908.398136574076</v>
      </c>
      <c r="DU205" s="31">
        <v>42908.431435185186</v>
      </c>
      <c r="DV205" s="32">
        <v>42794</v>
      </c>
      <c r="DX205" s="44">
        <v>3.604285714285715</v>
      </c>
      <c r="DY205" s="44">
        <v>2.5697222222222225</v>
      </c>
      <c r="DZ205" s="44">
        <v>3.9713888888888893</v>
      </c>
      <c r="EA205" s="44">
        <v>2.6030952380952384</v>
      </c>
      <c r="EC205" s="29" t="str">
        <f>IF(EQ205&lt;EP205,"FALSEE",1)</f>
        <v>FALSEE</v>
      </c>
      <c r="EE205" s="29" t="s">
        <v>2171</v>
      </c>
      <c r="EF205" s="29">
        <v>2.5459241867100002</v>
      </c>
      <c r="EG205" s="29" t="str">
        <f>IF(EF205&lt;0.5,"Depression",IF(EF205&lt;2,"Very gentle",IF(EF205&lt;5,"Gentle",IF(EF205&lt;9,"Moderate",IF(EF205&lt;15,"Strong",IF(EF205&lt;30,"Steep",IF(EF205&lt;1,"Very steep")))))))</f>
        <v>Gentle</v>
      </c>
      <c r="EH205" s="29" t="s">
        <v>2173</v>
      </c>
      <c r="EI205" s="29">
        <v>-0.27191722393000001</v>
      </c>
      <c r="EJ205" s="43">
        <v>11.442844390899999</v>
      </c>
      <c r="EK205" s="43">
        <f>VLOOKUP(D205,[1]SoilData!$G$15:$K$237,5,FALSE)</f>
        <v>588.81602542495318</v>
      </c>
      <c r="EL205" s="43">
        <f>VLOOKUP(D205,[1]SoilData!$G$245:$K$451,5,FALSE)</f>
        <v>213.43832041219258</v>
      </c>
      <c r="EM205" s="43">
        <f>VLOOKUP(D205,[1]SoilData!$G$15:$M$238,7,FALSE)</f>
        <v>1.3049999999999999</v>
      </c>
      <c r="EN205" s="43">
        <f>VLOOKUP(D205,[1]SoilData!$G$245:$M$454,7,FALSE)</f>
        <v>0.95499999999999996</v>
      </c>
      <c r="EO205" s="60">
        <f>EM205-EN205</f>
        <v>0.35</v>
      </c>
      <c r="EP205" s="44">
        <f>AVERAGE(DZ205:EA205)</f>
        <v>3.287242063492064</v>
      </c>
      <c r="EQ205" s="44">
        <f>AVERAGE(DX205:DY205)</f>
        <v>3.0870039682539687</v>
      </c>
      <c r="ER205" s="43">
        <f>EQ205-EP205</f>
        <v>-0.20023809523809533</v>
      </c>
      <c r="ES205" s="64">
        <f>IF(CU205&gt;0.000001,CU205*352,0)</f>
        <v>760.32</v>
      </c>
      <c r="ET205" s="64">
        <f>IF(DC205&gt;0.0001,DC205*682,0)</f>
        <v>0</v>
      </c>
      <c r="EU205" s="64">
        <f>CY205*795</f>
        <v>143.1</v>
      </c>
      <c r="EV205" s="64">
        <f>ES205+ET205+EU205</f>
        <v>903.42000000000007</v>
      </c>
      <c r="EW205" s="64">
        <f>IF(AA205="YES",3.5*18.2,0)</f>
        <v>63.699999999999996</v>
      </c>
      <c r="EX205" s="64">
        <f>EV205-EW205</f>
        <v>839.72</v>
      </c>
    </row>
    <row r="206" spans="1:154" ht="15" x14ac:dyDescent="0.2">
      <c r="A206" s="29" t="s">
        <v>556</v>
      </c>
      <c r="B206" s="29">
        <v>12</v>
      </c>
      <c r="C206" s="29" t="s">
        <v>870</v>
      </c>
      <c r="D206" s="29" t="s">
        <v>348</v>
      </c>
      <c r="E206" s="29" t="str">
        <f>VLOOKUP(D206,Harvest_2017_Formulae!$C$2:$D$968,2,FALSE)</f>
        <v>ENDANOGA</v>
      </c>
      <c r="F206" s="29" t="s">
        <v>843</v>
      </c>
      <c r="G206" s="29">
        <v>2</v>
      </c>
      <c r="H206" s="61" t="str">
        <f>IF(G206&lt;0.05,"Homefield",IF(G206&lt;0.5,"Midfield","outfield"))</f>
        <v>outfield</v>
      </c>
      <c r="I206" s="29" t="s">
        <v>557</v>
      </c>
      <c r="J206" s="61" t="s">
        <v>2234</v>
      </c>
      <c r="K206" s="61" t="s">
        <v>2234</v>
      </c>
      <c r="L206" s="67">
        <v>0</v>
      </c>
      <c r="O206" s="29" t="s">
        <v>547</v>
      </c>
      <c r="Q206" s="67">
        <v>1</v>
      </c>
      <c r="R206" s="29" t="s">
        <v>558</v>
      </c>
      <c r="S206" s="29">
        <v>12</v>
      </c>
      <c r="T206" s="29">
        <v>5</v>
      </c>
      <c r="U206" s="29" t="s">
        <v>560</v>
      </c>
      <c r="W206" s="29" t="s">
        <v>819</v>
      </c>
      <c r="X206" s="29">
        <v>333</v>
      </c>
      <c r="Z206" s="29" t="s">
        <v>567</v>
      </c>
      <c r="AA206" s="61" t="s">
        <v>546</v>
      </c>
      <c r="AB206" s="29" t="s">
        <v>547</v>
      </c>
      <c r="AC206" s="67">
        <v>0</v>
      </c>
      <c r="AD206" s="29" t="s">
        <v>547</v>
      </c>
      <c r="AF206" s="29" t="s">
        <v>547</v>
      </c>
      <c r="AG206" s="29" t="s">
        <v>547</v>
      </c>
      <c r="AH206" s="29" t="s">
        <v>546</v>
      </c>
      <c r="AI206" s="29" t="s">
        <v>546</v>
      </c>
      <c r="AJ206" s="29" t="s">
        <v>547</v>
      </c>
      <c r="AK206" s="67">
        <v>0</v>
      </c>
      <c r="AL206" s="29" t="s">
        <v>547</v>
      </c>
      <c r="AO206" s="29" t="s">
        <v>547</v>
      </c>
      <c r="AP206" s="29" t="s">
        <v>547</v>
      </c>
      <c r="AQ206" s="4">
        <f>Q206+AK206</f>
        <v>1</v>
      </c>
      <c r="AR206" s="4">
        <f>L206+AC206</f>
        <v>0</v>
      </c>
      <c r="AS206" t="str">
        <f>AQ206&amp;AR206</f>
        <v>10</v>
      </c>
      <c r="AT206" s="49">
        <f>AQ206-AR206</f>
        <v>1</v>
      </c>
      <c r="AU206">
        <v>2</v>
      </c>
      <c r="AV206" s="29" t="s">
        <v>548</v>
      </c>
      <c r="AW206" s="29">
        <v>4</v>
      </c>
      <c r="AX206" s="29" t="s">
        <v>548</v>
      </c>
      <c r="AY206" s="29">
        <v>3</v>
      </c>
      <c r="AZ206" s="29">
        <v>4.75</v>
      </c>
      <c r="BA206" s="29" t="s">
        <v>548</v>
      </c>
      <c r="BB206" s="29" t="s">
        <v>569</v>
      </c>
      <c r="BC206" s="29">
        <v>3</v>
      </c>
      <c r="BD206" s="29">
        <f>AW206+AZ206</f>
        <v>8.75</v>
      </c>
      <c r="BE206" s="29">
        <f>BD206+BC206</f>
        <v>11.75</v>
      </c>
      <c r="BF206" s="29" t="s">
        <v>548</v>
      </c>
      <c r="BG206" s="29" t="s">
        <v>548</v>
      </c>
      <c r="BH206" s="29" t="s">
        <v>548</v>
      </c>
      <c r="BI206" s="29" t="s">
        <v>548</v>
      </c>
      <c r="BJ206" s="29" t="s">
        <v>546</v>
      </c>
      <c r="BK206" s="29" t="s">
        <v>546</v>
      </c>
      <c r="BL206" s="29">
        <v>16</v>
      </c>
      <c r="BM206" s="29" t="s">
        <v>549</v>
      </c>
      <c r="BN206" s="29">
        <v>4</v>
      </c>
      <c r="BO206" s="29" t="s">
        <v>549</v>
      </c>
      <c r="BP206" s="29">
        <v>20</v>
      </c>
      <c r="BQ206" s="29" t="s">
        <v>549</v>
      </c>
      <c r="BR206" s="29">
        <v>12</v>
      </c>
      <c r="BS206" s="29" t="s">
        <v>549</v>
      </c>
      <c r="BU206" s="29" t="s">
        <v>547</v>
      </c>
      <c r="BW206" s="29">
        <f>(BL206*1)+(BN206*0.1)+(BP206*0.01)+(BR206*0.1)+(BT206*0.3)+(BV206*0.4)</f>
        <v>17.799999999999997</v>
      </c>
      <c r="BX206" s="29" t="s">
        <v>2221</v>
      </c>
      <c r="BY206" s="29">
        <v>3</v>
      </c>
      <c r="BZ206" s="29">
        <v>1</v>
      </c>
      <c r="CA206" s="29">
        <v>5</v>
      </c>
      <c r="CB206" s="29">
        <v>9</v>
      </c>
      <c r="CC206" s="29">
        <v>0</v>
      </c>
      <c r="CD206" s="29">
        <v>1</v>
      </c>
      <c r="CE206" s="29">
        <v>1</v>
      </c>
      <c r="CF206" s="29" t="s">
        <v>547</v>
      </c>
      <c r="CG206" s="29">
        <f>(CC206*15)+(CD206*0.8)+(CE206*0.3)+((AW206+AZ206)*15)</f>
        <v>132.35</v>
      </c>
      <c r="CH206" s="29" t="s">
        <v>2221</v>
      </c>
      <c r="CI206" s="29">
        <f>(BL206*1)+(BN206*0.1)+(BP206*0.01)+(BR206*0.1)+(BT206*0.3)+(BV206*0.4)+(CC206*15)+(CD206*0.8)+(CE206*0.3)+((AW206+AZ206)*15)</f>
        <v>150.15</v>
      </c>
      <c r="CJ206" s="29" t="s">
        <v>548</v>
      </c>
      <c r="CK206" s="29" t="s">
        <v>871</v>
      </c>
      <c r="CL206" s="29" t="s">
        <v>546</v>
      </c>
      <c r="CM206" s="29" t="s">
        <v>547</v>
      </c>
      <c r="CN206" s="29">
        <v>0.25</v>
      </c>
      <c r="CO206" s="29">
        <v>2</v>
      </c>
      <c r="CP206" s="29">
        <v>0</v>
      </c>
      <c r="CQ206" s="29" t="s">
        <v>548</v>
      </c>
      <c r="CR206" s="29">
        <v>1</v>
      </c>
      <c r="CS206" s="29">
        <v>3.5</v>
      </c>
      <c r="CT206" s="29" t="s">
        <v>551</v>
      </c>
      <c r="CU206" s="30">
        <v>0.84000000000000008</v>
      </c>
      <c r="CW206" s="29">
        <v>999</v>
      </c>
      <c r="CX206" s="29" t="s">
        <v>551</v>
      </c>
      <c r="CY206" s="62"/>
      <c r="CZ206" s="29">
        <v>1</v>
      </c>
      <c r="DA206" s="29">
        <v>3</v>
      </c>
      <c r="DB206" s="29" t="s">
        <v>551</v>
      </c>
      <c r="DC206" s="62">
        <v>0.72</v>
      </c>
      <c r="DD206" s="29" t="s">
        <v>546</v>
      </c>
      <c r="DE206" s="29" t="s">
        <v>546</v>
      </c>
      <c r="DF206" s="29" t="s">
        <v>548</v>
      </c>
      <c r="DG206" s="29" t="s">
        <v>546</v>
      </c>
      <c r="DH206" s="29" t="s">
        <v>546</v>
      </c>
      <c r="DI206" s="29">
        <v>1</v>
      </c>
      <c r="DJ206" s="29">
        <v>5</v>
      </c>
      <c r="DK206" s="29" t="s">
        <v>872</v>
      </c>
      <c r="DL206" s="29" t="s">
        <v>873</v>
      </c>
      <c r="DM206" s="29">
        <v>-4.2597823143005371</v>
      </c>
      <c r="DN206" s="29">
        <v>35.859699249267578</v>
      </c>
      <c r="DO206" s="29">
        <v>1312.5</v>
      </c>
      <c r="DP206" s="29">
        <v>5</v>
      </c>
      <c r="DQ206" s="29">
        <v>1705231439</v>
      </c>
      <c r="DR206" s="29" t="s">
        <v>874</v>
      </c>
      <c r="DS206" s="31">
        <v>42893.622523148151</v>
      </c>
      <c r="DT206" s="31">
        <v>42893.560995370368</v>
      </c>
      <c r="DU206" s="31">
        <v>42893.622037037036</v>
      </c>
      <c r="DV206" s="32">
        <v>42794</v>
      </c>
      <c r="DX206" s="44">
        <v>3.6173429951690821</v>
      </c>
      <c r="DY206" s="44">
        <v>3.9817971014492755</v>
      </c>
      <c r="DZ206" s="44">
        <v>2.0398550724637681</v>
      </c>
      <c r="EA206" s="44"/>
      <c r="EC206" s="29">
        <f>IF(EQ206&lt;EP206,"FALSEE",1)</f>
        <v>1</v>
      </c>
      <c r="EE206" s="29" t="s">
        <v>2171</v>
      </c>
      <c r="EF206" s="29">
        <v>2.3941514491999998</v>
      </c>
      <c r="EG206" s="29" t="str">
        <f>IF(EF206&lt;0.5,"Depression",IF(EF206&lt;2,"Very gentle",IF(EF206&lt;5,"Gentle",IF(EF206&lt;9,"Moderate",IF(EF206&lt;15,"Strong",IF(EF206&lt;30,"Steep",IF(EF206&lt;1,"Very steep")))))))</f>
        <v>Gentle</v>
      </c>
      <c r="EH206" s="29" t="s">
        <v>2173</v>
      </c>
      <c r="EI206" s="29">
        <v>-0.362559139729</v>
      </c>
      <c r="EJ206" s="43">
        <v>10.828481674200001</v>
      </c>
      <c r="EK206" s="43"/>
      <c r="EL206" s="43">
        <f>VLOOKUP(D206,[1]SoilData!$G$245:$K$451,5,FALSE)</f>
        <v>270.93539991438399</v>
      </c>
      <c r="EM206" s="43"/>
      <c r="EN206" s="43">
        <f>VLOOKUP(D206,[1]SoilData!$G$245:$M$454,7,FALSE)</f>
        <v>1.2869999999999999</v>
      </c>
      <c r="EO206" s="60"/>
      <c r="EP206" s="44">
        <f>AVERAGE(DZ206:EA206)</f>
        <v>2.0398550724637681</v>
      </c>
      <c r="EQ206" s="44">
        <f>AVERAGE(DX206:DY206)</f>
        <v>3.799570048309179</v>
      </c>
      <c r="ER206" s="43">
        <f>EQ206-EP206</f>
        <v>1.7597149758454109</v>
      </c>
      <c r="ES206" s="64">
        <f>IF(CU206&gt;0.000001,CU206*352,0)</f>
        <v>295.68</v>
      </c>
      <c r="ET206" s="64">
        <f>IF(DC206&gt;0.0001,DC206*682,0)</f>
        <v>491.03999999999996</v>
      </c>
      <c r="EU206" s="64">
        <f>CY206*795</f>
        <v>0</v>
      </c>
      <c r="EV206" s="64">
        <f>ES206+ET206+EU206</f>
        <v>786.72</v>
      </c>
      <c r="EW206" s="64">
        <f>IF(AA206="YES",3.5*18.2,0)</f>
        <v>0</v>
      </c>
      <c r="EX206" s="64">
        <f>EV206-EW206</f>
        <v>786.72</v>
      </c>
    </row>
    <row r="207" spans="1:154" ht="15" x14ac:dyDescent="0.2">
      <c r="A207" s="29" t="s">
        <v>789</v>
      </c>
      <c r="B207" s="29">
        <v>53</v>
      </c>
      <c r="C207" s="29" t="s">
        <v>213</v>
      </c>
      <c r="D207" s="29" t="s">
        <v>213</v>
      </c>
      <c r="E207" s="29" t="str">
        <f>VLOOKUP(D207,Harvest_2017_Formulae!$C$2:$D$968,2,FALSE)</f>
        <v>MANDI</v>
      </c>
      <c r="F207" s="29" t="s">
        <v>1014</v>
      </c>
      <c r="G207" s="29">
        <v>0</v>
      </c>
      <c r="H207" s="61" t="str">
        <f>IF(G207&lt;0.05,"Homefield",IF(G207&lt;0.5,"Midfield","outfield"))</f>
        <v>Homefield</v>
      </c>
      <c r="I207" s="29" t="s">
        <v>557</v>
      </c>
      <c r="J207" s="61" t="s">
        <v>2233</v>
      </c>
      <c r="K207" s="61" t="s">
        <v>2233</v>
      </c>
      <c r="L207" s="67">
        <v>0</v>
      </c>
      <c r="O207" s="29" t="s">
        <v>547</v>
      </c>
      <c r="Q207" s="67">
        <v>1</v>
      </c>
      <c r="R207" s="29" t="s">
        <v>615</v>
      </c>
      <c r="S207" s="29">
        <v>9</v>
      </c>
      <c r="T207" s="29">
        <v>3</v>
      </c>
      <c r="U207" s="29" t="s">
        <v>560</v>
      </c>
      <c r="W207" s="29" t="s">
        <v>635</v>
      </c>
      <c r="Y207" s="29">
        <v>13000</v>
      </c>
      <c r="Z207" s="29" t="s">
        <v>831</v>
      </c>
      <c r="AA207" s="61" t="s">
        <v>548</v>
      </c>
      <c r="AB207" s="29" t="s">
        <v>568</v>
      </c>
      <c r="AC207" s="67">
        <v>0</v>
      </c>
      <c r="AD207" s="29" t="s">
        <v>547</v>
      </c>
      <c r="AF207" s="29" t="s">
        <v>547</v>
      </c>
      <c r="AG207" s="29" t="s">
        <v>547</v>
      </c>
      <c r="AH207" s="29" t="s">
        <v>548</v>
      </c>
      <c r="AI207" s="29" t="s">
        <v>546</v>
      </c>
      <c r="AK207" s="67">
        <v>0</v>
      </c>
      <c r="AL207" s="29" t="s">
        <v>547</v>
      </c>
      <c r="AO207" s="29" t="s">
        <v>547</v>
      </c>
      <c r="AP207" s="29" t="s">
        <v>547</v>
      </c>
      <c r="AQ207" s="4">
        <f>Q207+AK207</f>
        <v>1</v>
      </c>
      <c r="AR207" s="4">
        <f>L207+AC207</f>
        <v>0</v>
      </c>
      <c r="AS207" t="str">
        <f>AQ207&amp;AR207</f>
        <v>10</v>
      </c>
      <c r="AT207" s="49">
        <f>AQ207-AR207</f>
        <v>1</v>
      </c>
      <c r="AU207">
        <v>2</v>
      </c>
      <c r="AV207" s="29" t="s">
        <v>548</v>
      </c>
      <c r="AW207" s="29">
        <v>3</v>
      </c>
      <c r="AX207" s="29" t="s">
        <v>548</v>
      </c>
      <c r="AY207" s="29">
        <v>5</v>
      </c>
      <c r="AZ207" s="29">
        <v>3</v>
      </c>
      <c r="BA207" s="29" t="s">
        <v>548</v>
      </c>
      <c r="BB207" s="29" t="s">
        <v>569</v>
      </c>
      <c r="BC207" s="29">
        <v>6.5</v>
      </c>
      <c r="BD207" s="29">
        <f>AW207+AZ207</f>
        <v>6</v>
      </c>
      <c r="BE207" s="29">
        <f>BD207+BC207</f>
        <v>12.5</v>
      </c>
      <c r="BF207" s="29" t="s">
        <v>548</v>
      </c>
      <c r="BG207" s="29" t="s">
        <v>548</v>
      </c>
      <c r="BH207" s="29" t="s">
        <v>548</v>
      </c>
      <c r="BI207" s="29" t="s">
        <v>548</v>
      </c>
      <c r="BJ207" s="29" t="s">
        <v>546</v>
      </c>
      <c r="BK207" s="29" t="s">
        <v>548</v>
      </c>
      <c r="BL207" s="29">
        <v>18</v>
      </c>
      <c r="BM207" s="29" t="s">
        <v>580</v>
      </c>
      <c r="BN207" s="29">
        <v>8</v>
      </c>
      <c r="BO207" s="29" t="s">
        <v>580</v>
      </c>
      <c r="BP207" s="29">
        <v>10</v>
      </c>
      <c r="BQ207" s="29" t="s">
        <v>580</v>
      </c>
      <c r="BR207" s="29">
        <v>12</v>
      </c>
      <c r="BS207" s="29" t="s">
        <v>580</v>
      </c>
      <c r="BU207" s="29" t="s">
        <v>547</v>
      </c>
      <c r="BV207" s="29">
        <v>1</v>
      </c>
      <c r="BW207" s="29">
        <f>(BL207*1)+(BN207*0.1)+(BP207*0.01)+(BR207*0.1)+(BT207*0.3)+(BV207*0.4)</f>
        <v>20.5</v>
      </c>
      <c r="BX207" s="29" t="s">
        <v>2221</v>
      </c>
      <c r="BY207" s="29">
        <v>1</v>
      </c>
      <c r="BZ207" s="29">
        <v>1</v>
      </c>
      <c r="CA207" s="29">
        <v>5</v>
      </c>
      <c r="CB207" s="29">
        <v>7</v>
      </c>
      <c r="CC207" s="29">
        <v>0</v>
      </c>
      <c r="CD207" s="29">
        <v>1</v>
      </c>
      <c r="CE207" s="29">
        <v>2</v>
      </c>
      <c r="CG207" s="29">
        <f>(CC207*15)+(CD207*0.8)+(CE207*0.3)+((AW207+AZ207)*15)</f>
        <v>91.4</v>
      </c>
      <c r="CH207" s="29" t="s">
        <v>2221</v>
      </c>
      <c r="CI207" s="29">
        <f>(BL207*1)+(BN207*0.1)+(BP207*0.01)+(BR207*0.1)+(BT207*0.3)+(BV207*0.4)+(CC207*15)+(CD207*0.8)+(CE207*0.3)+((AW207+AZ207)*15)</f>
        <v>111.9</v>
      </c>
      <c r="CJ207" s="29" t="s">
        <v>548</v>
      </c>
      <c r="CK207" s="29" t="s">
        <v>1084</v>
      </c>
      <c r="CL207" s="29" t="s">
        <v>548</v>
      </c>
      <c r="CM207" s="29" t="s">
        <v>550</v>
      </c>
      <c r="CN207" s="29">
        <v>0.25</v>
      </c>
      <c r="CO207" s="29">
        <v>5</v>
      </c>
      <c r="CP207" s="29">
        <v>0</v>
      </c>
      <c r="CQ207" s="29" t="s">
        <v>548</v>
      </c>
      <c r="CR207" s="29">
        <v>1</v>
      </c>
      <c r="CS207" s="29">
        <v>5</v>
      </c>
      <c r="CT207" s="29" t="s">
        <v>551</v>
      </c>
      <c r="CU207" s="30">
        <v>1.2</v>
      </c>
      <c r="CV207" s="29">
        <v>1</v>
      </c>
      <c r="CW207" s="29">
        <v>0</v>
      </c>
      <c r="CX207" s="29" t="s">
        <v>551</v>
      </c>
      <c r="CY207" s="62">
        <v>0</v>
      </c>
      <c r="DA207" s="29">
        <v>999</v>
      </c>
      <c r="DB207" s="29" t="s">
        <v>551</v>
      </c>
      <c r="DC207" s="62"/>
      <c r="DD207" s="29" t="s">
        <v>546</v>
      </c>
      <c r="DE207" s="29" t="s">
        <v>548</v>
      </c>
      <c r="DF207" s="29" t="s">
        <v>546</v>
      </c>
      <c r="DG207" s="29" t="s">
        <v>546</v>
      </c>
      <c r="DH207" s="29" t="s">
        <v>548</v>
      </c>
      <c r="DI207" s="29">
        <v>2</v>
      </c>
      <c r="DJ207" s="29">
        <v>4</v>
      </c>
      <c r="DK207" s="29" t="s">
        <v>1085</v>
      </c>
      <c r="DL207" s="29" t="s">
        <v>1086</v>
      </c>
      <c r="DM207" s="29">
        <v>-4.341313362121582</v>
      </c>
      <c r="DN207" s="29">
        <v>35.419746398925781</v>
      </c>
      <c r="DO207" s="29">
        <v>1642.9000244140625</v>
      </c>
      <c r="DP207" s="29">
        <v>5</v>
      </c>
      <c r="DQ207" s="29">
        <v>1705231439</v>
      </c>
      <c r="DR207" s="29" t="s">
        <v>1087</v>
      </c>
      <c r="DS207" s="31">
        <v>42923.381782407407</v>
      </c>
      <c r="DT207" s="31">
        <v>42908.527870370366</v>
      </c>
      <c r="DU207" s="31">
        <v>42908.558483796296</v>
      </c>
      <c r="DV207" s="32">
        <v>42768</v>
      </c>
      <c r="DX207" s="44">
        <v>5.0933874239350914</v>
      </c>
      <c r="DY207" s="44">
        <v>3.3317647058823532</v>
      </c>
      <c r="DZ207" s="44">
        <v>5.4970833333333324</v>
      </c>
      <c r="EA207" s="44">
        <v>3.3915517241379307</v>
      </c>
      <c r="EC207" s="29" t="str">
        <f>IF(EQ207&lt;EP207,"FALSEE",1)</f>
        <v>FALSEE</v>
      </c>
      <c r="EE207" s="29" t="s">
        <v>2171</v>
      </c>
      <c r="EF207" s="29">
        <v>2.0972545146899999</v>
      </c>
      <c r="EG207" s="29" t="str">
        <f>IF(EF207&lt;0.5,"Depression",IF(EF207&lt;2,"Very gentle",IF(EF207&lt;5,"Gentle",IF(EF207&lt;9,"Moderate",IF(EF207&lt;15,"Strong",IF(EF207&lt;30,"Steep",IF(EF207&lt;1,"Very steep")))))))</f>
        <v>Gentle</v>
      </c>
      <c r="EH207" s="29" t="s">
        <v>2173</v>
      </c>
      <c r="EI207" s="29">
        <v>9.0650379657699995E-2</v>
      </c>
      <c r="EJ207" s="43">
        <v>8.3043279647800006</v>
      </c>
      <c r="EK207" s="43">
        <f>VLOOKUP(D207,[1]SoilData!$G$15:$K$237,5,FALSE)</f>
        <v>253.01896277748352</v>
      </c>
      <c r="EL207" s="43">
        <f>VLOOKUP(D207,[1]SoilData!$G$245:$K$451,5,FALSE)</f>
        <v>176.41126787692033</v>
      </c>
      <c r="EM207" s="43">
        <f>VLOOKUP(D207,[1]SoilData!$G$15:$M$238,7,FALSE)</f>
        <v>1.343</v>
      </c>
      <c r="EN207" s="43">
        <f>VLOOKUP(D207,[1]SoilData!$G$245:$M$454,7,FALSE)</f>
        <v>1.06</v>
      </c>
      <c r="EO207" s="60">
        <f>EM207-EN207</f>
        <v>0.28299999999999992</v>
      </c>
      <c r="EP207" s="44">
        <f>AVERAGE(DZ207:EA207)</f>
        <v>4.4443175287356311</v>
      </c>
      <c r="EQ207" s="44">
        <f>AVERAGE(DX207:DY207)</f>
        <v>4.2125760649087223</v>
      </c>
      <c r="ER207" s="43">
        <f>EQ207-EP207</f>
        <v>-0.23174146382690886</v>
      </c>
      <c r="ES207" s="64">
        <f>IF(CU207&gt;0.000001,CU207*352,0)</f>
        <v>422.4</v>
      </c>
      <c r="ET207" s="64">
        <f>IF(DC207&gt;0.0001,DC207*682,0)</f>
        <v>0</v>
      </c>
      <c r="EU207" s="64">
        <f>CY207*795</f>
        <v>0</v>
      </c>
      <c r="EV207" s="64">
        <f>ES207+ET207+EU207</f>
        <v>422.4</v>
      </c>
      <c r="EW207" s="64">
        <f>IF(AA207="YES",3.5*18.2,0)</f>
        <v>63.699999999999996</v>
      </c>
      <c r="EX207" s="64">
        <f>EV207-EW207</f>
        <v>358.7</v>
      </c>
    </row>
    <row r="208" spans="1:154" s="57" customFormat="1" ht="15" x14ac:dyDescent="0.2">
      <c r="A208" s="29" t="s">
        <v>556</v>
      </c>
      <c r="B208" s="29">
        <v>132</v>
      </c>
      <c r="C208" s="29" t="s">
        <v>588</v>
      </c>
      <c r="D208" s="29" t="s">
        <v>315</v>
      </c>
      <c r="E208" s="29" t="str">
        <f>VLOOKUP(D208,Harvest_2017_Formulae!$C$2:$D$968,2,FALSE)</f>
        <v>AYAMANGO</v>
      </c>
      <c r="F208" s="29" t="s">
        <v>196</v>
      </c>
      <c r="G208" s="29">
        <v>0</v>
      </c>
      <c r="H208" s="61" t="str">
        <f>IF(G208&lt;0.05,"Homefield",IF(G208&lt;0.5,"Midfield","outfield"))</f>
        <v>Homefield</v>
      </c>
      <c r="I208" s="29" t="s">
        <v>557</v>
      </c>
      <c r="J208" s="61" t="s">
        <v>2234</v>
      </c>
      <c r="K208" s="61" t="s">
        <v>2234</v>
      </c>
      <c r="L208" s="67">
        <v>0</v>
      </c>
      <c r="M208" s="29"/>
      <c r="N208" s="29"/>
      <c r="O208" s="29" t="s">
        <v>547</v>
      </c>
      <c r="P208" s="29"/>
      <c r="Q208" s="67">
        <v>1</v>
      </c>
      <c r="R208" s="29" t="s">
        <v>558</v>
      </c>
      <c r="S208" s="29">
        <v>50</v>
      </c>
      <c r="T208" s="29" t="s">
        <v>559</v>
      </c>
      <c r="U208" s="29" t="s">
        <v>560</v>
      </c>
      <c r="V208" s="29"/>
      <c r="W208" s="29" t="s">
        <v>561</v>
      </c>
      <c r="X208" s="29"/>
      <c r="Y208" s="29">
        <v>10000</v>
      </c>
      <c r="Z208" s="29" t="s">
        <v>547</v>
      </c>
      <c r="AA208" s="61" t="s">
        <v>546</v>
      </c>
      <c r="AB208" s="29" t="s">
        <v>547</v>
      </c>
      <c r="AC208" s="67">
        <v>0</v>
      </c>
      <c r="AD208" s="29" t="s">
        <v>547</v>
      </c>
      <c r="AE208" s="29"/>
      <c r="AF208" s="29" t="s">
        <v>547</v>
      </c>
      <c r="AG208" s="29" t="s">
        <v>547</v>
      </c>
      <c r="AH208" s="29" t="s">
        <v>548</v>
      </c>
      <c r="AI208" s="29" t="s">
        <v>546</v>
      </c>
      <c r="AJ208" s="29" t="s">
        <v>547</v>
      </c>
      <c r="AK208" s="67">
        <v>0</v>
      </c>
      <c r="AL208" s="29" t="s">
        <v>547</v>
      </c>
      <c r="AM208" s="29"/>
      <c r="AN208" s="29"/>
      <c r="AO208" s="29" t="s">
        <v>547</v>
      </c>
      <c r="AP208" s="29" t="s">
        <v>547</v>
      </c>
      <c r="AQ208" s="4">
        <f>Q208+AK208</f>
        <v>1</v>
      </c>
      <c r="AR208" s="4">
        <f>L208+AC208</f>
        <v>0</v>
      </c>
      <c r="AS208" t="str">
        <f>AQ208&amp;AR208</f>
        <v>10</v>
      </c>
      <c r="AT208" s="49">
        <f>AQ208-AR208</f>
        <v>1</v>
      </c>
      <c r="AU208">
        <v>2</v>
      </c>
      <c r="AV208" s="29" t="s">
        <v>548</v>
      </c>
      <c r="AW208" s="29">
        <v>2.5</v>
      </c>
      <c r="AX208" s="29" t="s">
        <v>548</v>
      </c>
      <c r="AY208" s="29">
        <v>2</v>
      </c>
      <c r="AZ208" s="29">
        <v>5</v>
      </c>
      <c r="BA208" s="29" t="s">
        <v>546</v>
      </c>
      <c r="BB208" s="29" t="s">
        <v>547</v>
      </c>
      <c r="BC208" s="29"/>
      <c r="BD208" s="29">
        <f>AW208+AZ208</f>
        <v>7.5</v>
      </c>
      <c r="BE208" s="29">
        <f>BD208+BC208</f>
        <v>7.5</v>
      </c>
      <c r="BF208" s="29" t="s">
        <v>548</v>
      </c>
      <c r="BG208" s="29" t="s">
        <v>548</v>
      </c>
      <c r="BH208" s="29" t="s">
        <v>548</v>
      </c>
      <c r="BI208" s="29" t="s">
        <v>548</v>
      </c>
      <c r="BJ208" s="29" t="s">
        <v>546</v>
      </c>
      <c r="BK208" s="29" t="s">
        <v>546</v>
      </c>
      <c r="BL208" s="29">
        <v>20</v>
      </c>
      <c r="BM208" s="29" t="s">
        <v>549</v>
      </c>
      <c r="BN208" s="29">
        <v>15</v>
      </c>
      <c r="BO208" s="29" t="s">
        <v>549</v>
      </c>
      <c r="BP208" s="29">
        <v>20</v>
      </c>
      <c r="BQ208" s="29" t="s">
        <v>549</v>
      </c>
      <c r="BR208" s="29">
        <v>2</v>
      </c>
      <c r="BS208" s="29" t="s">
        <v>549</v>
      </c>
      <c r="BT208" s="29"/>
      <c r="BU208" s="29" t="s">
        <v>547</v>
      </c>
      <c r="BV208" s="29"/>
      <c r="BW208" s="29">
        <f>(BL208*1)+(BN208*0.1)+(BP208*0.01)+(BR208*0.1)+(BT208*0.3)+(BV208*0.4)</f>
        <v>21.9</v>
      </c>
      <c r="BX208" s="29" t="s">
        <v>2221</v>
      </c>
      <c r="BY208" s="29">
        <v>5</v>
      </c>
      <c r="BZ208" s="29">
        <v>1</v>
      </c>
      <c r="CA208" s="29">
        <v>0</v>
      </c>
      <c r="CB208" s="29">
        <v>6</v>
      </c>
      <c r="CC208" s="29">
        <v>0</v>
      </c>
      <c r="CD208" s="29">
        <v>1</v>
      </c>
      <c r="CE208" s="29">
        <v>2</v>
      </c>
      <c r="CF208" s="29" t="s">
        <v>547</v>
      </c>
      <c r="CG208" s="29">
        <f>(CC208*15)+(CD208*0.8)+(CE208*0.3)+((AW208+AZ208)*15)</f>
        <v>113.9</v>
      </c>
      <c r="CH208" s="29" t="s">
        <v>2221</v>
      </c>
      <c r="CI208" s="29">
        <f>(BL208*1)+(BN208*0.1)+(BP208*0.01)+(BR208*0.1)+(BT208*0.3)+(BV208*0.4)+(CC208*15)+(CD208*0.8)+(CE208*0.3)+((AW208+AZ208)*15)</f>
        <v>135.80000000000001</v>
      </c>
      <c r="CJ208" s="29" t="s">
        <v>548</v>
      </c>
      <c r="CK208" s="29" t="s">
        <v>563</v>
      </c>
      <c r="CL208" s="29" t="s">
        <v>548</v>
      </c>
      <c r="CM208" s="29" t="s">
        <v>550</v>
      </c>
      <c r="CN208" s="29">
        <v>0.25</v>
      </c>
      <c r="CO208" s="29">
        <v>0.25</v>
      </c>
      <c r="CP208" s="29"/>
      <c r="CQ208" s="29" t="s">
        <v>546</v>
      </c>
      <c r="CR208" s="29">
        <v>1</v>
      </c>
      <c r="CS208" s="29">
        <v>18</v>
      </c>
      <c r="CT208" s="29" t="s">
        <v>551</v>
      </c>
      <c r="CU208" s="30">
        <v>4.32</v>
      </c>
      <c r="CV208" s="29"/>
      <c r="CW208" s="29">
        <v>999</v>
      </c>
      <c r="CX208" s="29" t="s">
        <v>551</v>
      </c>
      <c r="CY208" s="62"/>
      <c r="CZ208" s="29">
        <v>2</v>
      </c>
      <c r="DA208" s="29">
        <v>12</v>
      </c>
      <c r="DB208" s="29" t="s">
        <v>551</v>
      </c>
      <c r="DC208" s="62">
        <v>1.44</v>
      </c>
      <c r="DD208" s="29" t="s">
        <v>546</v>
      </c>
      <c r="DE208" s="29" t="s">
        <v>546</v>
      </c>
      <c r="DF208" s="29" t="s">
        <v>546</v>
      </c>
      <c r="DG208" s="29" t="s">
        <v>546</v>
      </c>
      <c r="DH208" s="29" t="s">
        <v>546</v>
      </c>
      <c r="DI208" s="29">
        <v>0</v>
      </c>
      <c r="DJ208" s="29">
        <v>2</v>
      </c>
      <c r="DK208" s="29" t="s">
        <v>589</v>
      </c>
      <c r="DL208" s="29" t="s">
        <v>590</v>
      </c>
      <c r="DM208" s="29">
        <v>-4.2328548431396484</v>
      </c>
      <c r="DN208" s="29">
        <v>35.877830505371094</v>
      </c>
      <c r="DO208" s="29">
        <v>1275.9000244140625</v>
      </c>
      <c r="DP208" s="29">
        <v>5</v>
      </c>
      <c r="DQ208" s="29">
        <v>1706031849</v>
      </c>
      <c r="DR208" s="29" t="s">
        <v>591</v>
      </c>
      <c r="DS208" s="31">
        <v>42907.823993055557</v>
      </c>
      <c r="DT208" s="31">
        <v>42907.571909722217</v>
      </c>
      <c r="DU208" s="31">
        <v>42907.581388888888</v>
      </c>
      <c r="DV208" s="32">
        <v>42775</v>
      </c>
      <c r="DW208" s="29"/>
      <c r="DX208" s="44">
        <v>5.3837398373983749</v>
      </c>
      <c r="DY208" s="44">
        <v>6.2647154471544715</v>
      </c>
      <c r="DZ208" s="44">
        <v>9.188075396825397</v>
      </c>
      <c r="EA208" s="44">
        <v>9.0029563492063502</v>
      </c>
      <c r="EB208" s="29">
        <v>6</v>
      </c>
      <c r="EC208" s="29" t="str">
        <f>IF(EQ208&lt;EP208,"FALSEE",1)</f>
        <v>FALSEE</v>
      </c>
      <c r="ED208" s="29"/>
      <c r="EE208" s="29" t="s">
        <v>2171</v>
      </c>
      <c r="EF208" s="29">
        <v>2.2400188445999998</v>
      </c>
      <c r="EG208" s="29" t="str">
        <f>IF(EF208&lt;0.5,"Depression",IF(EF208&lt;2,"Very gentle",IF(EF208&lt;5,"Gentle",IF(EF208&lt;9,"Moderate",IF(EF208&lt;15,"Strong",IF(EF208&lt;30,"Steep",IF(EF208&lt;1,"Very steep")))))))</f>
        <v>Gentle</v>
      </c>
      <c r="EH208" s="29" t="s">
        <v>2173</v>
      </c>
      <c r="EI208" s="29">
        <v>0.18129228055499999</v>
      </c>
      <c r="EJ208" s="43">
        <v>8.0240240096999997</v>
      </c>
      <c r="EK208" s="43">
        <f>VLOOKUP(D208,[1]SoilData!$G$15:$K$237,5,FALSE)</f>
        <v>109.51937816509624</v>
      </c>
      <c r="EL208" s="43"/>
      <c r="EM208" s="43">
        <f>VLOOKUP(D208,[1]SoilData!$G$15:$M$238,7,FALSE)</f>
        <v>0.85299999999999998</v>
      </c>
      <c r="EN208" s="43"/>
      <c r="EO208" s="60"/>
      <c r="EP208" s="44">
        <f>AVERAGE(DZ208:EA208)</f>
        <v>9.0955158730158736</v>
      </c>
      <c r="EQ208" s="44">
        <f>AVERAGE(DX208:DY208)</f>
        <v>5.8242276422764228</v>
      </c>
      <c r="ER208" s="43">
        <f>EQ208-EP208</f>
        <v>-3.2712882307394509</v>
      </c>
      <c r="ES208" s="64">
        <f>IF(CU208&gt;0.000001,CU208*352,0)</f>
        <v>1520.64</v>
      </c>
      <c r="ET208" s="64">
        <f>IF(DC208&gt;0.0001,DC208*682,0)</f>
        <v>982.07999999999993</v>
      </c>
      <c r="EU208" s="64">
        <f>CY208*795</f>
        <v>0</v>
      </c>
      <c r="EV208" s="64">
        <f>ES208+ET208+EU208</f>
        <v>2502.7200000000003</v>
      </c>
      <c r="EW208" s="64">
        <f>IF(AA208="YES",3.5*18.2,0)</f>
        <v>0</v>
      </c>
      <c r="EX208" s="64">
        <f>EV208-EW208</f>
        <v>2502.7200000000003</v>
      </c>
    </row>
    <row r="209" spans="1:154" ht="15" x14ac:dyDescent="0.2">
      <c r="A209" s="29" t="s">
        <v>556</v>
      </c>
      <c r="B209" s="29">
        <v>193</v>
      </c>
      <c r="C209" s="29" t="s">
        <v>349</v>
      </c>
      <c r="D209" s="29" t="s">
        <v>349</v>
      </c>
      <c r="E209" s="29" t="str">
        <f>VLOOKUP(D209,Harvest_2017_Formulae!$C$2:$D$968,2,FALSE)</f>
        <v>ENDANOGA</v>
      </c>
      <c r="F209" s="29" t="s">
        <v>843</v>
      </c>
      <c r="G209" s="29">
        <v>0</v>
      </c>
      <c r="H209" s="61" t="str">
        <f>IF(G209&lt;0.05,"Homefield",IF(G209&lt;0.5,"Midfield","outfield"))</f>
        <v>Homefield</v>
      </c>
      <c r="I209" s="29" t="s">
        <v>557</v>
      </c>
      <c r="J209" s="61" t="s">
        <v>2233</v>
      </c>
      <c r="K209" s="61" t="s">
        <v>2233</v>
      </c>
      <c r="L209" s="67">
        <v>0</v>
      </c>
      <c r="O209" s="29" t="s">
        <v>547</v>
      </c>
      <c r="Q209" s="67">
        <v>1</v>
      </c>
      <c r="R209" s="29" t="s">
        <v>558</v>
      </c>
      <c r="S209" s="29">
        <v>18</v>
      </c>
      <c r="T209" s="29" t="s">
        <v>559</v>
      </c>
      <c r="U209" s="29" t="s">
        <v>560</v>
      </c>
      <c r="W209" s="29" t="s">
        <v>561</v>
      </c>
      <c r="Y209" s="29">
        <v>6000</v>
      </c>
      <c r="Z209" s="29" t="s">
        <v>547</v>
      </c>
      <c r="AA209" s="61" t="s">
        <v>548</v>
      </c>
      <c r="AB209" s="29" t="s">
        <v>568</v>
      </c>
      <c r="AC209" s="67">
        <v>0</v>
      </c>
      <c r="AD209" s="29" t="s">
        <v>547</v>
      </c>
      <c r="AF209" s="29" t="s">
        <v>547</v>
      </c>
      <c r="AG209" s="29" t="s">
        <v>547</v>
      </c>
      <c r="AH209" s="29" t="s">
        <v>548</v>
      </c>
      <c r="AI209" s="29" t="s">
        <v>546</v>
      </c>
      <c r="AJ209" s="29" t="s">
        <v>547</v>
      </c>
      <c r="AK209" s="67">
        <v>0</v>
      </c>
      <c r="AL209" s="29" t="s">
        <v>547</v>
      </c>
      <c r="AO209" s="29" t="s">
        <v>547</v>
      </c>
      <c r="AP209" s="29" t="s">
        <v>547</v>
      </c>
      <c r="AQ209" s="4">
        <f>Q209+AK209</f>
        <v>1</v>
      </c>
      <c r="AR209" s="4">
        <f>L209+AC209</f>
        <v>0</v>
      </c>
      <c r="AS209" t="str">
        <f>AQ209&amp;AR209</f>
        <v>10</v>
      </c>
      <c r="AT209" s="49">
        <f>AQ209-AR209</f>
        <v>1</v>
      </c>
      <c r="AU209">
        <v>2</v>
      </c>
      <c r="AV209" s="29" t="s">
        <v>548</v>
      </c>
      <c r="AW209" s="29">
        <v>4.5</v>
      </c>
      <c r="AX209" s="29" t="s">
        <v>548</v>
      </c>
      <c r="AY209" s="29">
        <v>4</v>
      </c>
      <c r="AZ209" s="29">
        <v>7</v>
      </c>
      <c r="BA209" s="29" t="s">
        <v>546</v>
      </c>
      <c r="BB209" s="29" t="s">
        <v>547</v>
      </c>
      <c r="BD209" s="29">
        <f>AW209+AZ209</f>
        <v>11.5</v>
      </c>
      <c r="BE209" s="29">
        <f>BD209+BC209</f>
        <v>11.5</v>
      </c>
      <c r="BF209" s="29" t="s">
        <v>548</v>
      </c>
      <c r="BG209" s="29" t="s">
        <v>548</v>
      </c>
      <c r="BH209" s="29" t="s">
        <v>548</v>
      </c>
      <c r="BI209" s="29" t="s">
        <v>548</v>
      </c>
      <c r="BJ209" s="29" t="s">
        <v>546</v>
      </c>
      <c r="BK209" s="29" t="s">
        <v>546</v>
      </c>
      <c r="BL209" s="29">
        <v>25</v>
      </c>
      <c r="BM209" s="29" t="s">
        <v>549</v>
      </c>
      <c r="BN209" s="29">
        <v>7</v>
      </c>
      <c r="BO209" s="29" t="s">
        <v>549</v>
      </c>
      <c r="BP209" s="29">
        <v>12</v>
      </c>
      <c r="BQ209" s="29" t="s">
        <v>549</v>
      </c>
      <c r="BR209" s="29">
        <v>4</v>
      </c>
      <c r="BS209" s="29" t="s">
        <v>549</v>
      </c>
      <c r="BU209" s="29" t="s">
        <v>547</v>
      </c>
      <c r="BW209" s="29">
        <f>(BL209*1)+(BN209*0.1)+(BP209*0.01)+(BR209*0.1)+(BT209*0.3)+(BV209*0.4)</f>
        <v>26.22</v>
      </c>
      <c r="BX209" s="29" t="s">
        <v>2221</v>
      </c>
      <c r="BY209" s="29">
        <v>3</v>
      </c>
      <c r="BZ209" s="29">
        <v>3</v>
      </c>
      <c r="CA209" s="29">
        <v>7</v>
      </c>
      <c r="CB209" s="29">
        <v>13</v>
      </c>
      <c r="CC209" s="29">
        <v>0</v>
      </c>
      <c r="CD209" s="29">
        <v>0</v>
      </c>
      <c r="CE209" s="29">
        <v>2</v>
      </c>
      <c r="CF209" s="29" t="s">
        <v>547</v>
      </c>
      <c r="CG209" s="29">
        <f>(CC209*15)+(CD209*0.8)+(CE209*0.3)+((AW209+AZ209)*15)</f>
        <v>173.1</v>
      </c>
      <c r="CH209" s="29" t="s">
        <v>2221</v>
      </c>
      <c r="CI209" s="29">
        <f>(BL209*1)+(BN209*0.1)+(BP209*0.01)+(BR209*0.1)+(BT209*0.3)+(BV209*0.4)+(CC209*15)+(CD209*0.8)+(CE209*0.3)+((AW209+AZ209)*15)</f>
        <v>199.32</v>
      </c>
      <c r="CJ209" s="29" t="s">
        <v>546</v>
      </c>
      <c r="CK209" s="29" t="s">
        <v>547</v>
      </c>
      <c r="CL209" s="29" t="s">
        <v>548</v>
      </c>
      <c r="CM209" s="29" t="s">
        <v>550</v>
      </c>
      <c r="CN209" s="29">
        <v>0.25</v>
      </c>
      <c r="CO209" s="29">
        <v>4.25</v>
      </c>
      <c r="CQ209" s="29" t="s">
        <v>548</v>
      </c>
      <c r="CR209" s="29">
        <v>4.5</v>
      </c>
      <c r="CS209" s="29">
        <v>32</v>
      </c>
      <c r="CT209" s="29" t="s">
        <v>551</v>
      </c>
      <c r="CU209" s="30">
        <v>1.7066666666666668</v>
      </c>
      <c r="CW209" s="29">
        <v>999</v>
      </c>
      <c r="CX209" s="29" t="s">
        <v>551</v>
      </c>
      <c r="CY209" s="62"/>
      <c r="CZ209" s="29">
        <v>4.5</v>
      </c>
      <c r="DA209" s="29">
        <v>6</v>
      </c>
      <c r="DB209" s="29" t="s">
        <v>551</v>
      </c>
      <c r="DC209" s="62">
        <v>0.32</v>
      </c>
      <c r="DD209" s="29" t="s">
        <v>548</v>
      </c>
      <c r="DE209" s="29" t="s">
        <v>548</v>
      </c>
      <c r="DF209" s="29" t="s">
        <v>548</v>
      </c>
      <c r="DG209" s="29" t="s">
        <v>548</v>
      </c>
      <c r="DH209" s="29" t="s">
        <v>548</v>
      </c>
      <c r="DI209" s="29">
        <v>5</v>
      </c>
      <c r="DJ209" s="29">
        <v>3</v>
      </c>
      <c r="DK209" s="29" t="s">
        <v>875</v>
      </c>
      <c r="DL209" s="29" t="s">
        <v>876</v>
      </c>
      <c r="DM209" s="29">
        <v>-4.2804141044616699</v>
      </c>
      <c r="DN209" s="29">
        <v>35.863021850585938</v>
      </c>
      <c r="DO209" s="29">
        <v>1295.300048828125</v>
      </c>
      <c r="DP209" s="29">
        <v>5</v>
      </c>
      <c r="DQ209" s="29">
        <v>1706031849</v>
      </c>
      <c r="DR209" s="29" t="s">
        <v>877</v>
      </c>
      <c r="DS209" s="31">
        <v>42940.36010416667</v>
      </c>
      <c r="DT209" s="31">
        <v>42924.631782407407</v>
      </c>
      <c r="DU209" s="31">
        <v>42924.637835648144</v>
      </c>
      <c r="DV209" s="32">
        <v>42789</v>
      </c>
      <c r="DX209" s="44">
        <v>5.3421280602636543</v>
      </c>
      <c r="DY209" s="44">
        <v>4.7811111111111115</v>
      </c>
      <c r="DZ209" s="44">
        <v>3.7775111111111119</v>
      </c>
      <c r="EA209" s="44">
        <v>4.6106666666666669</v>
      </c>
      <c r="EC209" s="29">
        <f>IF(EQ209&lt;EP209,"FALSEE",1)</f>
        <v>1</v>
      </c>
      <c r="EE209" s="29" t="s">
        <v>2171</v>
      </c>
      <c r="EF209" s="29">
        <v>1.96835184097</v>
      </c>
      <c r="EG209" s="29" t="str">
        <f>IF(EF209&lt;0.5,"Depression",IF(EF209&lt;2,"Very gentle",IF(EF209&lt;5,"Gentle",IF(EF209&lt;9,"Moderate",IF(EF209&lt;15,"Strong",IF(EF209&lt;30,"Steep",IF(EF209&lt;1,"Very steep")))))))</f>
        <v>Very gentle</v>
      </c>
      <c r="EH209" s="29" t="s">
        <v>2173</v>
      </c>
      <c r="EI209" s="29">
        <v>-0.18127532303300001</v>
      </c>
      <c r="EJ209" s="43">
        <v>11.303222656299999</v>
      </c>
      <c r="EK209" s="43">
        <f>VLOOKUP(D209,[1]SoilData!$G$15:$K$237,5,FALSE)</f>
        <v>1042.9127802766411</v>
      </c>
      <c r="EL209" s="43">
        <f>VLOOKUP(D209,[1]SoilData!$G$245:$K$451,5,FALSE)</f>
        <v>1233.7944739423046</v>
      </c>
      <c r="EM209" s="43">
        <f>VLOOKUP(D209,[1]SoilData!$G$15:$M$238,7,FALSE)</f>
        <v>1.504</v>
      </c>
      <c r="EN209" s="43">
        <f>VLOOKUP(D209,[1]SoilData!$G$245:$M$454,7,FALSE)</f>
        <v>2.4780000000000002</v>
      </c>
      <c r="EO209" s="60">
        <f>EM209-EN209</f>
        <v>-0.9740000000000002</v>
      </c>
      <c r="EP209" s="44">
        <f>AVERAGE(DZ209:EA209)</f>
        <v>4.1940888888888894</v>
      </c>
      <c r="EQ209" s="44">
        <f>AVERAGE(DX209:DY209)</f>
        <v>5.0616195856873833</v>
      </c>
      <c r="ER209" s="43">
        <f>EQ209-EP209</f>
        <v>0.86753069679849393</v>
      </c>
      <c r="ES209" s="64">
        <f>IF(CU209&gt;0.000001,CU209*352,0)</f>
        <v>600.74666666666667</v>
      </c>
      <c r="ET209" s="64">
        <f>IF(DC209&gt;0.0001,DC209*682,0)</f>
        <v>218.24</v>
      </c>
      <c r="EU209" s="64">
        <f>CY209*795</f>
        <v>0</v>
      </c>
      <c r="EV209" s="64">
        <f>ES209+ET209+EU209</f>
        <v>818.98666666666668</v>
      </c>
      <c r="EW209" s="64">
        <f>IF(AA209="YES",3.5*18.2,0)</f>
        <v>63.699999999999996</v>
      </c>
      <c r="EX209" s="64">
        <f>EV209-EW209</f>
        <v>755.28666666666663</v>
      </c>
    </row>
    <row r="210" spans="1:154" ht="15" x14ac:dyDescent="0.2">
      <c r="A210" s="29" t="s">
        <v>789</v>
      </c>
      <c r="B210" s="29">
        <v>80</v>
      </c>
      <c r="C210" s="29" t="s">
        <v>1088</v>
      </c>
      <c r="D210" s="29" t="s">
        <v>194</v>
      </c>
      <c r="E210" s="29" t="str">
        <f>VLOOKUP(D210,Harvest_2017_Formulae!$C$2:$D$968,2,FALSE)</f>
        <v>MANDI</v>
      </c>
      <c r="F210" s="29" t="s">
        <v>1014</v>
      </c>
      <c r="G210" s="29">
        <v>0.30000001192092896</v>
      </c>
      <c r="H210" s="61" t="str">
        <f>IF(G210&lt;0.05,"Homefield",IF(G210&lt;0.5,"Midfield","outfield"))</f>
        <v>Midfield</v>
      </c>
      <c r="I210" s="29" t="s">
        <v>557</v>
      </c>
      <c r="J210" s="61" t="s">
        <v>2233</v>
      </c>
      <c r="K210" s="61" t="s">
        <v>2233</v>
      </c>
      <c r="L210" s="67">
        <v>0</v>
      </c>
      <c r="O210" s="29" t="s">
        <v>547</v>
      </c>
      <c r="Q210" s="67">
        <v>1</v>
      </c>
      <c r="R210" s="29" t="s">
        <v>791</v>
      </c>
      <c r="S210" s="29">
        <v>4</v>
      </c>
      <c r="T210" s="29">
        <v>2</v>
      </c>
      <c r="U210" s="29" t="s">
        <v>560</v>
      </c>
      <c r="W210" s="29" t="s">
        <v>561</v>
      </c>
      <c r="Y210" s="29">
        <v>15000</v>
      </c>
      <c r="Z210" s="29" t="s">
        <v>547</v>
      </c>
      <c r="AA210" s="61" t="s">
        <v>548</v>
      </c>
      <c r="AB210" s="29" t="s">
        <v>568</v>
      </c>
      <c r="AC210" s="67">
        <v>0</v>
      </c>
      <c r="AD210" s="29" t="s">
        <v>547</v>
      </c>
      <c r="AF210" s="29" t="s">
        <v>547</v>
      </c>
      <c r="AG210" s="29" t="s">
        <v>547</v>
      </c>
      <c r="AH210" s="29" t="s">
        <v>548</v>
      </c>
      <c r="AI210" s="29" t="s">
        <v>546</v>
      </c>
      <c r="AK210" s="67">
        <v>0</v>
      </c>
      <c r="AL210" s="29" t="s">
        <v>547</v>
      </c>
      <c r="AO210" s="29" t="s">
        <v>547</v>
      </c>
      <c r="AP210" s="29" t="s">
        <v>547</v>
      </c>
      <c r="AQ210" s="4">
        <f>Q210+AK210</f>
        <v>1</v>
      </c>
      <c r="AR210" s="4">
        <f>L210+AC210</f>
        <v>0</v>
      </c>
      <c r="AS210" t="str">
        <f>AQ210&amp;AR210</f>
        <v>10</v>
      </c>
      <c r="AT210" s="49">
        <f>AQ210-AR210</f>
        <v>1</v>
      </c>
      <c r="AU210">
        <v>2</v>
      </c>
      <c r="AV210" s="29" t="s">
        <v>548</v>
      </c>
      <c r="AW210" s="29">
        <v>1</v>
      </c>
      <c r="AX210" s="29" t="s">
        <v>548</v>
      </c>
      <c r="AY210" s="29">
        <v>4</v>
      </c>
      <c r="AZ210" s="29">
        <v>5</v>
      </c>
      <c r="BA210" s="29" t="s">
        <v>548</v>
      </c>
      <c r="BB210" s="29" t="s">
        <v>569</v>
      </c>
      <c r="BC210" s="29">
        <v>8</v>
      </c>
      <c r="BD210" s="29">
        <f>AW210+AZ210</f>
        <v>6</v>
      </c>
      <c r="BE210" s="29">
        <f>BD210+BC210</f>
        <v>14</v>
      </c>
      <c r="BF210" s="29" t="s">
        <v>548</v>
      </c>
      <c r="BG210" s="29" t="s">
        <v>548</v>
      </c>
      <c r="BH210" s="29" t="s">
        <v>548</v>
      </c>
      <c r="BI210" s="29" t="s">
        <v>548</v>
      </c>
      <c r="BJ210" s="29" t="s">
        <v>548</v>
      </c>
      <c r="BK210" s="29" t="s">
        <v>546</v>
      </c>
      <c r="BL210" s="29">
        <v>20</v>
      </c>
      <c r="BM210" s="29" t="s">
        <v>549</v>
      </c>
      <c r="BN210" s="29">
        <v>50</v>
      </c>
      <c r="BO210" s="29" t="s">
        <v>580</v>
      </c>
      <c r="BP210" s="29">
        <v>20</v>
      </c>
      <c r="BQ210" s="29" t="s">
        <v>580</v>
      </c>
      <c r="BR210" s="29">
        <v>20</v>
      </c>
      <c r="BS210" s="29" t="s">
        <v>580</v>
      </c>
      <c r="BT210" s="29">
        <v>1</v>
      </c>
      <c r="BU210" s="29" t="s">
        <v>562</v>
      </c>
      <c r="BW210" s="29">
        <f>(BL210*1)+(BN210*0.1)+(BP210*0.01)+(BR210*0.1)+(BT210*0.3)+(BV210*0.4)</f>
        <v>27.5</v>
      </c>
      <c r="BX210" s="29" t="s">
        <v>2221</v>
      </c>
      <c r="BY210" s="29">
        <v>1</v>
      </c>
      <c r="BZ210" s="29">
        <v>2</v>
      </c>
      <c r="CA210" s="29">
        <v>3</v>
      </c>
      <c r="CB210" s="29">
        <v>6</v>
      </c>
      <c r="CC210" s="29">
        <v>0</v>
      </c>
      <c r="CD210" s="29">
        <v>1</v>
      </c>
      <c r="CE210" s="29">
        <v>1</v>
      </c>
      <c r="CG210" s="29">
        <f>(CC210*15)+(CD210*0.8)+(CE210*0.3)+((AW210+AZ210)*15)</f>
        <v>91.1</v>
      </c>
      <c r="CH210" s="29" t="s">
        <v>2221</v>
      </c>
      <c r="CI210" s="29">
        <f>(BL210*1)+(BN210*0.1)+(BP210*0.01)+(BR210*0.1)+(BT210*0.3)+(BV210*0.4)+(CC210*15)+(CD210*0.8)+(CE210*0.3)+((AW210+AZ210)*15)</f>
        <v>118.6</v>
      </c>
      <c r="CJ210" s="29" t="s">
        <v>548</v>
      </c>
      <c r="CK210" s="29" t="s">
        <v>1089</v>
      </c>
      <c r="CL210" s="29" t="s">
        <v>548</v>
      </c>
      <c r="CM210" s="29" t="s">
        <v>793</v>
      </c>
      <c r="CN210" s="29">
        <v>0.25</v>
      </c>
      <c r="CO210" s="29">
        <v>7.25</v>
      </c>
      <c r="CP210" s="29">
        <v>0</v>
      </c>
      <c r="CQ210" s="29" t="s">
        <v>548</v>
      </c>
      <c r="CR210" s="29">
        <v>1</v>
      </c>
      <c r="CS210" s="29">
        <v>15</v>
      </c>
      <c r="CT210" s="29" t="s">
        <v>551</v>
      </c>
      <c r="CU210" s="30">
        <v>3.5999999999999996</v>
      </c>
      <c r="CV210" s="29">
        <v>1</v>
      </c>
      <c r="CW210" s="29">
        <v>3</v>
      </c>
      <c r="CX210" s="29" t="s">
        <v>551</v>
      </c>
      <c r="CY210" s="62">
        <v>0.72</v>
      </c>
      <c r="CZ210" s="29">
        <v>1</v>
      </c>
      <c r="DA210" s="29">
        <v>0</v>
      </c>
      <c r="DB210" s="29" t="s">
        <v>551</v>
      </c>
      <c r="DC210" s="62">
        <v>0</v>
      </c>
      <c r="DD210" s="29" t="s">
        <v>546</v>
      </c>
      <c r="DE210" s="29" t="s">
        <v>548</v>
      </c>
      <c r="DF210" s="29" t="s">
        <v>546</v>
      </c>
      <c r="DG210" s="29" t="s">
        <v>546</v>
      </c>
      <c r="DH210" s="29" t="s">
        <v>546</v>
      </c>
      <c r="DI210" s="29">
        <v>1</v>
      </c>
      <c r="DJ210" s="29">
        <v>4</v>
      </c>
      <c r="DK210" s="29" t="s">
        <v>1090</v>
      </c>
      <c r="DL210" s="29" t="s">
        <v>1091</v>
      </c>
      <c r="DM210" s="29">
        <v>-4.331390380859375</v>
      </c>
      <c r="DN210" s="29">
        <v>35.444061279296875</v>
      </c>
      <c r="DO210" s="29">
        <v>1547.800048828125</v>
      </c>
      <c r="DP210" s="29">
        <v>10</v>
      </c>
      <c r="DQ210" s="29">
        <v>1705231439</v>
      </c>
      <c r="DR210" s="29" t="s">
        <v>1092</v>
      </c>
      <c r="DS210" s="31">
        <v>42923.387129629627</v>
      </c>
      <c r="DT210" s="31">
        <v>42907.452303240745</v>
      </c>
      <c r="DU210" s="31">
        <v>42923.383032407408</v>
      </c>
      <c r="DV210" s="32">
        <v>42775</v>
      </c>
      <c r="DX210" s="44">
        <v>3.4831746031746036</v>
      </c>
      <c r="DY210" s="44">
        <v>2.5119047619047619</v>
      </c>
      <c r="DZ210" s="44">
        <v>2.3957142857142864</v>
      </c>
      <c r="EA210" s="44">
        <v>2.180714285714286</v>
      </c>
      <c r="EC210" s="29">
        <f>IF(EQ210&lt;EP210,"FALSEE",1)</f>
        <v>1</v>
      </c>
      <c r="EE210" s="29" t="s">
        <v>2171</v>
      </c>
      <c r="EF210" s="29">
        <v>0</v>
      </c>
      <c r="EG210" s="29" t="str">
        <f>IF(EF210&lt;0.5,"Depression",IF(EF210&lt;2,"Very gentle",IF(EF210&lt;5,"Gentle",IF(EF210&lt;9,"Moderate",IF(EF210&lt;15,"Strong",IF(EF210&lt;30,"Steep",IF(EF210&lt;1,"Very steep")))))))</f>
        <v>Depression</v>
      </c>
      <c r="EH210" s="29" t="s">
        <v>2173</v>
      </c>
      <c r="EI210" s="29">
        <v>8.4776775111099995E-6</v>
      </c>
      <c r="EJ210" s="43">
        <v>11.4374370575</v>
      </c>
      <c r="EK210" s="43">
        <f>VLOOKUP(D210,[1]SoilData!$G$15:$K$237,5,FALSE)</f>
        <v>306.64434920787807</v>
      </c>
      <c r="EL210" s="43"/>
      <c r="EM210" s="43">
        <f>VLOOKUP(D210,[1]SoilData!$G$15:$M$238,7,FALSE)</f>
        <v>1.712</v>
      </c>
      <c r="EN210" s="43"/>
      <c r="EO210" s="60"/>
      <c r="EP210" s="44">
        <f>AVERAGE(DZ210:EA210)</f>
        <v>2.288214285714286</v>
      </c>
      <c r="EQ210" s="44">
        <f>AVERAGE(DX210:DY210)</f>
        <v>2.9975396825396827</v>
      </c>
      <c r="ER210" s="43">
        <f>EQ210-EP210</f>
        <v>0.70932539682539675</v>
      </c>
      <c r="ES210" s="64">
        <f>IF(CU210&gt;0.000001,CU210*352,0)</f>
        <v>1267.1999999999998</v>
      </c>
      <c r="ET210" s="64">
        <f>IF(DC210&gt;0.0001,DC210*682,0)</f>
        <v>0</v>
      </c>
      <c r="EU210" s="64">
        <f>CY210*795</f>
        <v>572.4</v>
      </c>
      <c r="EV210" s="64">
        <f>ES210+ET210+EU210</f>
        <v>1839.6</v>
      </c>
      <c r="EW210" s="64">
        <f>IF(AA210="YES",3.5*18.2,0)</f>
        <v>63.699999999999996</v>
      </c>
      <c r="EX210" s="64">
        <f>EV210-EW210</f>
        <v>1775.8999999999999</v>
      </c>
    </row>
    <row r="211" spans="1:154" ht="15" x14ac:dyDescent="0.2">
      <c r="A211" s="29" t="s">
        <v>789</v>
      </c>
      <c r="B211" s="29">
        <v>56</v>
      </c>
      <c r="C211" s="29" t="s">
        <v>365</v>
      </c>
      <c r="D211" s="29" t="s">
        <v>365</v>
      </c>
      <c r="E211" s="29" t="str">
        <f>VLOOKUP(D211,Harvest_2017_Formulae!$C$2:$D$968,2,FALSE)</f>
        <v>MANDI</v>
      </c>
      <c r="F211" s="29" t="s">
        <v>1014</v>
      </c>
      <c r="G211" s="29">
        <v>0</v>
      </c>
      <c r="H211" s="61" t="str">
        <f>IF(G211&lt;0.05,"Homefield",IF(G211&lt;0.5,"Midfield","outfield"))</f>
        <v>Homefield</v>
      </c>
      <c r="I211" s="29" t="s">
        <v>557</v>
      </c>
      <c r="J211" s="61" t="s">
        <v>2233</v>
      </c>
      <c r="K211" s="61" t="s">
        <v>2233</v>
      </c>
      <c r="L211" s="67">
        <v>0</v>
      </c>
      <c r="O211" s="29" t="s">
        <v>547</v>
      </c>
      <c r="Q211" s="67">
        <v>1</v>
      </c>
      <c r="R211" s="29" t="s">
        <v>615</v>
      </c>
      <c r="S211" s="29">
        <v>9</v>
      </c>
      <c r="T211" s="29">
        <v>2</v>
      </c>
      <c r="U211" s="29" t="s">
        <v>560</v>
      </c>
      <c r="W211" s="29" t="s">
        <v>635</v>
      </c>
      <c r="Y211" s="29">
        <v>7000</v>
      </c>
      <c r="Z211" s="29" t="s">
        <v>547</v>
      </c>
      <c r="AA211" s="61" t="s">
        <v>548</v>
      </c>
      <c r="AB211" s="29" t="s">
        <v>568</v>
      </c>
      <c r="AC211" s="67">
        <v>0</v>
      </c>
      <c r="AD211" s="29" t="s">
        <v>547</v>
      </c>
      <c r="AF211" s="29" t="s">
        <v>547</v>
      </c>
      <c r="AG211" s="29" t="s">
        <v>547</v>
      </c>
      <c r="AH211" s="29" t="s">
        <v>548</v>
      </c>
      <c r="AI211" s="29" t="s">
        <v>546</v>
      </c>
      <c r="AK211" s="67">
        <v>0</v>
      </c>
      <c r="AL211" s="29" t="s">
        <v>547</v>
      </c>
      <c r="AO211" s="29" t="s">
        <v>547</v>
      </c>
      <c r="AP211" s="29" t="s">
        <v>547</v>
      </c>
      <c r="AQ211" s="4">
        <f>Q211+AK211</f>
        <v>1</v>
      </c>
      <c r="AR211" s="4">
        <f>L211+AC211</f>
        <v>0</v>
      </c>
      <c r="AS211" t="str">
        <f>AQ211&amp;AR211</f>
        <v>10</v>
      </c>
      <c r="AT211" s="49">
        <f>AQ211-AR211</f>
        <v>1</v>
      </c>
      <c r="AU211">
        <v>2</v>
      </c>
      <c r="AV211" s="29" t="s">
        <v>548</v>
      </c>
      <c r="AW211" s="29">
        <v>4</v>
      </c>
      <c r="AX211" s="29" t="s">
        <v>548</v>
      </c>
      <c r="AY211" s="29">
        <v>3</v>
      </c>
      <c r="AZ211" s="29">
        <v>17</v>
      </c>
      <c r="BA211" s="29" t="s">
        <v>546</v>
      </c>
      <c r="BB211" s="29" t="s">
        <v>547</v>
      </c>
      <c r="BD211" s="29">
        <f>AW211+AZ211</f>
        <v>21</v>
      </c>
      <c r="BE211" s="29">
        <f>BD211+BC211</f>
        <v>21</v>
      </c>
      <c r="BF211" s="29" t="s">
        <v>548</v>
      </c>
      <c r="BG211" s="29" t="s">
        <v>548</v>
      </c>
      <c r="BH211" s="29" t="s">
        <v>548</v>
      </c>
      <c r="BI211" s="29" t="s">
        <v>548</v>
      </c>
      <c r="BJ211" s="29" t="s">
        <v>546</v>
      </c>
      <c r="BK211" s="29" t="s">
        <v>546</v>
      </c>
      <c r="BL211" s="29">
        <v>30</v>
      </c>
      <c r="BM211" s="29" t="s">
        <v>580</v>
      </c>
      <c r="BN211" s="29">
        <v>10</v>
      </c>
      <c r="BO211" s="29" t="s">
        <v>580</v>
      </c>
      <c r="BP211" s="29">
        <v>5</v>
      </c>
      <c r="BQ211" s="29" t="s">
        <v>580</v>
      </c>
      <c r="BR211" s="29">
        <v>10</v>
      </c>
      <c r="BS211" s="29" t="s">
        <v>580</v>
      </c>
      <c r="BU211" s="29" t="s">
        <v>547</v>
      </c>
      <c r="BW211" s="29">
        <f>(BL211*1)+(BN211*0.1)+(BP211*0.01)+(BR211*0.1)+(BT211*0.3)+(BV211*0.4)</f>
        <v>32.049999999999997</v>
      </c>
      <c r="BX211" s="29" t="s">
        <v>2221</v>
      </c>
      <c r="BY211" s="29">
        <v>3</v>
      </c>
      <c r="BZ211" s="29">
        <v>1</v>
      </c>
      <c r="CA211" s="29">
        <v>4</v>
      </c>
      <c r="CB211" s="29">
        <v>8</v>
      </c>
      <c r="CC211" s="29">
        <v>0</v>
      </c>
      <c r="CD211" s="29">
        <v>1</v>
      </c>
      <c r="CE211" s="29">
        <v>1</v>
      </c>
      <c r="CG211" s="29">
        <f>(CC211*15)+(CD211*0.8)+(CE211*0.3)+((AW211+AZ211)*15)</f>
        <v>316.10000000000002</v>
      </c>
      <c r="CH211" s="29" t="s">
        <v>2221</v>
      </c>
      <c r="CI211" s="29">
        <f>(BL211*1)+(BN211*0.1)+(BP211*0.01)+(BR211*0.1)+(BT211*0.3)+(BV211*0.4)+(CC211*15)+(CD211*0.8)+(CE211*0.3)+((AW211+AZ211)*15)</f>
        <v>348.15</v>
      </c>
      <c r="CJ211" s="29" t="s">
        <v>548</v>
      </c>
      <c r="CK211" s="29" t="s">
        <v>1058</v>
      </c>
      <c r="CL211" s="29" t="s">
        <v>548</v>
      </c>
      <c r="CM211" s="29" t="s">
        <v>550</v>
      </c>
      <c r="CN211" s="29">
        <v>2.25</v>
      </c>
      <c r="CO211" s="29">
        <v>14.75</v>
      </c>
      <c r="CP211" s="29">
        <v>0</v>
      </c>
      <c r="CQ211" s="29" t="s">
        <v>548</v>
      </c>
      <c r="CR211" s="29">
        <v>1</v>
      </c>
      <c r="CS211" s="29">
        <v>10</v>
      </c>
      <c r="CT211" s="29" t="s">
        <v>551</v>
      </c>
      <c r="CU211" s="30">
        <v>2.4</v>
      </c>
      <c r="CV211" s="29">
        <v>1</v>
      </c>
      <c r="CW211" s="29">
        <v>1</v>
      </c>
      <c r="CX211" s="29" t="s">
        <v>551</v>
      </c>
      <c r="CY211" s="62">
        <v>0.24</v>
      </c>
      <c r="CZ211" s="29">
        <v>1</v>
      </c>
      <c r="DA211" s="29">
        <v>0</v>
      </c>
      <c r="DB211" s="29" t="s">
        <v>551</v>
      </c>
      <c r="DC211" s="62">
        <v>0</v>
      </c>
      <c r="DD211" s="29" t="s">
        <v>548</v>
      </c>
      <c r="DE211" s="29" t="s">
        <v>548</v>
      </c>
      <c r="DF211" s="29" t="s">
        <v>548</v>
      </c>
      <c r="DG211" s="29" t="s">
        <v>548</v>
      </c>
      <c r="DH211" s="29" t="s">
        <v>548</v>
      </c>
      <c r="DI211" s="29">
        <v>5</v>
      </c>
      <c r="DJ211" s="29">
        <v>6</v>
      </c>
      <c r="DK211" s="29" t="s">
        <v>1059</v>
      </c>
      <c r="DL211" s="29" t="s">
        <v>1060</v>
      </c>
      <c r="DM211" s="29">
        <v>-4.3269343376159668</v>
      </c>
      <c r="DN211" s="29">
        <v>35.441261291503906</v>
      </c>
      <c r="DO211" s="29">
        <v>1566</v>
      </c>
      <c r="DP211" s="29">
        <v>5</v>
      </c>
      <c r="DQ211" s="29">
        <v>1705231439</v>
      </c>
      <c r="DR211" s="29" t="s">
        <v>1061</v>
      </c>
      <c r="DS211" s="31">
        <v>42923.38181712963</v>
      </c>
      <c r="DT211" s="31">
        <v>42908.611145833333</v>
      </c>
      <c r="DU211" s="31">
        <v>42908.625833333332</v>
      </c>
      <c r="DV211" s="32">
        <v>42759</v>
      </c>
      <c r="DX211" s="44">
        <v>2.9527272727272726</v>
      </c>
      <c r="DY211" s="44">
        <v>4.6157575757575753</v>
      </c>
      <c r="DZ211" s="44">
        <v>1.7051282051282051</v>
      </c>
      <c r="EA211" s="44">
        <v>1.6239316239316239</v>
      </c>
      <c r="EC211" s="29">
        <f>IF(EQ211&lt;EP211,"FALSEE",1)</f>
        <v>1</v>
      </c>
      <c r="EE211" s="29" t="s">
        <v>2171</v>
      </c>
      <c r="EF211" s="29">
        <v>0</v>
      </c>
      <c r="EG211" s="29" t="str">
        <f>IF(EF211&lt;0.5,"Depression",IF(EF211&lt;2,"Very gentle",IF(EF211&lt;5,"Gentle",IF(EF211&lt;9,"Moderate",IF(EF211&lt;15,"Strong",IF(EF211&lt;30,"Steep",IF(EF211&lt;1,"Very steep")))))))</f>
        <v>Depression</v>
      </c>
      <c r="EH211" s="29" t="s">
        <v>2173</v>
      </c>
      <c r="EI211" s="29">
        <v>8.4776775111099995E-6</v>
      </c>
      <c r="EJ211" s="43">
        <v>11.4374370575</v>
      </c>
      <c r="EK211" s="43">
        <f>VLOOKUP(D211,[1]SoilData!$G$15:$K$237,5,FALSE)</f>
        <v>311.75152886791551</v>
      </c>
      <c r="EL211" s="43">
        <f>VLOOKUP(D211,[1]SoilData!$G$245:$K$451,5,FALSE)</f>
        <v>187.90242211200467</v>
      </c>
      <c r="EM211" s="43">
        <f>VLOOKUP(D211,[1]SoilData!$G$15:$M$238,7,FALSE)</f>
        <v>1.323</v>
      </c>
      <c r="EN211" s="43">
        <f>VLOOKUP(D211,[1]SoilData!$G$245:$M$454,7,FALSE)</f>
        <v>1.554</v>
      </c>
      <c r="EO211" s="60">
        <f>EM211-EN211</f>
        <v>-0.23100000000000009</v>
      </c>
      <c r="EP211" s="44">
        <f>AVERAGE(DZ211:EA211)</f>
        <v>1.6645299145299144</v>
      </c>
      <c r="EQ211" s="44">
        <f>AVERAGE(DX211:DY211)</f>
        <v>3.7842424242424242</v>
      </c>
      <c r="ER211" s="43">
        <f>EQ211-EP211</f>
        <v>2.1197125097125098</v>
      </c>
      <c r="ES211" s="64">
        <f>IF(CU211&gt;0.000001,CU211*352,0)</f>
        <v>844.8</v>
      </c>
      <c r="ET211" s="64">
        <f>IF(DC211&gt;0.0001,DC211*682,0)</f>
        <v>0</v>
      </c>
      <c r="EU211" s="64">
        <f>CY211*795</f>
        <v>190.79999999999998</v>
      </c>
      <c r="EV211" s="64">
        <f>ES211+ET211+EU211</f>
        <v>1035.5999999999999</v>
      </c>
      <c r="EW211" s="64">
        <f>IF(AA211="YES",3.5*18.2,0)</f>
        <v>63.699999999999996</v>
      </c>
      <c r="EX211" s="64">
        <f>EV211-EW211</f>
        <v>971.89999999999986</v>
      </c>
    </row>
    <row r="212" spans="1:154" ht="15" x14ac:dyDescent="0.2">
      <c r="A212" s="29" t="s">
        <v>556</v>
      </c>
      <c r="B212" s="29">
        <v>108</v>
      </c>
      <c r="C212" s="29" t="s">
        <v>1425</v>
      </c>
      <c r="D212" s="29" t="s">
        <v>1425</v>
      </c>
      <c r="E212" s="29" t="s">
        <v>1310</v>
      </c>
      <c r="F212" s="29" t="s">
        <v>1310</v>
      </c>
      <c r="G212" s="29">
        <v>1.5</v>
      </c>
      <c r="H212" s="61" t="str">
        <f>IF(G212&lt;0.05,"Homefield",IF(G212&lt;0.5,"Midfield","outfield"))</f>
        <v>outfield</v>
      </c>
      <c r="I212" s="29" t="s">
        <v>557</v>
      </c>
      <c r="J212" s="61" t="s">
        <v>2233</v>
      </c>
      <c r="K212" s="61" t="s">
        <v>2233</v>
      </c>
      <c r="L212" s="67">
        <v>0</v>
      </c>
      <c r="O212" s="29" t="s">
        <v>547</v>
      </c>
      <c r="Q212" s="67">
        <v>1</v>
      </c>
      <c r="R212" s="29" t="s">
        <v>558</v>
      </c>
      <c r="S212" s="29">
        <v>1</v>
      </c>
      <c r="T212" s="29" t="s">
        <v>559</v>
      </c>
      <c r="U212" s="29" t="s">
        <v>560</v>
      </c>
      <c r="W212" s="29" t="s">
        <v>561</v>
      </c>
      <c r="Z212" s="29" t="s">
        <v>567</v>
      </c>
      <c r="AA212" s="61" t="s">
        <v>546</v>
      </c>
      <c r="AB212" s="29" t="s">
        <v>547</v>
      </c>
      <c r="AC212" s="67">
        <v>0</v>
      </c>
      <c r="AD212" s="29" t="s">
        <v>547</v>
      </c>
      <c r="AF212" s="29" t="s">
        <v>547</v>
      </c>
      <c r="AG212" s="29" t="s">
        <v>547</v>
      </c>
      <c r="AH212" s="29" t="s">
        <v>548</v>
      </c>
      <c r="AI212" s="29" t="s">
        <v>546</v>
      </c>
      <c r="AJ212" s="29" t="s">
        <v>547</v>
      </c>
      <c r="AK212" s="67">
        <v>0</v>
      </c>
      <c r="AL212" s="29" t="s">
        <v>547</v>
      </c>
      <c r="AO212" s="29" t="s">
        <v>547</v>
      </c>
      <c r="AP212" s="29" t="s">
        <v>547</v>
      </c>
      <c r="AQ212" s="4">
        <f>Q212+AK212</f>
        <v>1</v>
      </c>
      <c r="AR212" s="4">
        <f>L212+AC212</f>
        <v>0</v>
      </c>
      <c r="AS212" t="str">
        <f>AQ212&amp;AR212</f>
        <v>10</v>
      </c>
      <c r="AT212" s="49">
        <f>AQ212-AR212</f>
        <v>1</v>
      </c>
      <c r="AU212">
        <v>2</v>
      </c>
      <c r="AV212" s="29" t="s">
        <v>548</v>
      </c>
      <c r="AW212" s="29">
        <v>1</v>
      </c>
      <c r="AX212" s="29" t="s">
        <v>548</v>
      </c>
      <c r="AY212" s="29">
        <v>2</v>
      </c>
      <c r="AZ212" s="29">
        <v>8</v>
      </c>
      <c r="BA212" s="29" t="s">
        <v>548</v>
      </c>
      <c r="BB212" s="29" t="s">
        <v>569</v>
      </c>
      <c r="BC212" s="29">
        <v>0.5</v>
      </c>
      <c r="BD212" s="29">
        <f>AW212+AZ212</f>
        <v>9</v>
      </c>
      <c r="BE212" s="29">
        <f>BD212+BC212</f>
        <v>9.5</v>
      </c>
      <c r="BF212" s="29" t="s">
        <v>548</v>
      </c>
      <c r="BG212" s="29" t="s">
        <v>546</v>
      </c>
      <c r="BH212" s="29" t="s">
        <v>548</v>
      </c>
      <c r="BI212" s="29" t="s">
        <v>546</v>
      </c>
      <c r="BJ212" s="29" t="s">
        <v>546</v>
      </c>
      <c r="BK212" s="29" t="s">
        <v>546</v>
      </c>
      <c r="BL212" s="29">
        <v>32</v>
      </c>
      <c r="BM212" s="29" t="s">
        <v>562</v>
      </c>
      <c r="BO212" s="29" t="s">
        <v>547</v>
      </c>
      <c r="BP212" s="29">
        <v>20</v>
      </c>
      <c r="BQ212" s="29" t="s">
        <v>562</v>
      </c>
      <c r="BS212" s="29" t="s">
        <v>547</v>
      </c>
      <c r="BU212" s="29" t="s">
        <v>547</v>
      </c>
      <c r="BW212" s="29">
        <f>(BL212*1)+(BN212*0.1)+(BP212*0.01)+(BR212*0.1)+(BT212*0.3)+(BV212*0.4)</f>
        <v>32.200000000000003</v>
      </c>
      <c r="BX212" s="29" t="s">
        <v>2221</v>
      </c>
      <c r="BY212" s="29">
        <v>1</v>
      </c>
      <c r="BZ212" s="29">
        <v>1</v>
      </c>
      <c r="CA212" s="29">
        <v>6</v>
      </c>
      <c r="CB212" s="29">
        <v>8</v>
      </c>
      <c r="CC212" s="29">
        <v>0</v>
      </c>
      <c r="CD212" s="29">
        <v>1</v>
      </c>
      <c r="CE212" s="29">
        <v>2</v>
      </c>
      <c r="CG212" s="29">
        <f>(CC212*15)+(CD212*0.8)+(CE212*0.3)+((AW212+AZ212)*15)</f>
        <v>136.4</v>
      </c>
      <c r="CH212" s="29" t="s">
        <v>2221</v>
      </c>
      <c r="CI212" s="29">
        <f>(BL212*1)+(BN212*0.1)+(BP212*0.01)+(BR212*0.1)+(BT212*0.3)+(BV212*0.4)+(CC212*15)+(CD212*0.8)+(CE212*0.3)+((AW212+AZ212)*15)</f>
        <v>168.6</v>
      </c>
      <c r="CJ212" s="29" t="s">
        <v>546</v>
      </c>
      <c r="CK212" s="29" t="s">
        <v>547</v>
      </c>
      <c r="CL212" s="29" t="s">
        <v>548</v>
      </c>
      <c r="CM212" s="29" t="s">
        <v>550</v>
      </c>
      <c r="CN212" s="29">
        <v>0.25</v>
      </c>
      <c r="CO212" s="29">
        <v>2.75</v>
      </c>
      <c r="CP212" s="29">
        <v>0</v>
      </c>
      <c r="CQ212" s="29" t="s">
        <v>548</v>
      </c>
      <c r="CR212" s="29">
        <v>0.5</v>
      </c>
      <c r="CS212" s="29">
        <v>4</v>
      </c>
      <c r="CT212" s="29" t="s">
        <v>551</v>
      </c>
      <c r="CU212" s="30">
        <v>1.92</v>
      </c>
      <c r="CV212" s="29">
        <v>0.5</v>
      </c>
      <c r="CW212" s="29">
        <v>999</v>
      </c>
      <c r="CX212" s="29" t="s">
        <v>551</v>
      </c>
      <c r="CY212" s="62"/>
      <c r="CZ212" s="29">
        <v>0.5</v>
      </c>
      <c r="DA212" s="29">
        <v>1</v>
      </c>
      <c r="DB212" s="29" t="s">
        <v>552</v>
      </c>
      <c r="DC212" s="62">
        <v>8.0159999999999995E-2</v>
      </c>
      <c r="DD212" s="29" t="s">
        <v>546</v>
      </c>
      <c r="DE212" s="29" t="s">
        <v>546</v>
      </c>
      <c r="DF212" s="29" t="s">
        <v>546</v>
      </c>
      <c r="DG212" s="29" t="s">
        <v>546</v>
      </c>
      <c r="DH212" s="29" t="s">
        <v>546</v>
      </c>
      <c r="DI212" s="29">
        <v>0</v>
      </c>
      <c r="DJ212" s="29">
        <v>3</v>
      </c>
      <c r="DK212" s="29" t="s">
        <v>1426</v>
      </c>
      <c r="DL212" s="29" t="s">
        <v>1427</v>
      </c>
      <c r="DM212" s="29">
        <v>-4.2652149200439453</v>
      </c>
      <c r="DN212" s="29">
        <v>35.521144866943359</v>
      </c>
      <c r="DO212" s="29">
        <v>1631.0999755859375</v>
      </c>
      <c r="DP212" s="29">
        <v>5</v>
      </c>
      <c r="DQ212" s="29">
        <v>1706031849</v>
      </c>
      <c r="DR212" s="29" t="s">
        <v>1428</v>
      </c>
      <c r="DS212" s="31">
        <v>42903.412916666668</v>
      </c>
      <c r="DT212" s="31">
        <v>42901.480324074073</v>
      </c>
      <c r="DU212" s="31">
        <v>42901.503229166672</v>
      </c>
      <c r="DV212" s="32">
        <v>42750</v>
      </c>
      <c r="EC212" s="29">
        <f>IF(EQ212&lt;EP212,"FALSEE",1)</f>
        <v>1</v>
      </c>
      <c r="EE212" s="29" t="s">
        <v>2171</v>
      </c>
      <c r="EF212" s="29">
        <v>3.20911693573</v>
      </c>
      <c r="EG212" s="29" t="str">
        <f>IF(EF212&lt;0.5,"Depression",IF(EF212&lt;2,"Very gentle",IF(EF212&lt;5,"Gentle",IF(EF212&lt;9,"Moderate",IF(EF212&lt;15,"Strong",IF(EF212&lt;30,"Steep",IF(EF212&lt;1,"Very steep")))))))</f>
        <v>Gentle</v>
      </c>
      <c r="EH212" s="29" t="s">
        <v>2173</v>
      </c>
      <c r="EI212" s="29">
        <v>-9.0633422136300004E-2</v>
      </c>
      <c r="EJ212" s="43">
        <v>10.287559509299999</v>
      </c>
      <c r="EK212" s="43">
        <f>VLOOKUP(D212,[1]SoilData!$G$15:$K$237,5,FALSE)</f>
        <v>241.00471607792554</v>
      </c>
      <c r="EL212" s="43"/>
      <c r="EM212" s="56"/>
      <c r="EN212" s="43"/>
      <c r="EO212" s="60"/>
      <c r="EP212" s="43"/>
      <c r="EQ212" s="43"/>
      <c r="ER212" s="43"/>
      <c r="ES212" s="64">
        <f>IF(CU212&gt;0.000001,CU212*352,0)</f>
        <v>675.83999999999992</v>
      </c>
      <c r="ET212" s="64">
        <f>IF(DC212&gt;0.0001,DC212*682,0)</f>
        <v>54.669119999999999</v>
      </c>
      <c r="EU212" s="64">
        <f>CY212*795</f>
        <v>0</v>
      </c>
      <c r="EV212" s="64">
        <f>ES212+ET212+EU212</f>
        <v>730.50911999999994</v>
      </c>
      <c r="EW212" s="64">
        <f>IF(AA212="YES",3.5*18.2,0)</f>
        <v>0</v>
      </c>
      <c r="EX212" s="64">
        <f>EV212-EW212</f>
        <v>730.50911999999994</v>
      </c>
    </row>
    <row r="213" spans="1:154" ht="15" x14ac:dyDescent="0.2">
      <c r="A213" s="29" t="s">
        <v>1182</v>
      </c>
      <c r="B213" s="29">
        <v>92</v>
      </c>
      <c r="C213" s="29" t="s">
        <v>412</v>
      </c>
      <c r="D213" s="29" t="s">
        <v>412</v>
      </c>
      <c r="E213" s="29" t="str">
        <f>VLOOKUP(D213,Harvest_2017_Formulae!$C$2:$D$968,2,FALSE)</f>
        <v>SABILO</v>
      </c>
      <c r="F213" s="29" t="s">
        <v>1175</v>
      </c>
      <c r="G213" s="29">
        <v>0</v>
      </c>
      <c r="H213" s="61" t="str">
        <f>IF(G213&lt;0.05,"Homefield",IF(G213&lt;0.5,"Midfield","outfield"))</f>
        <v>Homefield</v>
      </c>
      <c r="I213" s="29" t="s">
        <v>557</v>
      </c>
      <c r="J213" s="61" t="s">
        <v>2234</v>
      </c>
      <c r="K213" s="61" t="s">
        <v>2234</v>
      </c>
      <c r="L213" s="67">
        <v>0</v>
      </c>
      <c r="O213" s="29" t="s">
        <v>547</v>
      </c>
      <c r="Q213" s="67">
        <v>1</v>
      </c>
      <c r="R213" s="29" t="s">
        <v>615</v>
      </c>
      <c r="S213" s="29">
        <v>60</v>
      </c>
      <c r="T213" s="29">
        <v>4</v>
      </c>
      <c r="U213" s="29" t="s">
        <v>560</v>
      </c>
      <c r="W213" s="29" t="s">
        <v>561</v>
      </c>
      <c r="Y213" s="29">
        <v>10000</v>
      </c>
      <c r="Z213" s="29" t="s">
        <v>547</v>
      </c>
      <c r="AA213" s="61" t="s">
        <v>548</v>
      </c>
      <c r="AB213" s="29" t="s">
        <v>568</v>
      </c>
      <c r="AC213" s="67">
        <v>0</v>
      </c>
      <c r="AD213" s="29" t="s">
        <v>547</v>
      </c>
      <c r="AF213" s="29" t="s">
        <v>547</v>
      </c>
      <c r="AG213" s="29" t="s">
        <v>547</v>
      </c>
      <c r="AH213" s="29" t="s">
        <v>548</v>
      </c>
      <c r="AI213" s="29" t="s">
        <v>546</v>
      </c>
      <c r="AK213" s="67">
        <v>0</v>
      </c>
      <c r="AL213" s="29" t="s">
        <v>547</v>
      </c>
      <c r="AO213" s="29" t="s">
        <v>547</v>
      </c>
      <c r="AP213" s="29" t="s">
        <v>547</v>
      </c>
      <c r="AQ213" s="4">
        <f>Q213+AK213</f>
        <v>1</v>
      </c>
      <c r="AR213" s="4">
        <f>L213+AC213</f>
        <v>0</v>
      </c>
      <c r="AS213" t="str">
        <f>AQ213&amp;AR213</f>
        <v>10</v>
      </c>
      <c r="AT213" s="49">
        <f>AQ213-AR213</f>
        <v>1</v>
      </c>
      <c r="AU213">
        <v>2</v>
      </c>
      <c r="AV213" s="29" t="s">
        <v>548</v>
      </c>
      <c r="AW213" s="29">
        <v>8</v>
      </c>
      <c r="AX213" s="29" t="s">
        <v>548</v>
      </c>
      <c r="AY213" s="29">
        <v>4</v>
      </c>
      <c r="AZ213" s="29">
        <v>9</v>
      </c>
      <c r="BA213" s="29" t="s">
        <v>548</v>
      </c>
      <c r="BB213" s="29" t="s">
        <v>569</v>
      </c>
      <c r="BC213" s="29">
        <v>3</v>
      </c>
      <c r="BD213" s="29">
        <f>AW213+AZ213</f>
        <v>17</v>
      </c>
      <c r="BE213" s="29">
        <f>BD213+BC213</f>
        <v>20</v>
      </c>
      <c r="BF213" s="29" t="s">
        <v>548</v>
      </c>
      <c r="BG213" s="29" t="s">
        <v>548</v>
      </c>
      <c r="BH213" s="29" t="s">
        <v>548</v>
      </c>
      <c r="BI213" s="29" t="s">
        <v>548</v>
      </c>
      <c r="BJ213" s="29" t="s">
        <v>546</v>
      </c>
      <c r="BK213" s="29" t="s">
        <v>548</v>
      </c>
      <c r="BL213" s="29">
        <v>45</v>
      </c>
      <c r="BM213" s="29" t="s">
        <v>580</v>
      </c>
      <c r="BN213" s="29">
        <v>8</v>
      </c>
      <c r="BO213" s="29" t="s">
        <v>580</v>
      </c>
      <c r="BP213" s="29">
        <v>10</v>
      </c>
      <c r="BQ213" s="29" t="s">
        <v>580</v>
      </c>
      <c r="BR213" s="29">
        <v>9</v>
      </c>
      <c r="BS213" s="29" t="s">
        <v>580</v>
      </c>
      <c r="BU213" s="29" t="s">
        <v>547</v>
      </c>
      <c r="BV213" s="29">
        <v>2</v>
      </c>
      <c r="BW213" s="29">
        <f>(BL213*1)+(BN213*0.1)+(BP213*0.01)+(BR213*0.1)+(BT213*0.3)+(BV213*0.4)</f>
        <v>47.599999999999994</v>
      </c>
      <c r="BX213" s="29" t="s">
        <v>2221</v>
      </c>
      <c r="BY213" s="29">
        <v>3</v>
      </c>
      <c r="BZ213" s="29">
        <v>1</v>
      </c>
      <c r="CA213" s="29">
        <v>5</v>
      </c>
      <c r="CB213" s="29">
        <v>9</v>
      </c>
      <c r="CC213" s="29">
        <v>0</v>
      </c>
      <c r="CD213" s="29">
        <v>1</v>
      </c>
      <c r="CE213" s="29">
        <v>1</v>
      </c>
      <c r="CG213" s="29">
        <f>(CC213*15)+(CD213*0.8)+(CE213*0.3)+((AW213+AZ213)*15)</f>
        <v>256.10000000000002</v>
      </c>
      <c r="CH213" s="29" t="s">
        <v>2221</v>
      </c>
      <c r="CI213" s="29">
        <f>(BL213*1)+(BN213*0.1)+(BP213*0.01)+(BR213*0.1)+(BT213*0.3)+(BV213*0.4)+(CC213*15)+(CD213*0.8)+(CE213*0.3)+((AW213+AZ213)*15)</f>
        <v>303.7</v>
      </c>
      <c r="CJ213" s="29" t="s">
        <v>548</v>
      </c>
      <c r="CK213" s="29" t="s">
        <v>1196</v>
      </c>
      <c r="CL213" s="29" t="s">
        <v>548</v>
      </c>
      <c r="CM213" s="29" t="s">
        <v>550</v>
      </c>
      <c r="CN213" s="29">
        <v>6.6700000762939453</v>
      </c>
      <c r="CO213" s="29">
        <v>106.66816894500001</v>
      </c>
      <c r="CP213" s="29">
        <v>0</v>
      </c>
      <c r="CQ213" s="29" t="s">
        <v>548</v>
      </c>
      <c r="CR213" s="29">
        <v>1</v>
      </c>
      <c r="CS213" s="29">
        <v>6.6700000762939453</v>
      </c>
      <c r="CT213" s="29" t="s">
        <v>551</v>
      </c>
      <c r="CU213" s="30">
        <v>1.6008000183105471</v>
      </c>
      <c r="CV213" s="29">
        <v>1</v>
      </c>
      <c r="CW213" s="29">
        <v>1.5</v>
      </c>
      <c r="CX213" s="29" t="s">
        <v>551</v>
      </c>
      <c r="CY213" s="62">
        <v>0.36</v>
      </c>
      <c r="CZ213" s="29">
        <v>1</v>
      </c>
      <c r="DA213" s="29">
        <v>0</v>
      </c>
      <c r="DB213" s="29" t="s">
        <v>551</v>
      </c>
      <c r="DC213" s="62">
        <v>0</v>
      </c>
      <c r="DD213" s="29" t="s">
        <v>546</v>
      </c>
      <c r="DE213" s="29" t="s">
        <v>546</v>
      </c>
      <c r="DF213" s="29" t="s">
        <v>546</v>
      </c>
      <c r="DG213" s="29" t="s">
        <v>546</v>
      </c>
      <c r="DH213" s="29" t="s">
        <v>548</v>
      </c>
      <c r="DI213" s="29">
        <v>1</v>
      </c>
      <c r="DJ213" s="29">
        <v>4</v>
      </c>
      <c r="DK213" s="29" t="s">
        <v>1197</v>
      </c>
      <c r="DL213" s="29" t="s">
        <v>1198</v>
      </c>
      <c r="DM213" s="29">
        <v>-4.3602652549743652</v>
      </c>
      <c r="DN213" s="29">
        <v>35.487712860107422</v>
      </c>
      <c r="DO213" s="29">
        <v>1703.699951171875</v>
      </c>
      <c r="DP213" s="29">
        <v>15</v>
      </c>
      <c r="DQ213" s="29">
        <v>1705231439</v>
      </c>
      <c r="DR213" s="29" t="s">
        <v>1199</v>
      </c>
      <c r="DS213" s="31">
        <v>42927.345300925925</v>
      </c>
      <c r="DT213" s="31">
        <v>42895.53738425926</v>
      </c>
      <c r="DU213" s="31">
        <v>42923.465648148151</v>
      </c>
      <c r="DV213" s="32">
        <v>42772</v>
      </c>
      <c r="DX213" s="44">
        <v>4.5277777777777786</v>
      </c>
      <c r="DY213" s="44">
        <v>3.6431196581196583</v>
      </c>
      <c r="DZ213" s="44">
        <v>3.4035672514619888</v>
      </c>
      <c r="EA213" s="44">
        <v>4.0140350877192983</v>
      </c>
      <c r="EC213" s="29">
        <f>IF(EQ213&lt;EP213,"FALSEE",1)</f>
        <v>1</v>
      </c>
      <c r="EE213" s="29" t="s">
        <v>2171</v>
      </c>
      <c r="EF213" s="29">
        <v>1.79088056087</v>
      </c>
      <c r="EG213" s="29" t="str">
        <f>IF(EF213&lt;0.5,"Depression",IF(EF213&lt;2,"Very gentle",IF(EF213&lt;5,"Gentle",IF(EF213&lt;9,"Moderate",IF(EF213&lt;15,"Strong",IF(EF213&lt;30,"Steep",IF(EF213&lt;1,"Very steep")))))))</f>
        <v>Very gentle</v>
      </c>
      <c r="EH213" s="29" t="s">
        <v>2173</v>
      </c>
      <c r="EI213" s="29">
        <v>9.0650379657699995E-2</v>
      </c>
      <c r="EJ213" s="43">
        <v>8.58259773254</v>
      </c>
      <c r="EK213" s="43">
        <f>VLOOKUP(D213,[1]SoilData!$G$15:$K$237,5,FALSE)</f>
        <v>127.47513527697215</v>
      </c>
      <c r="EL213" s="43">
        <f>VLOOKUP(D213,[1]SoilData!$G$245:$K$451,5,FALSE)</f>
        <v>230.79980993851393</v>
      </c>
      <c r="EM213" s="43">
        <f>VLOOKUP(D213,[1]SoilData!$G$15:$M$238,7,FALSE)</f>
        <v>1.611</v>
      </c>
      <c r="EN213" s="43">
        <f>VLOOKUP(D213,[1]SoilData!$G$245:$M$454,7,FALSE)</f>
        <v>1.825</v>
      </c>
      <c r="EO213" s="60">
        <f>EM213-EN213</f>
        <v>-0.21399999999999997</v>
      </c>
      <c r="EP213" s="44">
        <f>AVERAGE(DZ213:EA213)</f>
        <v>3.7088011695906435</v>
      </c>
      <c r="EQ213" s="44">
        <f>AVERAGE(DX213:DY213)</f>
        <v>4.0854487179487187</v>
      </c>
      <c r="ER213" s="43">
        <f>EQ213-EP213</f>
        <v>0.37664754835807512</v>
      </c>
      <c r="ES213" s="64">
        <f>IF(CU213&gt;0.000001,CU213*352,0)</f>
        <v>563.48160644531254</v>
      </c>
      <c r="ET213" s="64">
        <f>IF(DC213&gt;0.0001,DC213*682,0)</f>
        <v>0</v>
      </c>
      <c r="EU213" s="64">
        <f>CY213*795</f>
        <v>286.2</v>
      </c>
      <c r="EV213" s="64">
        <f>ES213+ET213+EU213</f>
        <v>849.68160644531258</v>
      </c>
      <c r="EW213" s="64">
        <f>IF(AA213="YES",3.5*18.2,0)</f>
        <v>63.699999999999996</v>
      </c>
      <c r="EX213" s="64">
        <f>EV213-EW213</f>
        <v>785.98160644531254</v>
      </c>
    </row>
    <row r="214" spans="1:154" ht="15" x14ac:dyDescent="0.2">
      <c r="A214" s="29" t="s">
        <v>556</v>
      </c>
      <c r="B214" s="29">
        <v>188</v>
      </c>
      <c r="C214" s="29" t="s">
        <v>353</v>
      </c>
      <c r="D214" s="29" t="s">
        <v>353</v>
      </c>
      <c r="E214" s="29" t="str">
        <f>VLOOKUP(D214,Harvest_2017_Formulae!$C$2:$D$968,2,FALSE)</f>
        <v>ENDANOGA</v>
      </c>
      <c r="F214" s="29" t="s">
        <v>843</v>
      </c>
      <c r="G214" s="29">
        <v>0</v>
      </c>
      <c r="H214" s="61" t="str">
        <f>IF(G214&lt;0.05,"Homefield",IF(G214&lt;0.5,"Midfield","outfield"))</f>
        <v>Homefield</v>
      </c>
      <c r="I214" s="29" t="s">
        <v>557</v>
      </c>
      <c r="J214" s="61" t="s">
        <v>2234</v>
      </c>
      <c r="K214" s="61" t="s">
        <v>2234</v>
      </c>
      <c r="L214" s="67">
        <v>0</v>
      </c>
      <c r="O214" s="29" t="s">
        <v>547</v>
      </c>
      <c r="Q214" s="67">
        <v>1</v>
      </c>
      <c r="R214" s="29" t="s">
        <v>558</v>
      </c>
      <c r="S214" s="29">
        <v>12</v>
      </c>
      <c r="T214" s="29">
        <v>1</v>
      </c>
      <c r="U214" s="29" t="s">
        <v>560</v>
      </c>
      <c r="W214" s="29" t="s">
        <v>561</v>
      </c>
      <c r="Z214" s="29" t="s">
        <v>547</v>
      </c>
      <c r="AA214" s="61" t="s">
        <v>548</v>
      </c>
      <c r="AB214" s="29" t="s">
        <v>568</v>
      </c>
      <c r="AC214" s="67">
        <v>0</v>
      </c>
      <c r="AD214" s="29" t="s">
        <v>547</v>
      </c>
      <c r="AF214" s="29" t="s">
        <v>547</v>
      </c>
      <c r="AG214" s="29" t="s">
        <v>547</v>
      </c>
      <c r="AH214" s="29" t="s">
        <v>548</v>
      </c>
      <c r="AI214" s="29" t="s">
        <v>546</v>
      </c>
      <c r="AJ214" s="29" t="s">
        <v>547</v>
      </c>
      <c r="AK214" s="67">
        <v>0</v>
      </c>
      <c r="AL214" s="29" t="s">
        <v>547</v>
      </c>
      <c r="AO214" s="29" t="s">
        <v>547</v>
      </c>
      <c r="AP214" s="29" t="s">
        <v>547</v>
      </c>
      <c r="AQ214" s="4">
        <f>Q214+AK214</f>
        <v>1</v>
      </c>
      <c r="AR214" s="4">
        <f>L214+AC214</f>
        <v>0</v>
      </c>
      <c r="AS214" t="str">
        <f>AQ214&amp;AR214</f>
        <v>10</v>
      </c>
      <c r="AT214" s="49">
        <f>AQ214-AR214</f>
        <v>1</v>
      </c>
      <c r="AU214">
        <v>2</v>
      </c>
      <c r="AV214" s="29" t="s">
        <v>548</v>
      </c>
      <c r="AW214" s="29">
        <v>5</v>
      </c>
      <c r="AX214" s="29" t="s">
        <v>548</v>
      </c>
      <c r="AY214" s="29">
        <v>1</v>
      </c>
      <c r="AZ214" s="29">
        <v>2</v>
      </c>
      <c r="BA214" s="29" t="s">
        <v>548</v>
      </c>
      <c r="BB214" s="29" t="s">
        <v>569</v>
      </c>
      <c r="BC214" s="29">
        <v>12</v>
      </c>
      <c r="BD214" s="29">
        <f>AW214+AZ214</f>
        <v>7</v>
      </c>
      <c r="BE214" s="29">
        <f>BD214+BC214</f>
        <v>19</v>
      </c>
      <c r="BF214" s="29" t="s">
        <v>548</v>
      </c>
      <c r="BG214" s="29" t="s">
        <v>548</v>
      </c>
      <c r="BH214" s="29" t="s">
        <v>548</v>
      </c>
      <c r="BI214" s="29" t="s">
        <v>548</v>
      </c>
      <c r="BJ214" s="29" t="s">
        <v>546</v>
      </c>
      <c r="BK214" s="29" t="s">
        <v>548</v>
      </c>
      <c r="BL214" s="29">
        <v>60</v>
      </c>
      <c r="BM214" s="29" t="s">
        <v>580</v>
      </c>
      <c r="BN214" s="29">
        <v>100</v>
      </c>
      <c r="BO214" s="29" t="s">
        <v>580</v>
      </c>
      <c r="BP214" s="29">
        <v>30</v>
      </c>
      <c r="BQ214" s="29" t="s">
        <v>580</v>
      </c>
      <c r="BR214" s="29">
        <v>60</v>
      </c>
      <c r="BS214" s="29" t="s">
        <v>580</v>
      </c>
      <c r="BU214" s="29" t="s">
        <v>547</v>
      </c>
      <c r="BV214" s="29">
        <v>2</v>
      </c>
      <c r="BW214" s="29">
        <f>(BL214*1)+(BN214*0.1)+(BP214*0.01)+(BR214*0.1)+(BT214*0.3)+(BV214*0.4)</f>
        <v>77.099999999999994</v>
      </c>
      <c r="BX214" s="29" t="s">
        <v>2221</v>
      </c>
      <c r="BY214" s="29">
        <v>3</v>
      </c>
      <c r="BZ214" s="29">
        <v>1</v>
      </c>
      <c r="CA214" s="29">
        <v>5</v>
      </c>
      <c r="CB214" s="29">
        <v>9</v>
      </c>
      <c r="CC214" s="29">
        <v>0</v>
      </c>
      <c r="CD214" s="29">
        <v>1</v>
      </c>
      <c r="CE214" s="29">
        <v>1</v>
      </c>
      <c r="CF214" s="29" t="s">
        <v>547</v>
      </c>
      <c r="CG214" s="29">
        <f>(CC214*15)+(CD214*0.8)+(CE214*0.3)+((AW214+AZ214)*15)</f>
        <v>106.1</v>
      </c>
      <c r="CH214" s="29" t="s">
        <v>2221</v>
      </c>
      <c r="CI214" s="29">
        <f>(BL214*1)+(BN214*0.1)+(BP214*0.01)+(BR214*0.1)+(BT214*0.3)+(BV214*0.4)+(CC214*15)+(CD214*0.8)+(CE214*0.3)+((AW214+AZ214)*15)</f>
        <v>183.2</v>
      </c>
      <c r="CJ214" s="29" t="s">
        <v>546</v>
      </c>
      <c r="CK214" s="29" t="s">
        <v>547</v>
      </c>
      <c r="CL214" s="29" t="s">
        <v>548</v>
      </c>
      <c r="CM214" s="29" t="s">
        <v>550</v>
      </c>
      <c r="CN214" s="29">
        <v>1.25</v>
      </c>
      <c r="CO214" s="29">
        <v>3</v>
      </c>
      <c r="CQ214" s="29" t="s">
        <v>548</v>
      </c>
      <c r="CR214" s="29">
        <v>4.25</v>
      </c>
      <c r="CS214" s="29">
        <v>28</v>
      </c>
      <c r="CT214" s="29" t="s">
        <v>551</v>
      </c>
      <c r="CU214" s="30">
        <v>1.5811764705882354</v>
      </c>
      <c r="CW214" s="29">
        <v>999</v>
      </c>
      <c r="CX214" s="29" t="s">
        <v>551</v>
      </c>
      <c r="CY214" s="62"/>
      <c r="CZ214" s="29">
        <v>4.25</v>
      </c>
      <c r="DA214" s="29">
        <v>3</v>
      </c>
      <c r="DB214" s="29" t="s">
        <v>551</v>
      </c>
      <c r="DC214" s="62">
        <v>0.16941176470588235</v>
      </c>
      <c r="DD214" s="29" t="s">
        <v>548</v>
      </c>
      <c r="DE214" s="29" t="s">
        <v>548</v>
      </c>
      <c r="DF214" s="29" t="s">
        <v>548</v>
      </c>
      <c r="DG214" s="29" t="s">
        <v>548</v>
      </c>
      <c r="DH214" s="29" t="s">
        <v>548</v>
      </c>
      <c r="DI214" s="29">
        <v>5</v>
      </c>
      <c r="DJ214" s="29">
        <v>3</v>
      </c>
      <c r="DK214" s="29" t="s">
        <v>923</v>
      </c>
      <c r="DL214" s="29" t="s">
        <v>924</v>
      </c>
      <c r="DM214" s="29">
        <v>-4.2555704116821289</v>
      </c>
      <c r="DN214" s="29">
        <v>35.879535675048828</v>
      </c>
      <c r="DO214" s="29">
        <v>1262</v>
      </c>
      <c r="DP214" s="29">
        <v>5</v>
      </c>
      <c r="DQ214" s="29">
        <v>1706031849</v>
      </c>
      <c r="DR214" s="29" t="s">
        <v>925</v>
      </c>
      <c r="DS214" s="31">
        <v>42940.360034722224</v>
      </c>
      <c r="DT214" s="31">
        <v>42924.447013888886</v>
      </c>
      <c r="DU214" s="31">
        <v>42924.460104166668</v>
      </c>
      <c r="DV214" s="32">
        <v>42797</v>
      </c>
      <c r="DX214" s="44">
        <v>4.8857142857142852</v>
      </c>
      <c r="DY214" s="44">
        <v>4.8428571428571434</v>
      </c>
      <c r="DZ214" s="44">
        <v>2.0777777777777784</v>
      </c>
      <c r="EA214" s="44">
        <v>1.6730158730158731</v>
      </c>
      <c r="EC214" s="29">
        <f>IF(EQ214&lt;EP214,"FALSEE",1)</f>
        <v>1</v>
      </c>
      <c r="EE214" s="29" t="s">
        <v>2171</v>
      </c>
      <c r="EF214" s="29">
        <v>1.0975884199099999</v>
      </c>
      <c r="EG214" s="29" t="str">
        <f>IF(EF214&lt;0.5,"Depression",IF(EF214&lt;2,"Very gentle",IF(EF214&lt;5,"Gentle",IF(EF214&lt;9,"Moderate",IF(EF214&lt;15,"Strong",IF(EF214&lt;30,"Steep",IF(EF214&lt;1,"Very steep")))))))</f>
        <v>Very gentle</v>
      </c>
      <c r="EH214" s="29" t="s">
        <v>2173</v>
      </c>
      <c r="EI214" s="29">
        <v>9.0650379657699995E-2</v>
      </c>
      <c r="EJ214" s="43">
        <v>9.8140182495099992</v>
      </c>
      <c r="EK214" s="43">
        <f>VLOOKUP(D214,[1]SoilData!$G$15:$K$237,5,FALSE)</f>
        <v>224.66245065830302</v>
      </c>
      <c r="EL214" s="43">
        <f>VLOOKUP(D214,[1]SoilData!$G$245:$K$451,5,FALSE)</f>
        <v>247.34017383070125</v>
      </c>
      <c r="EM214" s="43">
        <f>VLOOKUP(D214,[1]SoilData!$G$15:$M$238,7,FALSE)</f>
        <v>1.3480000000000001</v>
      </c>
      <c r="EN214" s="43">
        <f>VLOOKUP(D214,[1]SoilData!$G$245:$M$454,7,FALSE)</f>
        <v>1.139</v>
      </c>
      <c r="EO214" s="60">
        <f>EM214-EN214</f>
        <v>0.20900000000000007</v>
      </c>
      <c r="EP214" s="44">
        <f>AVERAGE(DZ214:EA214)</f>
        <v>1.8753968253968258</v>
      </c>
      <c r="EQ214" s="44">
        <f>AVERAGE(DX214:DY214)</f>
        <v>4.8642857142857139</v>
      </c>
      <c r="ER214" s="43">
        <f>EQ214-EP214</f>
        <v>2.988888888888888</v>
      </c>
      <c r="ES214" s="64">
        <f>IF(CU214&gt;0.000001,CU214*352,0)</f>
        <v>556.57411764705887</v>
      </c>
      <c r="ET214" s="64">
        <f>IF(DC214&gt;0.0001,DC214*682,0)</f>
        <v>115.53882352941176</v>
      </c>
      <c r="EU214" s="64">
        <f>CY214*795</f>
        <v>0</v>
      </c>
      <c r="EV214" s="64">
        <f>ES214+ET214+EU214</f>
        <v>672.1129411764706</v>
      </c>
      <c r="EW214" s="64">
        <f>IF(AA214="YES",3.5*18.2,0)</f>
        <v>63.699999999999996</v>
      </c>
      <c r="EX214" s="64">
        <f>EV214-EW214</f>
        <v>608.41294117647055</v>
      </c>
    </row>
    <row r="215" spans="1:154" ht="15" x14ac:dyDescent="0.2">
      <c r="A215" s="29" t="s">
        <v>544</v>
      </c>
      <c r="B215" s="29">
        <v>83</v>
      </c>
      <c r="C215" s="29" t="s">
        <v>1507</v>
      </c>
      <c r="D215" s="29" t="s">
        <v>1507</v>
      </c>
      <c r="E215" s="29" t="e">
        <f>VLOOKUP(D215,Harvest_2017_Formulae!$C$2:$D$968,2,FALSE)</f>
        <v>#N/A</v>
      </c>
      <c r="F215" s="29" t="s">
        <v>777</v>
      </c>
      <c r="G215" s="29">
        <v>0</v>
      </c>
      <c r="H215" s="61" t="str">
        <f>IF(G215&lt;0.05,"Homefield",IF(G215&lt;0.5,"Midfield","outfield"))</f>
        <v>Homefield</v>
      </c>
      <c r="I215" s="29" t="s">
        <v>557</v>
      </c>
      <c r="J215" s="61" t="s">
        <v>2233</v>
      </c>
      <c r="K215" s="61" t="s">
        <v>2233</v>
      </c>
      <c r="L215" s="67">
        <v>1</v>
      </c>
      <c r="M215" s="29">
        <v>1</v>
      </c>
      <c r="N215" s="29">
        <v>3000</v>
      </c>
      <c r="O215" s="29" t="s">
        <v>547</v>
      </c>
      <c r="P215" s="29">
        <v>1</v>
      </c>
      <c r="Q215" s="67">
        <v>1</v>
      </c>
      <c r="R215" s="29" t="s">
        <v>615</v>
      </c>
      <c r="S215" s="29">
        <v>6</v>
      </c>
      <c r="T215" s="29">
        <v>0.27000001072883606</v>
      </c>
      <c r="U215" s="29" t="s">
        <v>560</v>
      </c>
      <c r="W215" s="29" t="s">
        <v>635</v>
      </c>
      <c r="Y215" s="29">
        <v>3000</v>
      </c>
      <c r="Z215" s="29" t="s">
        <v>547</v>
      </c>
      <c r="AA215" s="61" t="s">
        <v>548</v>
      </c>
      <c r="AB215" s="29" t="s">
        <v>614</v>
      </c>
      <c r="AC215" s="67">
        <v>0</v>
      </c>
      <c r="AD215" s="29" t="s">
        <v>547</v>
      </c>
      <c r="AF215" s="29" t="s">
        <v>547</v>
      </c>
      <c r="AG215" s="29" t="s">
        <v>547</v>
      </c>
      <c r="AH215" s="29" t="s">
        <v>546</v>
      </c>
      <c r="AI215" s="29" t="s">
        <v>546</v>
      </c>
      <c r="AK215" s="67">
        <v>1</v>
      </c>
      <c r="AL215" s="29">
        <v>888</v>
      </c>
      <c r="AM215" s="29">
        <v>5</v>
      </c>
      <c r="AN215" s="29">
        <v>6</v>
      </c>
      <c r="AO215" s="29">
        <v>3000</v>
      </c>
      <c r="AP215" s="29" t="s">
        <v>547</v>
      </c>
      <c r="AQ215" s="4">
        <f>Q215+AK215</f>
        <v>2</v>
      </c>
      <c r="AR215" s="4">
        <f>L215+AC215</f>
        <v>1</v>
      </c>
      <c r="AS215" t="str">
        <f>AQ215&amp;AR215</f>
        <v>21</v>
      </c>
      <c r="AT215" s="49">
        <f>AQ215-AR215</f>
        <v>1</v>
      </c>
      <c r="AU215">
        <v>2</v>
      </c>
      <c r="AV215" s="29" t="s">
        <v>548</v>
      </c>
      <c r="AW215" s="29">
        <v>0.75</v>
      </c>
      <c r="AX215" s="29" t="s">
        <v>548</v>
      </c>
      <c r="AY215" s="29">
        <v>2</v>
      </c>
      <c r="AZ215" s="29">
        <v>2.75</v>
      </c>
      <c r="BA215" s="29" t="s">
        <v>548</v>
      </c>
      <c r="BB215" s="29" t="s">
        <v>1508</v>
      </c>
      <c r="BC215" s="29">
        <v>2</v>
      </c>
      <c r="BD215" s="29">
        <f>AW215+AZ215</f>
        <v>3.5</v>
      </c>
      <c r="BE215" s="29">
        <f>BD215+BC215</f>
        <v>5.5</v>
      </c>
      <c r="BF215" s="29" t="s">
        <v>548</v>
      </c>
      <c r="BG215" s="29" t="s">
        <v>548</v>
      </c>
      <c r="BH215" s="29" t="s">
        <v>548</v>
      </c>
      <c r="BI215" s="29" t="s">
        <v>546</v>
      </c>
      <c r="BJ215" s="29" t="s">
        <v>546</v>
      </c>
      <c r="BK215" s="29" t="s">
        <v>546</v>
      </c>
      <c r="BL215" s="29">
        <v>3</v>
      </c>
      <c r="BM215" s="29" t="s">
        <v>562</v>
      </c>
      <c r="BN215" s="29">
        <v>2</v>
      </c>
      <c r="BO215" s="29" t="s">
        <v>562</v>
      </c>
      <c r="BP215" s="29">
        <v>20</v>
      </c>
      <c r="BQ215" s="29" t="s">
        <v>580</v>
      </c>
      <c r="BS215" s="29" t="s">
        <v>547</v>
      </c>
      <c r="BU215" s="29" t="s">
        <v>547</v>
      </c>
      <c r="BW215" s="29">
        <f>(BL215*1)+(BN215*0.1)+(BP215*0.01)+(BR215*0.1)+(BT215*0.3)+(BV215*0.4)</f>
        <v>3.4000000000000004</v>
      </c>
      <c r="BX215" s="29" t="s">
        <v>2219</v>
      </c>
      <c r="BY215" s="29">
        <v>1</v>
      </c>
      <c r="BZ215" s="29">
        <v>1</v>
      </c>
      <c r="CA215" s="29">
        <v>7</v>
      </c>
      <c r="CB215" s="29">
        <v>9</v>
      </c>
      <c r="CC215" s="29">
        <v>0</v>
      </c>
      <c r="CD215" s="29">
        <v>0</v>
      </c>
      <c r="CE215" s="29">
        <v>1</v>
      </c>
      <c r="CG215" s="29">
        <f>(CC215*15)+(CD215*0.8)+(CE215*0.3)+((AW215+AZ215)*15)</f>
        <v>52.8</v>
      </c>
      <c r="CH215" s="29" t="s">
        <v>2220</v>
      </c>
      <c r="CI215" s="29">
        <f>(BL215*1)+(BN215*0.1)+(BP215*0.01)+(BR215*0.1)+(BT215*0.3)+(BV215*0.4)+(CC215*15)+(CD215*0.8)+(CE215*0.3)+((AW215+AZ215)*15)</f>
        <v>56.2</v>
      </c>
      <c r="CJ215" s="29" t="s">
        <v>548</v>
      </c>
      <c r="CK215" s="29" t="s">
        <v>1509</v>
      </c>
      <c r="CL215" s="29" t="s">
        <v>546</v>
      </c>
      <c r="CM215" s="29" t="s">
        <v>547</v>
      </c>
      <c r="CN215" s="29">
        <v>0.25</v>
      </c>
      <c r="CP215" s="29">
        <v>0.75</v>
      </c>
      <c r="CQ215" s="29" t="s">
        <v>546</v>
      </c>
      <c r="CR215" s="29">
        <v>1</v>
      </c>
      <c r="CS215" s="29">
        <v>16</v>
      </c>
      <c r="CT215" s="29" t="s">
        <v>551</v>
      </c>
      <c r="CU215" s="30">
        <v>3.84</v>
      </c>
      <c r="CW215" s="29">
        <v>999</v>
      </c>
      <c r="CX215" s="29" t="s">
        <v>551</v>
      </c>
      <c r="CY215" s="62"/>
      <c r="CZ215" s="29">
        <v>1</v>
      </c>
      <c r="DA215" s="29">
        <v>5.1999998092651367</v>
      </c>
      <c r="DB215" s="29" t="s">
        <v>551</v>
      </c>
      <c r="DC215" s="62">
        <v>1.2479999542236329</v>
      </c>
      <c r="DD215" s="29" t="s">
        <v>546</v>
      </c>
      <c r="DE215" s="29" t="s">
        <v>546</v>
      </c>
      <c r="DF215" s="29" t="s">
        <v>546</v>
      </c>
      <c r="DG215" s="29" t="s">
        <v>546</v>
      </c>
      <c r="DH215" s="29" t="s">
        <v>546</v>
      </c>
      <c r="DI215" s="29">
        <v>0</v>
      </c>
      <c r="DJ215" s="29">
        <v>4</v>
      </c>
      <c r="DK215" s="29" t="s">
        <v>1510</v>
      </c>
      <c r="DL215" s="29" t="s">
        <v>1511</v>
      </c>
      <c r="DM215" s="29">
        <v>-4.3094668388366699</v>
      </c>
      <c r="DN215" s="29">
        <v>35.865596771240234</v>
      </c>
      <c r="DO215" s="29">
        <v>1239.300048828125</v>
      </c>
      <c r="DP215" s="29">
        <v>5</v>
      </c>
      <c r="DQ215" s="29">
        <v>1705231439</v>
      </c>
      <c r="DR215" s="29" t="s">
        <v>1512</v>
      </c>
      <c r="DS215" s="31">
        <v>42927.345231481479</v>
      </c>
      <c r="DT215" s="31">
        <v>42888.592824074076</v>
      </c>
      <c r="DU215" s="31">
        <v>42927.344814814816</v>
      </c>
      <c r="DV215" s="32">
        <v>42789</v>
      </c>
      <c r="EC215" s="29">
        <f>IF(EQ215&lt;EP215,"FALSEE",1)</f>
        <v>1</v>
      </c>
      <c r="EE215" s="29" t="s">
        <v>2171</v>
      </c>
      <c r="EF215" s="29">
        <v>0.85303092002900005</v>
      </c>
      <c r="EG215" s="29" t="str">
        <f>IF(EF215&lt;0.5,"Depression",IF(EF215&lt;2,"Very gentle",IF(EF215&lt;5,"Gentle",IF(EF215&lt;9,"Moderate",IF(EF215&lt;15,"Strong",IF(EF215&lt;30,"Steep",IF(EF215&lt;1,"Very steep")))))))</f>
        <v>Very gentle</v>
      </c>
      <c r="EH215" s="29" t="s">
        <v>2177</v>
      </c>
      <c r="EI215" s="29">
        <v>0.54385989904400001</v>
      </c>
      <c r="EJ215" s="43">
        <v>8.6651210784899995</v>
      </c>
      <c r="EK215" s="43"/>
      <c r="EL215" s="43"/>
      <c r="EM215" s="43"/>
      <c r="EN215" s="43"/>
      <c r="EO215" s="60"/>
      <c r="EP215" s="43"/>
      <c r="EQ215" s="43"/>
      <c r="ER215" s="43"/>
      <c r="ES215" s="64">
        <f>IF(CU215&gt;0.000001,CU215*352,0)</f>
        <v>1351.6799999999998</v>
      </c>
      <c r="ET215" s="64">
        <f>IF(DC215&gt;0.0001,DC215*682,0)</f>
        <v>851.1359687805176</v>
      </c>
      <c r="EU215" s="64">
        <f>CY215*795</f>
        <v>0</v>
      </c>
      <c r="EV215" s="64">
        <f>ES215+ET215+EU215</f>
        <v>2202.8159687805173</v>
      </c>
      <c r="EW215" s="64">
        <f>IF(AA215="YES",3.5*18.2,0)</f>
        <v>63.699999999999996</v>
      </c>
      <c r="EX215" s="64">
        <f>EV215-EW215</f>
        <v>2139.1159687805175</v>
      </c>
    </row>
    <row r="216" spans="1:154" ht="15" x14ac:dyDescent="0.2">
      <c r="A216" s="29" t="s">
        <v>789</v>
      </c>
      <c r="B216" s="29">
        <v>74</v>
      </c>
      <c r="C216" s="29" t="s">
        <v>142</v>
      </c>
      <c r="D216" s="29" t="s">
        <v>142</v>
      </c>
      <c r="E216" s="29" t="str">
        <f>VLOOKUP(D216,Harvest_2017_Formulae!$C$2:$D$968,2,FALSE)</f>
        <v>Endanachan</v>
      </c>
      <c r="F216" s="29" t="s">
        <v>777</v>
      </c>
      <c r="G216" s="29">
        <v>0</v>
      </c>
      <c r="H216" s="61" t="str">
        <f>IF(G216&lt;0.05,"Homefield",IF(G216&lt;0.5,"Midfield","outfield"))</f>
        <v>Homefield</v>
      </c>
      <c r="I216" s="29" t="s">
        <v>557</v>
      </c>
      <c r="J216" s="61" t="s">
        <v>2234</v>
      </c>
      <c r="K216" s="61" t="s">
        <v>2234</v>
      </c>
      <c r="L216" s="67">
        <v>1</v>
      </c>
      <c r="M216" s="29">
        <v>4.5</v>
      </c>
      <c r="O216" s="29" t="s">
        <v>824</v>
      </c>
      <c r="P216" s="29">
        <v>0.20000000298023224</v>
      </c>
      <c r="Q216" s="67">
        <v>1</v>
      </c>
      <c r="R216" s="29" t="s">
        <v>615</v>
      </c>
      <c r="S216" s="29">
        <v>6</v>
      </c>
      <c r="T216" s="29">
        <v>0.5</v>
      </c>
      <c r="U216" s="29" t="s">
        <v>560</v>
      </c>
      <c r="W216" s="29" t="s">
        <v>819</v>
      </c>
      <c r="X216" s="29">
        <v>999</v>
      </c>
      <c r="Y216" s="29">
        <v>13000</v>
      </c>
      <c r="Z216" s="29" t="s">
        <v>547</v>
      </c>
      <c r="AA216" s="61" t="s">
        <v>548</v>
      </c>
      <c r="AB216" s="29" t="s">
        <v>568</v>
      </c>
      <c r="AC216" s="67">
        <v>0</v>
      </c>
      <c r="AD216" s="29" t="s">
        <v>547</v>
      </c>
      <c r="AF216" s="29" t="s">
        <v>547</v>
      </c>
      <c r="AG216" s="29" t="s">
        <v>547</v>
      </c>
      <c r="AH216" s="29" t="s">
        <v>548</v>
      </c>
      <c r="AI216" s="29" t="s">
        <v>546</v>
      </c>
      <c r="AK216" s="67">
        <v>1</v>
      </c>
      <c r="AL216" s="29">
        <v>2</v>
      </c>
      <c r="AM216" s="29">
        <v>1</v>
      </c>
      <c r="AN216" s="29">
        <v>4</v>
      </c>
      <c r="AO216" s="29" t="s">
        <v>547</v>
      </c>
      <c r="AP216" s="29" t="s">
        <v>825</v>
      </c>
      <c r="AQ216" s="4">
        <f>Q216+AK216</f>
        <v>2</v>
      </c>
      <c r="AR216" s="4">
        <f>L216+AC216</f>
        <v>1</v>
      </c>
      <c r="AS216" t="str">
        <f>AQ216&amp;AR216</f>
        <v>21</v>
      </c>
      <c r="AT216" s="49">
        <f>AQ216-AR216</f>
        <v>1</v>
      </c>
      <c r="AU216">
        <v>2</v>
      </c>
      <c r="AV216" s="29" t="s">
        <v>546</v>
      </c>
      <c r="AX216" s="29" t="s">
        <v>548</v>
      </c>
      <c r="AY216" s="29">
        <v>1</v>
      </c>
      <c r="AZ216" s="29">
        <v>2</v>
      </c>
      <c r="BA216" s="29" t="s">
        <v>546</v>
      </c>
      <c r="BB216" s="29" t="s">
        <v>547</v>
      </c>
      <c r="BD216" s="29">
        <f>AW216+AZ216</f>
        <v>2</v>
      </c>
      <c r="BE216" s="29">
        <f>BD216+BC216</f>
        <v>2</v>
      </c>
      <c r="BF216" s="29" t="s">
        <v>548</v>
      </c>
      <c r="BG216" s="29" t="s">
        <v>546</v>
      </c>
      <c r="BH216" s="29" t="s">
        <v>548</v>
      </c>
      <c r="BI216" s="29" t="s">
        <v>548</v>
      </c>
      <c r="BJ216" s="29" t="s">
        <v>546</v>
      </c>
      <c r="BK216" s="29" t="s">
        <v>546</v>
      </c>
      <c r="BL216" s="29">
        <v>5</v>
      </c>
      <c r="BM216" s="29" t="s">
        <v>580</v>
      </c>
      <c r="BO216" s="29" t="s">
        <v>547</v>
      </c>
      <c r="BP216" s="29">
        <v>7</v>
      </c>
      <c r="BQ216" s="29" t="s">
        <v>580</v>
      </c>
      <c r="BR216" s="29">
        <v>3</v>
      </c>
      <c r="BS216" s="29" t="s">
        <v>580</v>
      </c>
      <c r="BU216" s="29" t="s">
        <v>547</v>
      </c>
      <c r="BW216" s="29">
        <f>(BL216*1)+(BN216*0.1)+(BP216*0.01)+(BR216*0.1)+(BT216*0.3)+(BV216*0.4)</f>
        <v>5.37</v>
      </c>
      <c r="BX216" s="29" t="s">
        <v>2219</v>
      </c>
      <c r="BY216" s="29">
        <v>1</v>
      </c>
      <c r="BZ216" s="29">
        <v>1</v>
      </c>
      <c r="CA216" s="29">
        <v>3</v>
      </c>
      <c r="CB216" s="29">
        <v>5</v>
      </c>
      <c r="CC216" s="29">
        <v>0</v>
      </c>
      <c r="CD216" s="29">
        <v>0</v>
      </c>
      <c r="CE216" s="29">
        <v>1</v>
      </c>
      <c r="CG216" s="29">
        <f>(CC216*15)+(CD216*0.8)+(CE216*0.3)+((AW216+AZ216)*15)</f>
        <v>30.3</v>
      </c>
      <c r="CH216" s="29" t="s">
        <v>2220</v>
      </c>
      <c r="CI216" s="29">
        <f>(BL216*1)+(BN216*0.1)+(BP216*0.01)+(BR216*0.1)+(BT216*0.3)+(BV216*0.4)+(CC216*15)+(CD216*0.8)+(CE216*0.3)+((AW216+AZ216)*15)</f>
        <v>35.67</v>
      </c>
      <c r="CJ216" s="29" t="s">
        <v>548</v>
      </c>
      <c r="CK216" s="29" t="s">
        <v>826</v>
      </c>
      <c r="CL216" s="29" t="s">
        <v>548</v>
      </c>
      <c r="CM216" s="29" t="s">
        <v>827</v>
      </c>
      <c r="CN216" s="29">
        <v>0.75</v>
      </c>
      <c r="CO216" s="29">
        <v>1.25</v>
      </c>
      <c r="CP216" s="29">
        <v>0</v>
      </c>
      <c r="CQ216" s="29" t="s">
        <v>548</v>
      </c>
      <c r="CR216" s="29">
        <v>1</v>
      </c>
      <c r="CS216" s="29">
        <v>14</v>
      </c>
      <c r="CT216" s="29" t="s">
        <v>551</v>
      </c>
      <c r="CU216" s="30">
        <v>3.3600000000000003</v>
      </c>
      <c r="CW216" s="29">
        <v>999</v>
      </c>
      <c r="CX216" s="29" t="s">
        <v>551</v>
      </c>
      <c r="CY216" s="62"/>
      <c r="CZ216" s="29">
        <v>1</v>
      </c>
      <c r="DA216" s="29">
        <v>1</v>
      </c>
      <c r="DB216" s="29" t="s">
        <v>551</v>
      </c>
      <c r="DC216" s="62">
        <v>0.24</v>
      </c>
      <c r="DD216" s="29" t="s">
        <v>548</v>
      </c>
      <c r="DE216" s="29" t="s">
        <v>546</v>
      </c>
      <c r="DF216" s="29" t="s">
        <v>548</v>
      </c>
      <c r="DG216" s="29" t="s">
        <v>546</v>
      </c>
      <c r="DH216" s="29" t="s">
        <v>548</v>
      </c>
      <c r="DI216" s="29">
        <v>3</v>
      </c>
      <c r="DJ216" s="29">
        <v>3</v>
      </c>
      <c r="DK216" s="29" t="s">
        <v>828</v>
      </c>
      <c r="DL216" s="29" t="s">
        <v>829</v>
      </c>
      <c r="DM216" s="29">
        <v>-4.3456454277038574</v>
      </c>
      <c r="DN216" s="29">
        <v>35.705318450927734</v>
      </c>
      <c r="DO216" s="29">
        <v>1358</v>
      </c>
      <c r="DP216" s="29">
        <v>10</v>
      </c>
      <c r="DQ216" s="29">
        <v>1705231439</v>
      </c>
      <c r="DR216" s="29" t="s">
        <v>830</v>
      </c>
      <c r="DS216" s="31">
        <v>42923.387118055558</v>
      </c>
      <c r="DT216" s="31">
        <v>42903.635358796295</v>
      </c>
      <c r="DU216" s="31">
        <v>42923.384085648147</v>
      </c>
      <c r="DV216" s="32">
        <v>43096</v>
      </c>
      <c r="DX216" s="44">
        <v>5.9519323671497597</v>
      </c>
      <c r="DY216" s="44">
        <v>5.7777294685990341</v>
      </c>
      <c r="DZ216" s="44">
        <v>3.2716666666666665</v>
      </c>
      <c r="EA216" s="44"/>
      <c r="EC216" s="29">
        <f>IF(EQ216&lt;EP216,"FALSEE",1)</f>
        <v>1</v>
      </c>
      <c r="EE216" s="29" t="s">
        <v>2171</v>
      </c>
      <c r="EF216" s="29">
        <v>1.7505050897600001</v>
      </c>
      <c r="EG216" s="29" t="str">
        <f>IF(EF216&lt;0.5,"Depression",IF(EF216&lt;2,"Very gentle",IF(EF216&lt;5,"Gentle",IF(EF216&lt;9,"Moderate",IF(EF216&lt;15,"Strong",IF(EF216&lt;30,"Steep",IF(EF216&lt;1,"Very steep")))))))</f>
        <v>Very gentle</v>
      </c>
      <c r="EH216" s="29" t="s">
        <v>2173</v>
      </c>
      <c r="EI216" s="29">
        <v>0.27193418145199999</v>
      </c>
      <c r="EJ216" s="43">
        <v>8.9792985916100001</v>
      </c>
      <c r="EK216" s="43">
        <f>VLOOKUP(D216,[1]SoilData!$G$15:$K$237,5,FALSE)</f>
        <v>369.95031282762386</v>
      </c>
      <c r="EL216" s="43">
        <f>VLOOKUP(D216,[1]SoilData!$G$245:$K$451,5,FALSE)</f>
        <v>272.41952044370817</v>
      </c>
      <c r="EM216" s="43">
        <f>VLOOKUP(D216,[1]SoilData!$G$15:$M$238,7,FALSE)</f>
        <v>1.171</v>
      </c>
      <c r="EN216" s="43">
        <f>VLOOKUP(D216,[1]SoilData!$G$245:$M$454,7,FALSE)</f>
        <v>0.97299999999999998</v>
      </c>
      <c r="EO216" s="60">
        <f>EM216-EN216</f>
        <v>0.19800000000000006</v>
      </c>
      <c r="EP216" s="44">
        <f>AVERAGE(DZ216:EA216)</f>
        <v>3.2716666666666665</v>
      </c>
      <c r="EQ216" s="44">
        <f>AVERAGE(DX216:DY216)</f>
        <v>5.8648309178743965</v>
      </c>
      <c r="ER216" s="43">
        <f>EQ216-EP216</f>
        <v>2.59316425120773</v>
      </c>
      <c r="ES216" s="64">
        <f>IF(CU216&gt;0.000001,CU216*352,0)</f>
        <v>1182.72</v>
      </c>
      <c r="ET216" s="64">
        <f>IF(DC216&gt;0.0001,DC216*682,0)</f>
        <v>163.68</v>
      </c>
      <c r="EU216" s="64">
        <f>CY216*795</f>
        <v>0</v>
      </c>
      <c r="EV216" s="64">
        <f>ES216+ET216+EU216</f>
        <v>1346.4</v>
      </c>
      <c r="EW216" s="64">
        <f>IF(AA216="YES",3.5*18.2,0)</f>
        <v>63.699999999999996</v>
      </c>
      <c r="EX216" s="64">
        <f>EV216-EW216</f>
        <v>1282.7</v>
      </c>
    </row>
    <row r="217" spans="1:154" ht="15" x14ac:dyDescent="0.2">
      <c r="A217" s="29" t="s">
        <v>789</v>
      </c>
      <c r="B217" s="29">
        <v>76</v>
      </c>
      <c r="C217" s="29" t="s">
        <v>423</v>
      </c>
      <c r="D217" s="29" t="s">
        <v>423</v>
      </c>
      <c r="E217" s="29" t="str">
        <f>VLOOKUP(D217,Harvest_2017_Formulae!$C$2:$D$968,2,FALSE)</f>
        <v>Endanachan</v>
      </c>
      <c r="F217" s="29" t="s">
        <v>777</v>
      </c>
      <c r="G217" s="29">
        <v>35</v>
      </c>
      <c r="H217" s="61" t="str">
        <f>IF(G217&lt;0.05,"Homefield",IF(G217&lt;0.5,"Midfield","outfield"))</f>
        <v>outfield</v>
      </c>
      <c r="I217" s="29" t="s">
        <v>805</v>
      </c>
      <c r="J217" s="61" t="s">
        <v>2233</v>
      </c>
      <c r="K217" s="61" t="s">
        <v>2233</v>
      </c>
      <c r="L217" s="67">
        <v>1</v>
      </c>
      <c r="M217" s="29">
        <v>12</v>
      </c>
      <c r="O217" s="29" t="s">
        <v>806</v>
      </c>
      <c r="P217" s="29">
        <v>0.14000000059604645</v>
      </c>
      <c r="Q217" s="67">
        <v>1</v>
      </c>
      <c r="R217" s="29" t="s">
        <v>791</v>
      </c>
      <c r="S217" s="29">
        <v>9</v>
      </c>
      <c r="T217" s="29">
        <v>0.10000000149011612</v>
      </c>
      <c r="U217" s="29" t="s">
        <v>560</v>
      </c>
      <c r="W217" s="29" t="s">
        <v>561</v>
      </c>
      <c r="Y217" s="29">
        <v>7000</v>
      </c>
      <c r="Z217" s="29" t="s">
        <v>547</v>
      </c>
      <c r="AA217" s="61" t="s">
        <v>548</v>
      </c>
      <c r="AB217" s="29" t="s">
        <v>614</v>
      </c>
      <c r="AC217" s="67">
        <v>0</v>
      </c>
      <c r="AD217" s="29" t="s">
        <v>547</v>
      </c>
      <c r="AF217" s="29" t="s">
        <v>547</v>
      </c>
      <c r="AG217" s="29" t="s">
        <v>547</v>
      </c>
      <c r="AH217" s="29" t="s">
        <v>548</v>
      </c>
      <c r="AI217" s="29" t="s">
        <v>546</v>
      </c>
      <c r="AK217" s="67">
        <v>1</v>
      </c>
      <c r="AL217" s="29">
        <v>2</v>
      </c>
      <c r="AM217" s="29">
        <v>1</v>
      </c>
      <c r="AN217" s="29">
        <v>24</v>
      </c>
      <c r="AO217" s="29">
        <v>10000</v>
      </c>
      <c r="AP217" s="29" t="s">
        <v>547</v>
      </c>
      <c r="AQ217" s="4">
        <f>Q217+AK217</f>
        <v>2</v>
      </c>
      <c r="AR217" s="4">
        <f>L217+AC217</f>
        <v>1</v>
      </c>
      <c r="AS217" t="str">
        <f>AQ217&amp;AR217</f>
        <v>21</v>
      </c>
      <c r="AT217" s="49">
        <f>AQ217-AR217</f>
        <v>1</v>
      </c>
      <c r="AU217">
        <v>2</v>
      </c>
      <c r="AV217" s="29" t="s">
        <v>548</v>
      </c>
      <c r="AW217" s="29">
        <v>0.25</v>
      </c>
      <c r="AX217" s="29" t="s">
        <v>548</v>
      </c>
      <c r="AY217" s="29">
        <v>5</v>
      </c>
      <c r="AZ217" s="29">
        <v>15</v>
      </c>
      <c r="BA217" s="29" t="s">
        <v>546</v>
      </c>
      <c r="BB217" s="29" t="s">
        <v>547</v>
      </c>
      <c r="BD217" s="29">
        <f>AW217+AZ217</f>
        <v>15.25</v>
      </c>
      <c r="BE217" s="29">
        <f>BD217+BC217</f>
        <v>15.25</v>
      </c>
      <c r="BF217" s="29" t="s">
        <v>548</v>
      </c>
      <c r="BG217" s="29" t="s">
        <v>548</v>
      </c>
      <c r="BH217" s="29" t="s">
        <v>546</v>
      </c>
      <c r="BI217" s="29" t="s">
        <v>548</v>
      </c>
      <c r="BJ217" s="29" t="s">
        <v>546</v>
      </c>
      <c r="BK217" s="29" t="s">
        <v>546</v>
      </c>
      <c r="BL217" s="29">
        <v>16</v>
      </c>
      <c r="BM217" s="29" t="s">
        <v>580</v>
      </c>
      <c r="BN217" s="29">
        <v>5</v>
      </c>
      <c r="BO217" s="29" t="s">
        <v>580</v>
      </c>
      <c r="BQ217" s="29" t="s">
        <v>547</v>
      </c>
      <c r="BR217" s="29">
        <v>3</v>
      </c>
      <c r="BS217" s="29" t="s">
        <v>580</v>
      </c>
      <c r="BU217" s="29" t="s">
        <v>547</v>
      </c>
      <c r="BW217" s="29">
        <f>(BL217*1)+(BN217*0.1)+(BP217*0.01)+(BR217*0.1)+(BT217*0.3)+(BV217*0.4)</f>
        <v>16.8</v>
      </c>
      <c r="BX217" s="29" t="s">
        <v>2221</v>
      </c>
      <c r="BY217" s="29">
        <v>1</v>
      </c>
      <c r="BZ217" s="29">
        <v>1</v>
      </c>
      <c r="CA217" s="29">
        <v>5</v>
      </c>
      <c r="CB217" s="29">
        <v>7</v>
      </c>
      <c r="CC217" s="29">
        <v>0</v>
      </c>
      <c r="CD217" s="29">
        <v>0</v>
      </c>
      <c r="CE217" s="29">
        <v>1</v>
      </c>
      <c r="CG217" s="29">
        <f>(CC217*15)+(CD217*0.8)+(CE217*0.3)+((AW217+AZ217)*15)</f>
        <v>229.05</v>
      </c>
      <c r="CH217" s="29" t="s">
        <v>2221</v>
      </c>
      <c r="CI217" s="29">
        <f>(BL217*1)+(BN217*0.1)+(BP217*0.01)+(BR217*0.1)+(BT217*0.3)+(BV217*0.4)+(CC217*15)+(CD217*0.8)+(CE217*0.3)+((AW217+AZ217)*15)</f>
        <v>245.85</v>
      </c>
      <c r="CJ217" s="29" t="s">
        <v>548</v>
      </c>
      <c r="CK217" s="29" t="s">
        <v>797</v>
      </c>
      <c r="CL217" s="29" t="s">
        <v>548</v>
      </c>
      <c r="CM217" s="29" t="s">
        <v>793</v>
      </c>
      <c r="CN217" s="29">
        <v>6</v>
      </c>
      <c r="CO217" s="29">
        <v>9</v>
      </c>
      <c r="CP217" s="29">
        <v>0</v>
      </c>
      <c r="CQ217" s="29" t="s">
        <v>546</v>
      </c>
      <c r="CR217" s="29">
        <v>1</v>
      </c>
      <c r="CS217" s="29">
        <v>16</v>
      </c>
      <c r="CT217" s="29" t="s">
        <v>551</v>
      </c>
      <c r="CU217" s="30">
        <v>3.84</v>
      </c>
      <c r="CV217" s="29">
        <v>1</v>
      </c>
      <c r="CW217" s="29">
        <v>0.5</v>
      </c>
      <c r="CX217" s="29" t="s">
        <v>551</v>
      </c>
      <c r="CY217" s="62">
        <v>0.12</v>
      </c>
      <c r="CZ217" s="29">
        <v>1</v>
      </c>
      <c r="DA217" s="29">
        <v>4</v>
      </c>
      <c r="DB217" s="29" t="s">
        <v>551</v>
      </c>
      <c r="DC217" s="62">
        <v>0.96</v>
      </c>
      <c r="DD217" s="29" t="s">
        <v>548</v>
      </c>
      <c r="DE217" s="29" t="s">
        <v>548</v>
      </c>
      <c r="DF217" s="29" t="s">
        <v>548</v>
      </c>
      <c r="DG217" s="29" t="s">
        <v>548</v>
      </c>
      <c r="DH217" s="29" t="s">
        <v>548</v>
      </c>
      <c r="DI217" s="29">
        <v>5</v>
      </c>
      <c r="DJ217" s="29">
        <v>5</v>
      </c>
      <c r="DK217" s="29" t="s">
        <v>807</v>
      </c>
      <c r="DL217" s="29" t="s">
        <v>808</v>
      </c>
      <c r="DM217" s="29">
        <v>-4.3533873558044434</v>
      </c>
      <c r="DN217" s="29">
        <v>35.696643829345703</v>
      </c>
      <c r="DO217" s="29">
        <v>1402.5999755859375</v>
      </c>
      <c r="DP217" s="29">
        <v>10</v>
      </c>
      <c r="DQ217" s="29">
        <v>1705231439</v>
      </c>
      <c r="DR217" s="29" t="s">
        <v>809</v>
      </c>
      <c r="DS217" s="31">
        <v>42923.387106481481</v>
      </c>
      <c r="DT217" s="31">
        <v>42903.589918981481</v>
      </c>
      <c r="DU217" s="31">
        <v>42923.384282407409</v>
      </c>
      <c r="DV217" s="32">
        <v>42738</v>
      </c>
      <c r="DX217" s="44">
        <v>7.5034343434343445</v>
      </c>
      <c r="DY217" s="44">
        <v>7.2737373737373732</v>
      </c>
      <c r="DZ217" s="44">
        <v>4.4421568627450982</v>
      </c>
      <c r="EA217" s="44">
        <v>4.6739215686274509</v>
      </c>
      <c r="EC217" s="29">
        <f>IF(EQ217&lt;EP217,"FALSEE",1)</f>
        <v>1</v>
      </c>
      <c r="EE217" s="29" t="s">
        <v>2179</v>
      </c>
      <c r="EF217" s="29">
        <v>6.8519463539099998</v>
      </c>
      <c r="EG217" s="29" t="str">
        <f>IF(EF217&lt;0.5,"Depression",IF(EF217&lt;2,"Very gentle",IF(EF217&lt;5,"Gentle",IF(EF217&lt;9,"Moderate",IF(EF217&lt;15,"Strong",IF(EF217&lt;30,"Steep",IF(EF217&lt;1,"Very steep")))))))</f>
        <v>Moderate</v>
      </c>
      <c r="EH217" s="29" t="s">
        <v>2178</v>
      </c>
      <c r="EI217" s="29">
        <v>8.4776775111099995E-6</v>
      </c>
      <c r="EJ217" s="43">
        <v>8.0385475158700004</v>
      </c>
      <c r="EK217" s="43">
        <f>VLOOKUP(D217,[1]SoilData!$G$15:$K$237,5,FALSE)</f>
        <v>504.54756103433351</v>
      </c>
      <c r="EL217" s="43">
        <f>VLOOKUP(D217,[1]SoilData!$G$245:$K$451,5,FALSE)</f>
        <v>577.32487118986876</v>
      </c>
      <c r="EM217" s="43">
        <f>VLOOKUP(D217,[1]SoilData!$G$15:$M$238,7,FALSE)</f>
        <v>1.2410000000000001</v>
      </c>
      <c r="EN217" s="43">
        <f>VLOOKUP(D217,[1]SoilData!$G$245:$M$454,7,FALSE)</f>
        <v>1.405</v>
      </c>
      <c r="EO217" s="60">
        <f>EM217-EN217</f>
        <v>-0.16399999999999992</v>
      </c>
      <c r="EP217" s="44">
        <f>AVERAGE(DZ217:EA217)</f>
        <v>4.558039215686275</v>
      </c>
      <c r="EQ217" s="44">
        <f>AVERAGE(DX217:DY217)</f>
        <v>7.3885858585858593</v>
      </c>
      <c r="ER217" s="43">
        <f>EQ217-EP217</f>
        <v>2.8305466428995842</v>
      </c>
      <c r="ES217" s="64">
        <f>IF(CU217&gt;0.000001,CU217*352,0)</f>
        <v>1351.6799999999998</v>
      </c>
      <c r="ET217" s="64">
        <f>IF(DC217&gt;0.0001,DC217*682,0)</f>
        <v>654.72</v>
      </c>
      <c r="EU217" s="64">
        <f>CY217*795</f>
        <v>95.399999999999991</v>
      </c>
      <c r="EV217" s="64">
        <f>ES217+ET217+EU217</f>
        <v>2101.7999999999997</v>
      </c>
      <c r="EW217" s="64">
        <f>IF(AA217="YES",3.5*18.2,0)</f>
        <v>63.699999999999996</v>
      </c>
      <c r="EX217" s="64">
        <f>EV217-EW217</f>
        <v>2038.0999999999997</v>
      </c>
    </row>
    <row r="218" spans="1:154" ht="15" x14ac:dyDescent="0.2">
      <c r="A218" s="29" t="s">
        <v>556</v>
      </c>
      <c r="B218" s="29">
        <v>199</v>
      </c>
      <c r="C218" s="29" t="s">
        <v>1361</v>
      </c>
      <c r="D218" s="29" t="s">
        <v>402</v>
      </c>
      <c r="E218" s="29" t="str">
        <f>VLOOKUP(D218,Harvest_2017_Formulae!$C$2:$D$968,2,FALSE)</f>
        <v>TSAMASI</v>
      </c>
      <c r="F218" s="29" t="s">
        <v>1014</v>
      </c>
      <c r="G218" s="29">
        <v>0</v>
      </c>
      <c r="H218" s="61" t="str">
        <f>IF(G218&lt;0.05,"Homefield",IF(G218&lt;0.5,"Midfield","outfield"))</f>
        <v>Homefield</v>
      </c>
      <c r="I218" s="29" t="s">
        <v>557</v>
      </c>
      <c r="J218" s="61" t="s">
        <v>2233</v>
      </c>
      <c r="K218" s="61" t="s">
        <v>2233</v>
      </c>
      <c r="L218" s="67">
        <v>0</v>
      </c>
      <c r="O218" s="29" t="s">
        <v>547</v>
      </c>
      <c r="Q218" s="67">
        <v>0</v>
      </c>
      <c r="R218" s="29" t="s">
        <v>547</v>
      </c>
      <c r="U218" s="29" t="s">
        <v>547</v>
      </c>
      <c r="W218" s="29" t="s">
        <v>547</v>
      </c>
      <c r="Z218" s="29" t="s">
        <v>547</v>
      </c>
      <c r="AA218" s="61" t="s">
        <v>548</v>
      </c>
      <c r="AB218" s="29" t="s">
        <v>614</v>
      </c>
      <c r="AC218" s="67">
        <v>0</v>
      </c>
      <c r="AD218" s="29" t="s">
        <v>547</v>
      </c>
      <c r="AF218" s="29" t="s">
        <v>547</v>
      </c>
      <c r="AG218" s="29" t="s">
        <v>547</v>
      </c>
      <c r="AH218" s="29" t="s">
        <v>546</v>
      </c>
      <c r="AI218" s="29" t="s">
        <v>546</v>
      </c>
      <c r="AJ218" s="29" t="s">
        <v>547</v>
      </c>
      <c r="AK218" s="67">
        <v>1</v>
      </c>
      <c r="AL218" s="29">
        <v>1</v>
      </c>
      <c r="AM218" s="29">
        <v>1</v>
      </c>
      <c r="AN218" s="29">
        <v>5</v>
      </c>
      <c r="AO218" s="29">
        <v>20000</v>
      </c>
      <c r="AP218" s="29" t="s">
        <v>547</v>
      </c>
      <c r="AQ218" s="4">
        <f>Q218+AK218</f>
        <v>1</v>
      </c>
      <c r="AR218" s="4">
        <f>L218+AC218</f>
        <v>0</v>
      </c>
      <c r="AS218" t="str">
        <f>AQ218&amp;AR218</f>
        <v>10</v>
      </c>
      <c r="AT218" s="49">
        <f>AQ218-AR218</f>
        <v>1</v>
      </c>
      <c r="AU218">
        <v>2</v>
      </c>
      <c r="AV218" s="29" t="s">
        <v>548</v>
      </c>
      <c r="AW218" s="29">
        <v>1</v>
      </c>
      <c r="AX218" s="29" t="s">
        <v>548</v>
      </c>
      <c r="AY218" s="29">
        <v>1</v>
      </c>
      <c r="AZ218" s="29">
        <v>1</v>
      </c>
      <c r="BA218" s="29" t="s">
        <v>546</v>
      </c>
      <c r="BB218" s="29" t="s">
        <v>547</v>
      </c>
      <c r="BD218" s="29">
        <f>AW218+AZ218</f>
        <v>2</v>
      </c>
      <c r="BE218" s="29">
        <f>BD218+BC218</f>
        <v>2</v>
      </c>
      <c r="BF218" s="29" t="s">
        <v>546</v>
      </c>
      <c r="BG218" s="29" t="s">
        <v>546</v>
      </c>
      <c r="BH218" s="29" t="s">
        <v>546</v>
      </c>
      <c r="BI218" s="29" t="s">
        <v>546</v>
      </c>
      <c r="BJ218" s="29" t="s">
        <v>546</v>
      </c>
      <c r="BK218" s="29" t="s">
        <v>546</v>
      </c>
      <c r="BM218" s="29" t="s">
        <v>547</v>
      </c>
      <c r="BO218" s="29" t="s">
        <v>547</v>
      </c>
      <c r="BQ218" s="29" t="s">
        <v>547</v>
      </c>
      <c r="BS218" s="29" t="s">
        <v>547</v>
      </c>
      <c r="BU218" s="29" t="s">
        <v>547</v>
      </c>
      <c r="BW218" s="29">
        <f>(BL218*1)+(BN218*0.1)+(BP218*0.01)+(BR218*0.1)+(BT218*0.3)+(BV218*0.4)</f>
        <v>0</v>
      </c>
      <c r="BX218" s="29" t="s">
        <v>2223</v>
      </c>
      <c r="BY218" s="29">
        <v>1</v>
      </c>
      <c r="BZ218" s="29">
        <v>2</v>
      </c>
      <c r="CA218" s="29">
        <v>0</v>
      </c>
      <c r="CB218" s="29">
        <v>3</v>
      </c>
      <c r="CC218" s="29">
        <v>0</v>
      </c>
      <c r="CD218" s="29">
        <v>0</v>
      </c>
      <c r="CE218" s="29">
        <v>0</v>
      </c>
      <c r="CF218" s="29" t="s">
        <v>547</v>
      </c>
      <c r="CG218" s="29">
        <f>(CC218*15)+(CD218*0.8)+(CE218*0.3)+((AW218+AZ218)*15)</f>
        <v>30</v>
      </c>
      <c r="CH218" s="29" t="s">
        <v>2220</v>
      </c>
      <c r="CI218" s="29">
        <f>(BL218*1)+(BN218*0.1)+(BP218*0.01)+(BR218*0.1)+(BT218*0.3)+(BV218*0.4)+(CC218*15)+(CD218*0.8)+(CE218*0.3)+((AW218+AZ218)*15)</f>
        <v>30</v>
      </c>
      <c r="CJ218" s="29" t="s">
        <v>546</v>
      </c>
      <c r="CK218" s="29" t="s">
        <v>547</v>
      </c>
      <c r="CL218" s="29" t="s">
        <v>546</v>
      </c>
      <c r="CM218" s="29" t="s">
        <v>547</v>
      </c>
      <c r="CN218" s="29">
        <v>0.25</v>
      </c>
      <c r="CO218" s="29">
        <v>0.75</v>
      </c>
      <c r="CQ218" s="29" t="s">
        <v>546</v>
      </c>
      <c r="CR218" s="29">
        <v>1</v>
      </c>
      <c r="CS218" s="29">
        <v>1</v>
      </c>
      <c r="CT218" s="29" t="s">
        <v>551</v>
      </c>
      <c r="CU218" s="30">
        <v>0.24</v>
      </c>
      <c r="CW218" s="29">
        <v>999</v>
      </c>
      <c r="CX218" s="29" t="s">
        <v>551</v>
      </c>
      <c r="CY218" s="62"/>
      <c r="CZ218" s="29">
        <v>1</v>
      </c>
      <c r="DA218" s="29">
        <v>3</v>
      </c>
      <c r="DB218" s="29" t="s">
        <v>552</v>
      </c>
      <c r="DC218" s="62">
        <v>0.12023999999999997</v>
      </c>
      <c r="DD218" s="29" t="s">
        <v>548</v>
      </c>
      <c r="DE218" s="29" t="s">
        <v>546</v>
      </c>
      <c r="DF218" s="29" t="s">
        <v>546</v>
      </c>
      <c r="DG218" s="29" t="s">
        <v>546</v>
      </c>
      <c r="DH218" s="29" t="s">
        <v>546</v>
      </c>
      <c r="DI218" s="29">
        <v>1</v>
      </c>
      <c r="DJ218" s="29">
        <v>2</v>
      </c>
      <c r="DK218" s="29" t="s">
        <v>1362</v>
      </c>
      <c r="DL218" s="29" t="s">
        <v>1363</v>
      </c>
      <c r="DM218" s="29">
        <v>-4.2895827293395996</v>
      </c>
      <c r="DN218" s="29">
        <v>35.82958984375</v>
      </c>
      <c r="DO218" s="29">
        <v>1256.199951171875</v>
      </c>
      <c r="DP218" s="29">
        <v>5</v>
      </c>
      <c r="DQ218" s="29">
        <v>1706031849</v>
      </c>
      <c r="DR218" s="29" t="s">
        <v>1364</v>
      </c>
      <c r="DS218" s="31">
        <v>42948.908437499995</v>
      </c>
      <c r="DT218" s="31">
        <v>42938.438159722224</v>
      </c>
      <c r="DU218" s="31">
        <v>42938.449363425927</v>
      </c>
      <c r="DV218" s="32">
        <v>42772</v>
      </c>
      <c r="DX218" s="44">
        <v>4.1560286738351246</v>
      </c>
      <c r="DY218" s="44">
        <v>2.9449318996415772</v>
      </c>
      <c r="DZ218" s="44">
        <v>4.7574603174603176</v>
      </c>
      <c r="EA218" s="44">
        <v>5.4317460317460311</v>
      </c>
      <c r="EC218" s="29" t="str">
        <f>IF(EQ218&lt;EP218,"FALSEE",1)</f>
        <v>FALSEE</v>
      </c>
      <c r="EE218" s="29" t="s">
        <v>2179</v>
      </c>
      <c r="EF218" s="29">
        <v>3.9993274211899998</v>
      </c>
      <c r="EG218" s="29" t="str">
        <f>IF(EF218&lt;0.5,"Depression",IF(EF218&lt;2,"Very gentle",IF(EF218&lt;5,"Gentle",IF(EF218&lt;9,"Moderate",IF(EF218&lt;15,"Strong",IF(EF218&lt;30,"Steep",IF(EF218&lt;1,"Very steep")))))))</f>
        <v>Gentle</v>
      </c>
      <c r="EH218" s="29" t="s">
        <v>2173</v>
      </c>
      <c r="EI218" s="29">
        <v>8.4776775111099995E-6</v>
      </c>
      <c r="EJ218" s="43">
        <v>9.0250988006600004</v>
      </c>
      <c r="EK218" s="43">
        <f>VLOOKUP(D218,[1]SoilData!$G$15:$K$237,5,FALSE)</f>
        <v>1026.1932158679701</v>
      </c>
      <c r="EL218" s="43">
        <f>VLOOKUP(D218,[1]SoilData!$G$245:$K$451,5,FALSE)</f>
        <v>1020.6200277317463</v>
      </c>
      <c r="EM218" s="43">
        <f>VLOOKUP(D218,[1]SoilData!$G$15:$M$238,7,FALSE)</f>
        <v>1.722</v>
      </c>
      <c r="EN218" s="43">
        <f>VLOOKUP(D218,[1]SoilData!$G$245:$M$454,7,FALSE)</f>
        <v>1.748</v>
      </c>
      <c r="EO218" s="60">
        <f>EM218-EN218</f>
        <v>-2.6000000000000023E-2</v>
      </c>
      <c r="EP218" s="44">
        <f>AVERAGE(DZ218:EA218)</f>
        <v>5.0946031746031739</v>
      </c>
      <c r="EQ218" s="44">
        <f>AVERAGE(DX218:DY218)</f>
        <v>3.5504802867383507</v>
      </c>
      <c r="ER218" s="43">
        <f>EQ218-EP218</f>
        <v>-1.5441228878648232</v>
      </c>
      <c r="ES218" s="64">
        <f>IF(CU218&gt;0.000001,CU218*352,0)</f>
        <v>84.47999999999999</v>
      </c>
      <c r="ET218" s="64">
        <f>IF(DC218&gt;0.0001,DC218*682,0)</f>
        <v>82.003679999999974</v>
      </c>
      <c r="EU218" s="64">
        <f>CY218*795</f>
        <v>0</v>
      </c>
      <c r="EV218" s="64">
        <f>ES218+ET218+EU218</f>
        <v>166.48367999999996</v>
      </c>
      <c r="EW218" s="64">
        <f>IF(AA218="YES",3.5*18.2,0)</f>
        <v>63.699999999999996</v>
      </c>
      <c r="EX218" s="64">
        <f>EV218-EW218</f>
        <v>102.78367999999998</v>
      </c>
    </row>
    <row r="219" spans="1:154" ht="15" x14ac:dyDescent="0.2">
      <c r="A219" s="29" t="s">
        <v>841</v>
      </c>
      <c r="B219" s="29">
        <v>243</v>
      </c>
      <c r="C219" s="29" t="s">
        <v>906</v>
      </c>
      <c r="D219" s="33" t="s">
        <v>161</v>
      </c>
      <c r="E219" s="29" t="str">
        <f>VLOOKUP(D219,Harvest_2017_Formulae!$C$2:$D$968,2,FALSE)</f>
        <v>ENDANOGA</v>
      </c>
      <c r="F219" s="29" t="s">
        <v>843</v>
      </c>
      <c r="G219" s="29">
        <v>0</v>
      </c>
      <c r="H219" s="61" t="str">
        <f>IF(G219&lt;0.05,"Homefield",IF(G219&lt;0.5,"Midfield","outfield"))</f>
        <v>Homefield</v>
      </c>
      <c r="I219" s="29" t="s">
        <v>557</v>
      </c>
      <c r="J219" s="61" t="s">
        <v>2233</v>
      </c>
      <c r="K219" s="61" t="s">
        <v>2233</v>
      </c>
      <c r="L219" s="67">
        <v>0</v>
      </c>
      <c r="O219" s="29" t="s">
        <v>547</v>
      </c>
      <c r="Q219" s="67">
        <v>0</v>
      </c>
      <c r="R219" s="29" t="s">
        <v>547</v>
      </c>
      <c r="U219" s="29" t="s">
        <v>547</v>
      </c>
      <c r="W219" s="29" t="s">
        <v>547</v>
      </c>
      <c r="Z219" s="29" t="s">
        <v>547</v>
      </c>
      <c r="AA219" s="61" t="s">
        <v>548</v>
      </c>
      <c r="AB219" s="29" t="s">
        <v>568</v>
      </c>
      <c r="AC219" s="67">
        <v>0</v>
      </c>
      <c r="AD219" s="29" t="s">
        <v>547</v>
      </c>
      <c r="AF219" s="29" t="s">
        <v>547</v>
      </c>
      <c r="AG219" s="29" t="s">
        <v>547</v>
      </c>
      <c r="AH219" s="29" t="s">
        <v>548</v>
      </c>
      <c r="AI219" s="29" t="s">
        <v>546</v>
      </c>
      <c r="AJ219" s="29" t="s">
        <v>547</v>
      </c>
      <c r="AK219" s="67">
        <v>1</v>
      </c>
      <c r="AL219" s="29">
        <v>3</v>
      </c>
      <c r="AM219" s="29">
        <v>1</v>
      </c>
      <c r="AN219" s="29">
        <v>1</v>
      </c>
      <c r="AO219" s="29" t="s">
        <v>547</v>
      </c>
      <c r="AP219" s="29" t="s">
        <v>567</v>
      </c>
      <c r="AQ219" s="4">
        <f>Q219+AK219</f>
        <v>1</v>
      </c>
      <c r="AR219" s="4">
        <f>L219+AC219</f>
        <v>0</v>
      </c>
      <c r="AS219" t="str">
        <f>AQ219&amp;AR219</f>
        <v>10</v>
      </c>
      <c r="AT219" s="49">
        <f>AQ219-AR219</f>
        <v>1</v>
      </c>
      <c r="AU219">
        <v>2</v>
      </c>
      <c r="AV219" s="29" t="s">
        <v>548</v>
      </c>
      <c r="AW219" s="29">
        <v>0.5</v>
      </c>
      <c r="AX219" s="29" t="s">
        <v>546</v>
      </c>
      <c r="BA219" s="29" t="s">
        <v>548</v>
      </c>
      <c r="BB219" s="29" t="s">
        <v>569</v>
      </c>
      <c r="BC219" s="29">
        <v>0.5</v>
      </c>
      <c r="BD219" s="29">
        <f>AW219+AZ219</f>
        <v>0.5</v>
      </c>
      <c r="BE219" s="29">
        <f>BD219+BC219</f>
        <v>1</v>
      </c>
      <c r="BF219" s="29" t="s">
        <v>546</v>
      </c>
      <c r="BG219" s="29" t="s">
        <v>546</v>
      </c>
      <c r="BH219" s="29" t="s">
        <v>548</v>
      </c>
      <c r="BI219" s="29" t="s">
        <v>546</v>
      </c>
      <c r="BJ219" s="29" t="s">
        <v>546</v>
      </c>
      <c r="BK219" s="29" t="s">
        <v>546</v>
      </c>
      <c r="BM219" s="29" t="s">
        <v>547</v>
      </c>
      <c r="BO219" s="29" t="s">
        <v>547</v>
      </c>
      <c r="BP219" s="29">
        <v>4</v>
      </c>
      <c r="BQ219" s="29" t="s">
        <v>562</v>
      </c>
      <c r="BS219" s="29" t="s">
        <v>547</v>
      </c>
      <c r="BU219" s="29" t="s">
        <v>547</v>
      </c>
      <c r="BW219" s="29">
        <f>(BL219*1)+(BN219*0.1)+(BP219*0.01)+(BR219*0.1)+(BT219*0.3)+(BV219*0.4)</f>
        <v>0.04</v>
      </c>
      <c r="BX219" s="29" t="s">
        <v>2223</v>
      </c>
      <c r="BY219" s="29">
        <v>1</v>
      </c>
      <c r="BZ219" s="29">
        <v>1</v>
      </c>
      <c r="CA219" s="29">
        <v>1</v>
      </c>
      <c r="CB219" s="29">
        <v>3</v>
      </c>
      <c r="CC219" s="29">
        <v>0</v>
      </c>
      <c r="CD219" s="29">
        <v>0</v>
      </c>
      <c r="CE219" s="29">
        <v>0</v>
      </c>
      <c r="CF219" s="29" t="s">
        <v>547</v>
      </c>
      <c r="CG219" s="29">
        <f>(CC219*15)+(CD219*0.8)+(CE219*0.3)+((AW219+AZ219)*15)</f>
        <v>7.5</v>
      </c>
      <c r="CH219" s="29" t="s">
        <v>2219</v>
      </c>
      <c r="CI219" s="29">
        <f>(BL219*1)+(BN219*0.1)+(BP219*0.01)+(BR219*0.1)+(BT219*0.3)+(BV219*0.4)+(CC219*15)+(CD219*0.8)+(CE219*0.3)+((AW219+AZ219)*15)</f>
        <v>7.54</v>
      </c>
      <c r="CJ219" s="29" t="s">
        <v>548</v>
      </c>
      <c r="CK219" s="29" t="s">
        <v>899</v>
      </c>
      <c r="CL219" s="29" t="s">
        <v>548</v>
      </c>
      <c r="CM219" s="29" t="s">
        <v>550</v>
      </c>
      <c r="CN219" s="29">
        <v>0.5</v>
      </c>
      <c r="CO219" s="29">
        <v>0</v>
      </c>
      <c r="CP219" s="29">
        <v>1</v>
      </c>
      <c r="CQ219" s="29" t="s">
        <v>546</v>
      </c>
      <c r="CR219" s="29">
        <v>0.5</v>
      </c>
      <c r="CS219" s="29">
        <v>3</v>
      </c>
      <c r="CT219" s="29" t="s">
        <v>551</v>
      </c>
      <c r="CU219" s="30">
        <v>1.4400000000000002</v>
      </c>
      <c r="CX219" s="29" t="s">
        <v>551</v>
      </c>
      <c r="CY219" s="62"/>
      <c r="CZ219" s="29">
        <v>0.5</v>
      </c>
      <c r="DA219" s="29">
        <v>2</v>
      </c>
      <c r="DB219" s="29" t="s">
        <v>551</v>
      </c>
      <c r="DC219" s="62">
        <v>0.96</v>
      </c>
      <c r="DD219" s="29" t="s">
        <v>548</v>
      </c>
      <c r="DE219" s="29" t="s">
        <v>546</v>
      </c>
      <c r="DF219" s="29" t="s">
        <v>546</v>
      </c>
      <c r="DG219" s="29" t="s">
        <v>546</v>
      </c>
      <c r="DH219" s="29" t="s">
        <v>546</v>
      </c>
      <c r="DI219" s="29">
        <v>1</v>
      </c>
      <c r="DJ219" s="29">
        <v>3</v>
      </c>
      <c r="DK219" s="29" t="s">
        <v>907</v>
      </c>
      <c r="DL219" s="29" t="s">
        <v>908</v>
      </c>
      <c r="DM219" s="29">
        <v>-4.2654929161071777</v>
      </c>
      <c r="DN219" s="29">
        <v>35.845199584960938</v>
      </c>
      <c r="DO219" s="29">
        <v>1373.9000244140625</v>
      </c>
      <c r="DP219" s="29">
        <v>5</v>
      </c>
      <c r="DQ219" s="29">
        <v>1706031849</v>
      </c>
      <c r="DR219" s="29" t="s">
        <v>909</v>
      </c>
      <c r="DS219" s="31">
        <v>42978.591273148151</v>
      </c>
      <c r="DT219" s="31">
        <v>42895.515289351853</v>
      </c>
      <c r="DU219" s="31">
        <v>42978.588263888887</v>
      </c>
      <c r="DV219" s="32">
        <v>42788</v>
      </c>
      <c r="DX219" s="44">
        <v>5.8806100217864925</v>
      </c>
      <c r="DY219" s="44">
        <v>5.307189542483659</v>
      </c>
      <c r="DZ219" s="44">
        <v>5.9933333333333332</v>
      </c>
      <c r="EA219" s="44">
        <v>5.3186274509803919</v>
      </c>
      <c r="EC219" s="29" t="str">
        <f>IF(EQ219&lt;EP219,"FALSEE",1)</f>
        <v>FALSEE</v>
      </c>
      <c r="EE219" s="29" t="s">
        <v>2171</v>
      </c>
      <c r="EF219" s="29">
        <v>3.1718769073500002</v>
      </c>
      <c r="EG219" s="29" t="str">
        <f>IF(EF219&lt;0.5,"Depression",IF(EF219&lt;2,"Very gentle",IF(EF219&lt;5,"Gentle",IF(EF219&lt;9,"Moderate",IF(EF219&lt;15,"Strong",IF(EF219&lt;30,"Steep",IF(EF219&lt;1,"Very steep")))))))</f>
        <v>Gentle</v>
      </c>
      <c r="EH219" s="29" t="s">
        <v>2173</v>
      </c>
      <c r="EI219" s="29">
        <v>9.0650379657699995E-2</v>
      </c>
      <c r="EJ219" s="43">
        <v>12.1861162186</v>
      </c>
      <c r="EK219" s="43">
        <f>VLOOKUP(D219,[1]SoilData!$G$15:$K$237,5,FALSE)</f>
        <v>209.90886554915275</v>
      </c>
      <c r="EL219" s="43">
        <f>VLOOKUP(D219,[1]SoilData!$G$245:$K$451,5,FALSE)</f>
        <v>145.7711374982276</v>
      </c>
      <c r="EM219" s="43">
        <f>VLOOKUP(D219,[1]SoilData!$G$15:$M$238,7,FALSE)</f>
        <v>1.0009999999999999</v>
      </c>
      <c r="EN219" s="43">
        <f>VLOOKUP(D219,[1]SoilData!$G$245:$M$454,7,FALSE)</f>
        <v>0.93300000000000005</v>
      </c>
      <c r="EO219" s="60">
        <f>EM219-EN219</f>
        <v>6.7999999999999838E-2</v>
      </c>
      <c r="EP219" s="44">
        <f>AVERAGE(DZ219:EA219)</f>
        <v>5.655980392156863</v>
      </c>
      <c r="EQ219" s="44">
        <f>AVERAGE(DX219:DY219)</f>
        <v>5.5938997821350753</v>
      </c>
      <c r="ER219" s="43">
        <f>EQ219-EP219</f>
        <v>-6.2080610021787663E-2</v>
      </c>
      <c r="ES219" s="64">
        <f>IF(CU219&gt;0.000001,CU219*352,0)</f>
        <v>506.88000000000005</v>
      </c>
      <c r="ET219" s="64">
        <f>IF(DC219&gt;0.0001,DC219*682,0)</f>
        <v>654.72</v>
      </c>
      <c r="EU219" s="64">
        <f>CY219*795</f>
        <v>0</v>
      </c>
      <c r="EV219" s="64">
        <f>ES219+ET219+EU219</f>
        <v>1161.6000000000001</v>
      </c>
      <c r="EW219" s="64">
        <f>IF(AA219="YES",3.5*18.2,0)</f>
        <v>63.699999999999996</v>
      </c>
      <c r="EX219" s="64">
        <f>EV219-EW219</f>
        <v>1097.9000000000001</v>
      </c>
    </row>
    <row r="220" spans="1:154" ht="15" x14ac:dyDescent="0.2">
      <c r="A220" s="29" t="s">
        <v>556</v>
      </c>
      <c r="B220" s="29">
        <v>166</v>
      </c>
      <c r="C220" s="29" t="s">
        <v>421</v>
      </c>
      <c r="D220" s="29" t="s">
        <v>421</v>
      </c>
      <c r="E220" s="29" t="str">
        <f>VLOOKUP(D220,Harvest_2017_Formulae!$C$2:$D$968,2,FALSE)</f>
        <v>DURU</v>
      </c>
      <c r="F220" s="29" t="s">
        <v>645</v>
      </c>
      <c r="G220" s="29">
        <v>0</v>
      </c>
      <c r="H220" s="61" t="str">
        <f>IF(G220&lt;0.05,"Homefield",IF(G220&lt;0.5,"Midfield","outfield"))</f>
        <v>Homefield</v>
      </c>
      <c r="I220" s="29" t="s">
        <v>557</v>
      </c>
      <c r="J220" s="61" t="s">
        <v>2233</v>
      </c>
      <c r="K220" s="61" t="s">
        <v>2233</v>
      </c>
      <c r="L220" s="67">
        <v>0</v>
      </c>
      <c r="O220" s="29" t="s">
        <v>547</v>
      </c>
      <c r="Q220" s="67">
        <v>0</v>
      </c>
      <c r="R220" s="29" t="s">
        <v>547</v>
      </c>
      <c r="U220" s="29" t="s">
        <v>547</v>
      </c>
      <c r="W220" s="29" t="s">
        <v>547</v>
      </c>
      <c r="Z220" s="29" t="s">
        <v>547</v>
      </c>
      <c r="AA220" s="61" t="s">
        <v>548</v>
      </c>
      <c r="AB220" s="29" t="s">
        <v>567</v>
      </c>
      <c r="AC220" s="67">
        <v>0</v>
      </c>
      <c r="AD220" s="29" t="s">
        <v>547</v>
      </c>
      <c r="AF220" s="29" t="s">
        <v>547</v>
      </c>
      <c r="AG220" s="29" t="s">
        <v>547</v>
      </c>
      <c r="AH220" s="29" t="s">
        <v>546</v>
      </c>
      <c r="AI220" s="29" t="s">
        <v>546</v>
      </c>
      <c r="AJ220" s="29" t="s">
        <v>547</v>
      </c>
      <c r="AK220" s="67">
        <v>1</v>
      </c>
      <c r="AL220" s="29" t="s">
        <v>649</v>
      </c>
      <c r="AM220" s="29">
        <v>5</v>
      </c>
      <c r="AN220" s="29">
        <v>5</v>
      </c>
      <c r="AO220" s="29" t="s">
        <v>547</v>
      </c>
      <c r="AP220" s="29" t="s">
        <v>567</v>
      </c>
      <c r="AQ220" s="4">
        <f>Q220+AK220</f>
        <v>1</v>
      </c>
      <c r="AR220" s="4">
        <f>L220+AC220</f>
        <v>0</v>
      </c>
      <c r="AS220" t="str">
        <f>AQ220&amp;AR220</f>
        <v>10</v>
      </c>
      <c r="AT220" s="49">
        <f>AQ220-AR220</f>
        <v>1</v>
      </c>
      <c r="AU220">
        <v>2</v>
      </c>
      <c r="AV220" s="29" t="s">
        <v>546</v>
      </c>
      <c r="AX220" s="29" t="s">
        <v>548</v>
      </c>
      <c r="AY220" s="29">
        <v>1</v>
      </c>
      <c r="AZ220" s="29">
        <v>0.25</v>
      </c>
      <c r="BA220" s="29" t="s">
        <v>546</v>
      </c>
      <c r="BB220" s="29" t="s">
        <v>547</v>
      </c>
      <c r="BD220" s="29">
        <f>AW220+AZ220</f>
        <v>0.25</v>
      </c>
      <c r="BE220" s="29">
        <f>BD220+BC220</f>
        <v>0.25</v>
      </c>
      <c r="BF220" s="29" t="s">
        <v>546</v>
      </c>
      <c r="BG220" s="29" t="s">
        <v>546</v>
      </c>
      <c r="BH220" s="29" t="s">
        <v>548</v>
      </c>
      <c r="BI220" s="29" t="s">
        <v>546</v>
      </c>
      <c r="BJ220" s="29" t="s">
        <v>546</v>
      </c>
      <c r="BK220" s="29" t="s">
        <v>546</v>
      </c>
      <c r="BM220" s="29" t="s">
        <v>547</v>
      </c>
      <c r="BO220" s="29" t="s">
        <v>547</v>
      </c>
      <c r="BP220" s="29">
        <v>7</v>
      </c>
      <c r="BQ220" s="29" t="s">
        <v>562</v>
      </c>
      <c r="BS220" s="29" t="s">
        <v>547</v>
      </c>
      <c r="BU220" s="29" t="s">
        <v>547</v>
      </c>
      <c r="BW220" s="29">
        <f>(BL220*1)+(BN220*0.1)+(BP220*0.01)+(BR220*0.1)+(BT220*0.3)+(BV220*0.4)</f>
        <v>7.0000000000000007E-2</v>
      </c>
      <c r="BX220" s="29" t="s">
        <v>2223</v>
      </c>
      <c r="BY220" s="29">
        <v>1</v>
      </c>
      <c r="BZ220" s="29">
        <v>0</v>
      </c>
      <c r="CA220" s="29">
        <v>0</v>
      </c>
      <c r="CB220" s="29">
        <v>1</v>
      </c>
      <c r="CC220" s="29">
        <v>0</v>
      </c>
      <c r="CD220" s="29">
        <v>0</v>
      </c>
      <c r="CE220" s="29">
        <v>0</v>
      </c>
      <c r="CF220" s="29" t="s">
        <v>547</v>
      </c>
      <c r="CG220" s="29">
        <f>(CC220*15)+(CD220*0.8)+(CE220*0.3)+((AW220+AZ220)*15)</f>
        <v>3.75</v>
      </c>
      <c r="CH220" s="29" t="s">
        <v>2219</v>
      </c>
      <c r="CI220" s="29">
        <f>(BL220*1)+(BN220*0.1)+(BP220*0.01)+(BR220*0.1)+(BT220*0.3)+(BV220*0.4)+(CC220*15)+(CD220*0.8)+(CE220*0.3)+((AW220+AZ220)*15)</f>
        <v>3.82</v>
      </c>
      <c r="CJ220" s="29" t="s">
        <v>546</v>
      </c>
      <c r="CK220" s="29" t="s">
        <v>547</v>
      </c>
      <c r="CL220" s="29" t="s">
        <v>546</v>
      </c>
      <c r="CM220" s="29" t="s">
        <v>547</v>
      </c>
      <c r="CN220" s="29">
        <v>0.125</v>
      </c>
      <c r="CO220" s="29">
        <v>0.125</v>
      </c>
      <c r="CQ220" s="29" t="s">
        <v>548</v>
      </c>
      <c r="CR220" s="29">
        <v>0.25</v>
      </c>
      <c r="CS220" s="29">
        <v>5.5</v>
      </c>
      <c r="CT220" s="29" t="s">
        <v>552</v>
      </c>
      <c r="CU220" s="30">
        <v>0.88175999999999999</v>
      </c>
      <c r="CW220" s="29">
        <v>999</v>
      </c>
      <c r="CX220" s="29" t="s">
        <v>552</v>
      </c>
      <c r="CY220" s="62"/>
      <c r="CZ220" s="29">
        <v>0.25</v>
      </c>
      <c r="DA220" s="29">
        <v>0.5</v>
      </c>
      <c r="DB220" s="29" t="s">
        <v>552</v>
      </c>
      <c r="DC220" s="62">
        <v>8.0159999999999995E-2</v>
      </c>
      <c r="DD220" s="29" t="s">
        <v>548</v>
      </c>
      <c r="DE220" s="29" t="s">
        <v>548</v>
      </c>
      <c r="DF220" s="29" t="s">
        <v>548</v>
      </c>
      <c r="DG220" s="29" t="s">
        <v>548</v>
      </c>
      <c r="DH220" s="29" t="s">
        <v>548</v>
      </c>
      <c r="DI220" s="29">
        <v>5</v>
      </c>
      <c r="DJ220" s="29">
        <v>2</v>
      </c>
      <c r="DK220" s="29" t="s">
        <v>650</v>
      </c>
      <c r="DL220" s="29" t="s">
        <v>651</v>
      </c>
      <c r="DM220" s="29">
        <v>-4.319150447845459</v>
      </c>
      <c r="DN220" s="29">
        <v>35.604507446289062</v>
      </c>
      <c r="DO220" s="29">
        <v>1590.5999755859375</v>
      </c>
      <c r="DP220" s="29">
        <v>5</v>
      </c>
      <c r="DQ220" s="29">
        <v>1706031849</v>
      </c>
      <c r="DR220" s="29" t="s">
        <v>652</v>
      </c>
      <c r="DS220" s="31">
        <v>42921.432592592595</v>
      </c>
      <c r="DT220" s="31">
        <v>42919.54184027778</v>
      </c>
      <c r="DU220" s="31">
        <v>42919.549085648148</v>
      </c>
      <c r="DV220" s="32">
        <v>42764</v>
      </c>
      <c r="DX220" s="44">
        <v>4.0569841269841271</v>
      </c>
      <c r="DY220" s="44">
        <v>6.8059788359788369</v>
      </c>
      <c r="DZ220" s="44">
        <v>4.4190828924162258</v>
      </c>
      <c r="EA220" s="44">
        <v>4.1530511463844801</v>
      </c>
      <c r="EC220" s="29">
        <f>IF(EQ220&lt;EP220,"FALSEE",1)</f>
        <v>1</v>
      </c>
      <c r="EE220" s="29" t="s">
        <v>2174</v>
      </c>
      <c r="EF220" s="29">
        <v>12.976887702899999</v>
      </c>
      <c r="EG220" s="29" t="str">
        <f>IF(EF220&lt;0.5,"Depression",IF(EF220&lt;2,"Very gentle",IF(EF220&lt;5,"Gentle",IF(EF220&lt;9,"Moderate",IF(EF220&lt;15,"Strong",IF(EF220&lt;30,"Steep",IF(EF220&lt;1,"Very steep")))))))</f>
        <v>Strong</v>
      </c>
      <c r="EH220" s="29" t="s">
        <v>2178</v>
      </c>
      <c r="EI220" s="29">
        <v>-0.27191722393000001</v>
      </c>
      <c r="EJ220" s="43">
        <v>7.2643718719499999</v>
      </c>
      <c r="EK220" s="43">
        <f>VLOOKUP(D220,[1]SoilData!$G$15:$K$237,5,FALSE)</f>
        <v>274.18974685744104</v>
      </c>
      <c r="EL220" s="43">
        <f>VLOOKUP(D220,[1]SoilData!$G$245:$K$451,5,FALSE)</f>
        <v>154.49878104285798</v>
      </c>
      <c r="EM220" s="43">
        <f>VLOOKUP(D220,[1]SoilData!$G$15:$M$238,7,FALSE)</f>
        <v>1.1240000000000001</v>
      </c>
      <c r="EN220" s="43">
        <f>VLOOKUP(D220,[1]SoilData!$G$245:$M$454,7,FALSE)</f>
        <v>1.07</v>
      </c>
      <c r="EO220" s="60">
        <f>EM220-EN220</f>
        <v>5.4000000000000048E-2</v>
      </c>
      <c r="EP220" s="44">
        <f>AVERAGE(DZ220:EA220)</f>
        <v>4.2860670194003525</v>
      </c>
      <c r="EQ220" s="44">
        <f>AVERAGE(DX220:DY220)</f>
        <v>5.431481481481482</v>
      </c>
      <c r="ER220" s="43">
        <f>EQ220-EP220</f>
        <v>1.1454144620811295</v>
      </c>
      <c r="ES220" s="64">
        <f>IF(CU220&gt;0.000001,CU220*352,0)</f>
        <v>310.37952000000001</v>
      </c>
      <c r="ET220" s="64">
        <f>IF(DC220&gt;0.0001,DC220*682,0)</f>
        <v>54.669119999999999</v>
      </c>
      <c r="EU220" s="64">
        <f>CY220*795</f>
        <v>0</v>
      </c>
      <c r="EV220" s="64">
        <f>ES220+ET220+EU220</f>
        <v>365.04864000000003</v>
      </c>
      <c r="EW220" s="64">
        <f>IF(AA220="YES",3.5*18.2,0)</f>
        <v>63.699999999999996</v>
      </c>
      <c r="EX220" s="64">
        <f>EV220-EW220</f>
        <v>301.34864000000005</v>
      </c>
    </row>
    <row r="221" spans="1:154" ht="15" x14ac:dyDescent="0.2">
      <c r="A221" s="29" t="s">
        <v>857</v>
      </c>
      <c r="B221" s="29">
        <v>246</v>
      </c>
      <c r="C221" s="29" t="s">
        <v>160</v>
      </c>
      <c r="D221" s="33" t="s">
        <v>160</v>
      </c>
      <c r="E221" s="29" t="str">
        <f>VLOOKUP(D221,Harvest_2017_Formulae!$C$2:$D$968,2,FALSE)</f>
        <v>ENDANOGA</v>
      </c>
      <c r="F221" s="29" t="s">
        <v>843</v>
      </c>
      <c r="G221" s="29">
        <v>0</v>
      </c>
      <c r="H221" s="61" t="str">
        <f>IF(G221&lt;0.05,"Homefield",IF(G221&lt;0.5,"Midfield","outfield"))</f>
        <v>Homefield</v>
      </c>
      <c r="I221" s="29" t="s">
        <v>545</v>
      </c>
      <c r="J221" s="61" t="s">
        <v>545</v>
      </c>
      <c r="K221" s="61" t="s">
        <v>2234</v>
      </c>
      <c r="L221" s="67">
        <v>0</v>
      </c>
      <c r="O221" s="29" t="s">
        <v>547</v>
      </c>
      <c r="Q221" s="67">
        <v>0</v>
      </c>
      <c r="R221" s="29" t="s">
        <v>547</v>
      </c>
      <c r="U221" s="29" t="s">
        <v>547</v>
      </c>
      <c r="W221" s="29" t="s">
        <v>547</v>
      </c>
      <c r="Z221" s="29" t="s">
        <v>547</v>
      </c>
      <c r="AA221" s="61" t="s">
        <v>548</v>
      </c>
      <c r="AB221" s="29" t="s">
        <v>614</v>
      </c>
      <c r="AC221" s="67">
        <v>0</v>
      </c>
      <c r="AD221" s="29" t="s">
        <v>547</v>
      </c>
      <c r="AF221" s="29" t="s">
        <v>547</v>
      </c>
      <c r="AG221" s="29" t="s">
        <v>547</v>
      </c>
      <c r="AH221" s="29" t="s">
        <v>546</v>
      </c>
      <c r="AI221" s="29" t="s">
        <v>546</v>
      </c>
      <c r="AJ221" s="29" t="s">
        <v>547</v>
      </c>
      <c r="AK221" s="67">
        <v>1</v>
      </c>
      <c r="AL221" s="29">
        <v>888</v>
      </c>
      <c r="AM221" s="29">
        <v>5</v>
      </c>
      <c r="AN221" s="29">
        <v>2</v>
      </c>
      <c r="AO221" s="29">
        <v>35000</v>
      </c>
      <c r="AP221" s="29" t="s">
        <v>547</v>
      </c>
      <c r="AQ221" s="4">
        <f>Q221+AK221</f>
        <v>1</v>
      </c>
      <c r="AR221" s="4">
        <f>L221+AC221</f>
        <v>0</v>
      </c>
      <c r="AS221" t="str">
        <f>AQ221&amp;AR221</f>
        <v>10</v>
      </c>
      <c r="AT221" s="49">
        <f>AQ221-AR221</f>
        <v>1</v>
      </c>
      <c r="AU221">
        <v>2</v>
      </c>
      <c r="AV221" s="29" t="s">
        <v>548</v>
      </c>
      <c r="AW221" s="29">
        <v>2.5</v>
      </c>
      <c r="AX221" s="29" t="s">
        <v>546</v>
      </c>
      <c r="BA221" s="29" t="s">
        <v>548</v>
      </c>
      <c r="BB221" s="29" t="s">
        <v>569</v>
      </c>
      <c r="BC221" s="29">
        <v>1.5</v>
      </c>
      <c r="BD221" s="29">
        <f>AW221+AZ221</f>
        <v>2.5</v>
      </c>
      <c r="BE221" s="29">
        <f>BD221+BC221</f>
        <v>4</v>
      </c>
      <c r="BF221" s="29" t="s">
        <v>546</v>
      </c>
      <c r="BG221" s="29" t="s">
        <v>546</v>
      </c>
      <c r="BH221" s="29" t="s">
        <v>548</v>
      </c>
      <c r="BI221" s="29" t="s">
        <v>546</v>
      </c>
      <c r="BJ221" s="29" t="s">
        <v>546</v>
      </c>
      <c r="BK221" s="29" t="s">
        <v>546</v>
      </c>
      <c r="BM221" s="29" t="s">
        <v>547</v>
      </c>
      <c r="BO221" s="29" t="s">
        <v>547</v>
      </c>
      <c r="BP221" s="29">
        <v>10</v>
      </c>
      <c r="BQ221" s="29" t="s">
        <v>562</v>
      </c>
      <c r="BS221" s="29" t="s">
        <v>547</v>
      </c>
      <c r="BU221" s="29" t="s">
        <v>547</v>
      </c>
      <c r="BW221" s="29">
        <f>(BL221*1)+(BN221*0.1)+(BP221*0.01)+(BR221*0.1)+(BT221*0.3)+(BV221*0.4)</f>
        <v>0.1</v>
      </c>
      <c r="BX221" s="29" t="s">
        <v>2223</v>
      </c>
      <c r="BY221" s="29">
        <v>2</v>
      </c>
      <c r="BZ221" s="29">
        <v>2</v>
      </c>
      <c r="CA221" s="29">
        <v>2</v>
      </c>
      <c r="CB221" s="29">
        <v>6</v>
      </c>
      <c r="CC221" s="29">
        <v>0</v>
      </c>
      <c r="CD221" s="29">
        <v>0</v>
      </c>
      <c r="CE221" s="29">
        <v>0</v>
      </c>
      <c r="CF221" s="29" t="s">
        <v>547</v>
      </c>
      <c r="CG221" s="29">
        <f>(CC221*15)+(CD221*0.8)+(CE221*0.3)+((AW221+AZ221)*15)</f>
        <v>37.5</v>
      </c>
      <c r="CH221" s="29" t="s">
        <v>2220</v>
      </c>
      <c r="CI221" s="29">
        <f>(BL221*1)+(BN221*0.1)+(BP221*0.01)+(BR221*0.1)+(BT221*0.3)+(BV221*0.4)+(CC221*15)+(CD221*0.8)+(CE221*0.3)+((AW221+AZ221)*15)</f>
        <v>37.6</v>
      </c>
      <c r="CJ221" s="29" t="s">
        <v>548</v>
      </c>
      <c r="CK221" s="29" t="s">
        <v>899</v>
      </c>
      <c r="CL221" s="29" t="s">
        <v>548</v>
      </c>
      <c r="CM221" s="29" t="s">
        <v>550</v>
      </c>
      <c r="CN221" s="29">
        <v>1</v>
      </c>
      <c r="CO221" s="29">
        <v>0</v>
      </c>
      <c r="CP221" s="29">
        <v>1.25</v>
      </c>
      <c r="CQ221" s="29" t="s">
        <v>546</v>
      </c>
      <c r="CR221" s="29">
        <v>1.25</v>
      </c>
      <c r="CS221" s="29">
        <v>15</v>
      </c>
      <c r="CT221" s="29" t="s">
        <v>551</v>
      </c>
      <c r="CU221" s="30">
        <v>2.88</v>
      </c>
      <c r="CX221" s="29" t="s">
        <v>551</v>
      </c>
      <c r="CY221" s="62"/>
      <c r="CZ221" s="29">
        <v>1.25</v>
      </c>
      <c r="DA221" s="29">
        <v>4</v>
      </c>
      <c r="DB221" s="29" t="s">
        <v>551</v>
      </c>
      <c r="DC221" s="62">
        <v>0.76800000000000002</v>
      </c>
      <c r="DD221" s="29" t="s">
        <v>548</v>
      </c>
      <c r="DE221" s="29" t="s">
        <v>548</v>
      </c>
      <c r="DF221" s="29" t="s">
        <v>548</v>
      </c>
      <c r="DG221" s="29" t="s">
        <v>548</v>
      </c>
      <c r="DH221" s="29" t="s">
        <v>548</v>
      </c>
      <c r="DI221" s="29">
        <v>5</v>
      </c>
      <c r="DJ221" s="29">
        <v>3</v>
      </c>
      <c r="DK221" s="29" t="s">
        <v>903</v>
      </c>
      <c r="DL221" s="29" t="s">
        <v>904</v>
      </c>
      <c r="DM221" s="29">
        <v>-4.2683243751525879</v>
      </c>
      <c r="DN221" s="29">
        <v>35.845981597900391</v>
      </c>
      <c r="DO221" s="29">
        <v>1378.199951171875</v>
      </c>
      <c r="DP221" s="29">
        <v>5</v>
      </c>
      <c r="DQ221" s="29">
        <v>1706031849</v>
      </c>
      <c r="DR221" s="29" t="s">
        <v>905</v>
      </c>
      <c r="DS221" s="31">
        <v>42978.591307870374</v>
      </c>
      <c r="DT221" s="31">
        <v>42895.593923611115</v>
      </c>
      <c r="DU221" s="31">
        <v>42978.588958333334</v>
      </c>
      <c r="DV221" s="32">
        <v>42768</v>
      </c>
      <c r="DX221" s="44">
        <v>5.4784722222222237</v>
      </c>
      <c r="DY221" s="44">
        <v>5.0368402777777783</v>
      </c>
      <c r="DZ221" s="44">
        <v>4.2137948717948728</v>
      </c>
      <c r="EA221" s="44">
        <v>3.6386837606837608</v>
      </c>
      <c r="EC221" s="29">
        <f>IF(EQ221&lt;EP221,"FALSEE",1)</f>
        <v>1</v>
      </c>
      <c r="EE221" s="29" t="s">
        <v>2171</v>
      </c>
      <c r="EF221" s="29">
        <v>3.4858486652399998</v>
      </c>
      <c r="EG221" s="29" t="str">
        <f>IF(EF221&lt;0.5,"Depression",IF(EF221&lt;2,"Very gentle",IF(EF221&lt;5,"Gentle",IF(EF221&lt;9,"Moderate",IF(EF221&lt;15,"Strong",IF(EF221&lt;30,"Steep",IF(EF221&lt;1,"Very steep")))))))</f>
        <v>Gentle</v>
      </c>
      <c r="EH221" s="29" t="s">
        <v>2173</v>
      </c>
      <c r="EI221" s="29">
        <v>8.4776775111099995E-6</v>
      </c>
      <c r="EJ221" s="43">
        <v>11.2769908905</v>
      </c>
      <c r="EK221" s="43">
        <f>VLOOKUP(D221,[1]SoilData!$G$15:$K$237,5,FALSE)</f>
        <v>457.07052649984234</v>
      </c>
      <c r="EL221" s="43">
        <f>VLOOKUP(D221,[1]SoilData!$G$245:$K$451,5,FALSE)</f>
        <v>299.14396544609201</v>
      </c>
      <c r="EM221" s="43">
        <f>VLOOKUP(D221,[1]SoilData!$G$15:$M$238,7,FALSE)</f>
        <v>1.796</v>
      </c>
      <c r="EN221" s="43">
        <f>VLOOKUP(D221,[1]SoilData!$G$245:$M$454,7,FALSE)</f>
        <v>1.903</v>
      </c>
      <c r="EO221" s="60">
        <f>EM221-EN221</f>
        <v>-0.10699999999999998</v>
      </c>
      <c r="EP221" s="44">
        <f>AVERAGE(DZ221:EA221)</f>
        <v>3.9262393162393168</v>
      </c>
      <c r="EQ221" s="44">
        <f>AVERAGE(DX221:DY221)</f>
        <v>5.257656250000001</v>
      </c>
      <c r="ER221" s="43">
        <f>EQ221-EP221</f>
        <v>1.3314169337606843</v>
      </c>
      <c r="ES221" s="64">
        <f>IF(CU221&gt;0.000001,CU221*352,0)</f>
        <v>1013.76</v>
      </c>
      <c r="ET221" s="64">
        <f>IF(DC221&gt;0.0001,DC221*682,0)</f>
        <v>523.77600000000007</v>
      </c>
      <c r="EU221" s="64">
        <f>CY221*795</f>
        <v>0</v>
      </c>
      <c r="EV221" s="64">
        <f>ES221+ET221+EU221</f>
        <v>1537.5360000000001</v>
      </c>
      <c r="EW221" s="64">
        <f>IF(AA221="YES",3.5*18.2,0)</f>
        <v>63.699999999999996</v>
      </c>
      <c r="EX221" s="64">
        <f>EV221-EW221</f>
        <v>1473.836</v>
      </c>
    </row>
    <row r="222" spans="1:154" ht="15" x14ac:dyDescent="0.2">
      <c r="A222" s="29" t="s">
        <v>841</v>
      </c>
      <c r="B222" s="29">
        <v>247</v>
      </c>
      <c r="C222" s="29" t="s">
        <v>158</v>
      </c>
      <c r="D222" s="33" t="s">
        <v>158</v>
      </c>
      <c r="E222" s="29" t="str">
        <f>VLOOKUP(D222,Harvest_2017_Formulae!$C$2:$D$968,2,FALSE)</f>
        <v>ENDANOGA</v>
      </c>
      <c r="F222" s="29" t="s">
        <v>843</v>
      </c>
      <c r="G222" s="29">
        <v>0</v>
      </c>
      <c r="H222" s="61" t="str">
        <f>IF(G222&lt;0.05,"Homefield",IF(G222&lt;0.5,"Midfield","outfield"))</f>
        <v>Homefield</v>
      </c>
      <c r="I222" s="29" t="s">
        <v>545</v>
      </c>
      <c r="J222" s="61" t="s">
        <v>545</v>
      </c>
      <c r="K222" s="61" t="s">
        <v>2234</v>
      </c>
      <c r="L222" s="67">
        <v>0</v>
      </c>
      <c r="O222" s="29" t="s">
        <v>547</v>
      </c>
      <c r="Q222" s="67">
        <v>0</v>
      </c>
      <c r="R222" s="29" t="s">
        <v>547</v>
      </c>
      <c r="U222" s="29" t="s">
        <v>547</v>
      </c>
      <c r="W222" s="29" t="s">
        <v>547</v>
      </c>
      <c r="Z222" s="29" t="s">
        <v>547</v>
      </c>
      <c r="AA222" s="61" t="s">
        <v>548</v>
      </c>
      <c r="AB222" s="29" t="s">
        <v>614</v>
      </c>
      <c r="AC222" s="67">
        <v>0</v>
      </c>
      <c r="AD222" s="29" t="s">
        <v>547</v>
      </c>
      <c r="AF222" s="29" t="s">
        <v>547</v>
      </c>
      <c r="AG222" s="29" t="s">
        <v>547</v>
      </c>
      <c r="AH222" s="29" t="s">
        <v>546</v>
      </c>
      <c r="AI222" s="29" t="s">
        <v>546</v>
      </c>
      <c r="AJ222" s="29" t="s">
        <v>547</v>
      </c>
      <c r="AK222" s="67">
        <v>1</v>
      </c>
      <c r="AL222" s="29">
        <v>3</v>
      </c>
      <c r="AM222" s="29">
        <v>1</v>
      </c>
      <c r="AN222" s="29">
        <v>6</v>
      </c>
      <c r="AO222" s="29">
        <v>5000</v>
      </c>
      <c r="AP222" s="29" t="s">
        <v>547</v>
      </c>
      <c r="AQ222" s="4">
        <f>Q222+AK222</f>
        <v>1</v>
      </c>
      <c r="AR222" s="4">
        <f>L222+AC222</f>
        <v>0</v>
      </c>
      <c r="AS222" t="str">
        <f>AQ222&amp;AR222</f>
        <v>10</v>
      </c>
      <c r="AT222" s="49">
        <f>AQ222-AR222</f>
        <v>1</v>
      </c>
      <c r="AU222">
        <v>2</v>
      </c>
      <c r="AV222" s="29" t="s">
        <v>548</v>
      </c>
      <c r="AW222" s="29">
        <v>0.75</v>
      </c>
      <c r="AX222" s="29" t="s">
        <v>548</v>
      </c>
      <c r="AY222" s="29">
        <v>1</v>
      </c>
      <c r="AZ222" s="29">
        <v>1</v>
      </c>
      <c r="BA222" s="29" t="s">
        <v>546</v>
      </c>
      <c r="BB222" s="29" t="s">
        <v>547</v>
      </c>
      <c r="BD222" s="29">
        <f>AW222+AZ222</f>
        <v>1.75</v>
      </c>
      <c r="BE222" s="29">
        <f>BD222+BC222</f>
        <v>1.75</v>
      </c>
      <c r="BF222" s="29" t="s">
        <v>546</v>
      </c>
      <c r="BG222" s="29" t="s">
        <v>548</v>
      </c>
      <c r="BH222" s="29" t="s">
        <v>546</v>
      </c>
      <c r="BI222" s="29" t="s">
        <v>546</v>
      </c>
      <c r="BJ222" s="29" t="s">
        <v>546</v>
      </c>
      <c r="BK222" s="29" t="s">
        <v>546</v>
      </c>
      <c r="BM222" s="29" t="s">
        <v>547</v>
      </c>
      <c r="BN222" s="29">
        <v>3</v>
      </c>
      <c r="BO222" s="29" t="s">
        <v>562</v>
      </c>
      <c r="BQ222" s="29" t="s">
        <v>547</v>
      </c>
      <c r="BS222" s="29" t="s">
        <v>547</v>
      </c>
      <c r="BU222" s="29" t="s">
        <v>547</v>
      </c>
      <c r="BW222" s="29">
        <f>(BL222*1)+(BN222*0.1)+(BP222*0.01)+(BR222*0.1)+(BT222*0.3)+(BV222*0.4)</f>
        <v>0.30000000000000004</v>
      </c>
      <c r="BX222" s="29" t="s">
        <v>2223</v>
      </c>
      <c r="BY222" s="29">
        <v>1</v>
      </c>
      <c r="BZ222" s="29">
        <v>1</v>
      </c>
      <c r="CA222" s="29">
        <v>1</v>
      </c>
      <c r="CB222" s="29">
        <v>3</v>
      </c>
      <c r="CC222" s="29">
        <v>0</v>
      </c>
      <c r="CD222" s="29">
        <v>0</v>
      </c>
      <c r="CE222" s="29">
        <v>0</v>
      </c>
      <c r="CF222" s="29" t="s">
        <v>547</v>
      </c>
      <c r="CG222" s="29">
        <f>(CC222*15)+(CD222*0.8)+(CE222*0.3)+((AW222+AZ222)*15)</f>
        <v>26.25</v>
      </c>
      <c r="CH222" s="29" t="s">
        <v>2220</v>
      </c>
      <c r="CI222" s="29">
        <f>(BL222*1)+(BN222*0.1)+(BP222*0.01)+(BR222*0.1)+(BT222*0.3)+(BV222*0.4)+(CC222*15)+(CD222*0.8)+(CE222*0.3)+((AW222+AZ222)*15)</f>
        <v>26.55</v>
      </c>
      <c r="CJ222" s="29" t="s">
        <v>548</v>
      </c>
      <c r="CK222" s="29" t="s">
        <v>899</v>
      </c>
      <c r="CL222" s="29" t="s">
        <v>548</v>
      </c>
      <c r="CM222" s="29" t="s">
        <v>550</v>
      </c>
      <c r="CN222" s="29">
        <v>0.25</v>
      </c>
      <c r="CO222" s="29">
        <v>0</v>
      </c>
      <c r="CP222" s="29">
        <v>1</v>
      </c>
      <c r="CQ222" s="29" t="s">
        <v>548</v>
      </c>
      <c r="CR222" s="29">
        <v>1.5</v>
      </c>
      <c r="CS222" s="29">
        <v>3</v>
      </c>
      <c r="CT222" s="29" t="s">
        <v>552</v>
      </c>
      <c r="CU222" s="30">
        <v>8.0159999999999995E-2</v>
      </c>
      <c r="CX222" s="29" t="s">
        <v>551</v>
      </c>
      <c r="CY222" s="62"/>
      <c r="CZ222" s="29">
        <v>1.5</v>
      </c>
      <c r="DA222" s="29">
        <v>5</v>
      </c>
      <c r="DB222" s="29" t="s">
        <v>551</v>
      </c>
      <c r="DC222" s="62">
        <v>0.79999999999999993</v>
      </c>
      <c r="DD222" s="29" t="s">
        <v>546</v>
      </c>
      <c r="DE222" s="29" t="s">
        <v>548</v>
      </c>
      <c r="DF222" s="29" t="s">
        <v>546</v>
      </c>
      <c r="DG222" s="29" t="s">
        <v>546</v>
      </c>
      <c r="DH222" s="29" t="s">
        <v>546</v>
      </c>
      <c r="DI222" s="29">
        <v>1</v>
      </c>
      <c r="DJ222" s="29">
        <v>2</v>
      </c>
      <c r="DK222" s="29" t="s">
        <v>900</v>
      </c>
      <c r="DL222" s="29" t="s">
        <v>901</v>
      </c>
      <c r="DM222" s="29">
        <v>-4.2666792869567871</v>
      </c>
      <c r="DN222" s="29">
        <v>35.846050262451172</v>
      </c>
      <c r="DO222" s="29">
        <v>1378.9000244140625</v>
      </c>
      <c r="DP222" s="29">
        <v>5</v>
      </c>
      <c r="DQ222" s="29">
        <v>1706031849</v>
      </c>
      <c r="DR222" s="29" t="s">
        <v>902</v>
      </c>
      <c r="DS222" s="31">
        <v>42978.591331018513</v>
      </c>
      <c r="DT222" s="31">
        <v>42895.619317129633</v>
      </c>
      <c r="DU222" s="31">
        <v>42978.589143518519</v>
      </c>
      <c r="DV222" s="32">
        <v>42789</v>
      </c>
      <c r="DX222" s="44">
        <v>5.483109243697478</v>
      </c>
      <c r="DY222" s="44">
        <v>4.5225210084033618</v>
      </c>
      <c r="DZ222" s="44">
        <v>4.3584362139917694</v>
      </c>
      <c r="EA222" s="44">
        <v>4.3279149519890261</v>
      </c>
      <c r="EC222" s="29">
        <f>IF(EQ222&lt;EP222,"FALSEE",1)</f>
        <v>1</v>
      </c>
      <c r="EE222" s="29" t="s">
        <v>2171</v>
      </c>
      <c r="EF222" s="29">
        <v>3.4926533699000002</v>
      </c>
      <c r="EG222" s="29" t="str">
        <f>IF(EF222&lt;0.5,"Depression",IF(EF222&lt;2,"Very gentle",IF(EF222&lt;5,"Gentle",IF(EF222&lt;9,"Moderate",IF(EF222&lt;15,"Strong",IF(EF222&lt;30,"Steep",IF(EF222&lt;1,"Very steep")))))))</f>
        <v>Gentle</v>
      </c>
      <c r="EH222" s="29" t="s">
        <v>2173</v>
      </c>
      <c r="EI222" s="29">
        <v>0.27193418145199999</v>
      </c>
      <c r="EJ222" s="43">
        <v>11.186497688299999</v>
      </c>
      <c r="EK222" s="43">
        <f>VLOOKUP(D222,[1]SoilData!$G$15:$K$237,5,FALSE)</f>
        <v>360.60633680956835</v>
      </c>
      <c r="EL222" s="43">
        <f>VLOOKUP(D222,[1]SoilData!$G$245:$K$451,5,FALSE)</f>
        <v>376.8985322662075</v>
      </c>
      <c r="EM222" s="43">
        <f>VLOOKUP(D222,[1]SoilData!$G$15:$M$238,7,FALSE)</f>
        <v>1.8540000000000001</v>
      </c>
      <c r="EN222" s="43">
        <f>VLOOKUP(D222,[1]SoilData!$G$245:$M$454,7,FALSE)</f>
        <v>1.7549999999999999</v>
      </c>
      <c r="EO222" s="60">
        <f>EM222-EN222</f>
        <v>9.9000000000000199E-2</v>
      </c>
      <c r="EP222" s="44">
        <f>AVERAGE(DZ222:EA222)</f>
        <v>4.3431755829903977</v>
      </c>
      <c r="EQ222" s="44">
        <f>AVERAGE(DX222:DY222)</f>
        <v>5.0028151260504199</v>
      </c>
      <c r="ER222" s="43">
        <f>EQ222-EP222</f>
        <v>0.65963954306002215</v>
      </c>
      <c r="ES222" s="64">
        <f>IF(CU222&gt;0.000001,CU222*352,0)</f>
        <v>28.21632</v>
      </c>
      <c r="ET222" s="64">
        <f>IF(DC222&gt;0.0001,DC222*682,0)</f>
        <v>545.59999999999991</v>
      </c>
      <c r="EU222" s="64">
        <f>CY222*795</f>
        <v>0</v>
      </c>
      <c r="EV222" s="64">
        <f>ES222+ET222+EU222</f>
        <v>573.81631999999991</v>
      </c>
      <c r="EW222" s="64">
        <f>IF(AA222="YES",3.5*18.2,0)</f>
        <v>63.699999999999996</v>
      </c>
      <c r="EX222" s="64">
        <f>EV222-EW222</f>
        <v>510.11631999999992</v>
      </c>
    </row>
    <row r="223" spans="1:154" ht="15" x14ac:dyDescent="0.2">
      <c r="A223" s="29" t="s">
        <v>556</v>
      </c>
      <c r="B223" s="29">
        <v>134</v>
      </c>
      <c r="C223" s="29" t="s">
        <v>321</v>
      </c>
      <c r="D223" s="29" t="s">
        <v>321</v>
      </c>
      <c r="E223" s="29" t="str">
        <f>VLOOKUP(D223,Harvest_2017_Formulae!$C$2:$D$968,2,FALSE)</f>
        <v>AYAMANGO</v>
      </c>
      <c r="F223" s="29" t="s">
        <v>196</v>
      </c>
      <c r="G223" s="29">
        <v>1</v>
      </c>
      <c r="H223" s="61" t="str">
        <f>IF(G223&lt;0.05,"Homefield",IF(G223&lt;0.5,"Midfield","outfield"))</f>
        <v>outfield</v>
      </c>
      <c r="I223" s="29" t="s">
        <v>557</v>
      </c>
      <c r="J223" s="61" t="s">
        <v>2233</v>
      </c>
      <c r="K223" s="61" t="s">
        <v>2233</v>
      </c>
      <c r="L223" s="67">
        <v>0</v>
      </c>
      <c r="O223" s="29" t="s">
        <v>547</v>
      </c>
      <c r="Q223" s="67">
        <v>0</v>
      </c>
      <c r="R223" s="29" t="s">
        <v>547</v>
      </c>
      <c r="U223" s="29" t="s">
        <v>547</v>
      </c>
      <c r="Z223" s="29" t="s">
        <v>547</v>
      </c>
      <c r="AA223" s="61" t="s">
        <v>546</v>
      </c>
      <c r="AB223" s="29" t="s">
        <v>547</v>
      </c>
      <c r="AC223" s="67">
        <v>0</v>
      </c>
      <c r="AD223" s="29" t="s">
        <v>547</v>
      </c>
      <c r="AF223" s="29" t="s">
        <v>547</v>
      </c>
      <c r="AG223" s="29" t="s">
        <v>547</v>
      </c>
      <c r="AH223" s="29" t="s">
        <v>546</v>
      </c>
      <c r="AI223" s="29" t="s">
        <v>546</v>
      </c>
      <c r="AJ223" s="29" t="s">
        <v>547</v>
      </c>
      <c r="AK223" s="67">
        <v>1</v>
      </c>
      <c r="AL223" s="29">
        <v>888</v>
      </c>
      <c r="AM223" s="29">
        <v>5</v>
      </c>
      <c r="AN223" s="29">
        <v>30</v>
      </c>
      <c r="AO223" s="29">
        <v>5000</v>
      </c>
      <c r="AP223" s="29" t="s">
        <v>547</v>
      </c>
      <c r="AQ223" s="4">
        <f>Q223+AK223</f>
        <v>1</v>
      </c>
      <c r="AR223" s="4">
        <f>L223+AC223</f>
        <v>0</v>
      </c>
      <c r="AS223" t="str">
        <f>AQ223&amp;AR223</f>
        <v>10</v>
      </c>
      <c r="AT223" s="49">
        <f>AQ223-AR223</f>
        <v>1</v>
      </c>
      <c r="AU223">
        <v>2</v>
      </c>
      <c r="AV223" s="29" t="s">
        <v>548</v>
      </c>
      <c r="AW223" s="29">
        <v>0.125</v>
      </c>
      <c r="AX223" s="29" t="s">
        <v>548</v>
      </c>
      <c r="AY223" s="29">
        <v>1</v>
      </c>
      <c r="AZ223" s="29">
        <v>7</v>
      </c>
      <c r="BA223" s="29" t="s">
        <v>548</v>
      </c>
      <c r="BB223" s="29" t="s">
        <v>569</v>
      </c>
      <c r="BC223" s="29">
        <v>17</v>
      </c>
      <c r="BD223" s="29">
        <f>AW223+AZ223</f>
        <v>7.125</v>
      </c>
      <c r="BE223" s="29">
        <f>BD223+BC223</f>
        <v>24.125</v>
      </c>
      <c r="BF223" s="29" t="s">
        <v>548</v>
      </c>
      <c r="BG223" s="29" t="s">
        <v>546</v>
      </c>
      <c r="BH223" s="29" t="s">
        <v>548</v>
      </c>
      <c r="BI223" s="29" t="s">
        <v>546</v>
      </c>
      <c r="BJ223" s="29" t="s">
        <v>546</v>
      </c>
      <c r="BK223" s="29" t="s">
        <v>546</v>
      </c>
      <c r="BL223" s="29">
        <v>4</v>
      </c>
      <c r="BM223" s="29" t="s">
        <v>549</v>
      </c>
      <c r="BO223" s="29" t="s">
        <v>547</v>
      </c>
      <c r="BP223" s="29">
        <v>13</v>
      </c>
      <c r="BQ223" s="29" t="s">
        <v>549</v>
      </c>
      <c r="BS223" s="29" t="s">
        <v>547</v>
      </c>
      <c r="BU223" s="29" t="s">
        <v>547</v>
      </c>
      <c r="BW223" s="29">
        <f>(BL223*1)+(BN223*0.1)+(BP223*0.01)+(BR223*0.1)+(BT223*0.3)+(BV223*0.4)</f>
        <v>4.13</v>
      </c>
      <c r="BX223" s="29" t="s">
        <v>2219</v>
      </c>
      <c r="BY223" s="29">
        <v>1</v>
      </c>
      <c r="BZ223" s="29">
        <v>1</v>
      </c>
      <c r="CA223" s="29">
        <v>3</v>
      </c>
      <c r="CB223" s="29">
        <v>5</v>
      </c>
      <c r="CC223" s="29">
        <v>0</v>
      </c>
      <c r="CD223" s="29">
        <v>1</v>
      </c>
      <c r="CE223" s="29">
        <v>1</v>
      </c>
      <c r="CF223" s="29" t="s">
        <v>547</v>
      </c>
      <c r="CG223" s="29">
        <f>(CC223*15)+(CD223*0.8)+(CE223*0.3)+((AW223+AZ223)*15)</f>
        <v>107.97499999999999</v>
      </c>
      <c r="CH223" s="29" t="s">
        <v>2221</v>
      </c>
      <c r="CI223" s="29">
        <f>(BL223*1)+(BN223*0.1)+(BP223*0.01)+(BR223*0.1)+(BT223*0.3)+(BV223*0.4)+(CC223*15)+(CD223*0.8)+(CE223*0.3)+((AW223+AZ223)*15)</f>
        <v>112.105</v>
      </c>
      <c r="CJ223" s="29" t="s">
        <v>548</v>
      </c>
      <c r="CK223" s="29" t="s">
        <v>563</v>
      </c>
      <c r="CL223" s="29" t="s">
        <v>548</v>
      </c>
      <c r="CM223" s="29" t="s">
        <v>550</v>
      </c>
      <c r="CN223" s="29">
        <v>1</v>
      </c>
      <c r="CO223" s="29">
        <v>1</v>
      </c>
      <c r="CQ223" s="29" t="s">
        <v>548</v>
      </c>
      <c r="CR223" s="29">
        <v>1</v>
      </c>
      <c r="CS223" s="29">
        <v>3</v>
      </c>
      <c r="CT223" s="29" t="s">
        <v>551</v>
      </c>
      <c r="CU223" s="30">
        <v>0.72000000000000008</v>
      </c>
      <c r="CW223" s="29">
        <v>999</v>
      </c>
      <c r="CX223" s="29" t="s">
        <v>551</v>
      </c>
      <c r="CY223" s="62"/>
      <c r="CZ223" s="29">
        <v>1</v>
      </c>
      <c r="DA223" s="29">
        <v>1.5</v>
      </c>
      <c r="DB223" s="29" t="s">
        <v>551</v>
      </c>
      <c r="DC223" s="62">
        <v>0.36</v>
      </c>
      <c r="DD223" s="29" t="s">
        <v>546</v>
      </c>
      <c r="DE223" s="29" t="s">
        <v>546</v>
      </c>
      <c r="DF223" s="29" t="s">
        <v>546</v>
      </c>
      <c r="DG223" s="29" t="s">
        <v>546</v>
      </c>
      <c r="DH223" s="29" t="s">
        <v>546</v>
      </c>
      <c r="DI223" s="29">
        <v>0</v>
      </c>
      <c r="DJ223" s="29">
        <v>4</v>
      </c>
      <c r="DK223" s="29" t="s">
        <v>621</v>
      </c>
      <c r="DL223" s="29" t="s">
        <v>622</v>
      </c>
      <c r="DM223" s="29">
        <v>-4.2300820350646973</v>
      </c>
      <c r="DN223" s="29">
        <v>35.874034881591797</v>
      </c>
      <c r="DO223" s="29">
        <v>1280.800048828125</v>
      </c>
      <c r="DP223" s="29">
        <v>5</v>
      </c>
      <c r="DQ223" s="29">
        <v>1706031849</v>
      </c>
      <c r="DR223" s="29" t="s">
        <v>623</v>
      </c>
      <c r="DS223" s="31">
        <v>42907.824097222227</v>
      </c>
      <c r="DT223" s="31">
        <v>42907.620717592596</v>
      </c>
      <c r="DU223" s="31">
        <v>42907.630497685182</v>
      </c>
      <c r="DV223" s="32">
        <v>42770</v>
      </c>
      <c r="DX223" s="44">
        <v>7.1865365365365355</v>
      </c>
      <c r="DY223" s="44">
        <v>4.32027027027027</v>
      </c>
      <c r="DZ223" s="44">
        <v>2.2675052410901468</v>
      </c>
      <c r="EA223" s="44">
        <v>3.1777777777777776</v>
      </c>
      <c r="EC223" s="29">
        <f>IF(EQ223&lt;EP223,"FALSEE",1)</f>
        <v>1</v>
      </c>
      <c r="EE223" s="29" t="s">
        <v>2171</v>
      </c>
      <c r="EF223" s="29">
        <v>2.8894991874699998</v>
      </c>
      <c r="EG223" s="29" t="str">
        <f>IF(EF223&lt;0.5,"Depression",IF(EF223&lt;2,"Very gentle",IF(EF223&lt;5,"Gentle",IF(EF223&lt;9,"Moderate",IF(EF223&lt;15,"Strong",IF(EF223&lt;30,"Steep",IF(EF223&lt;1,"Very steep")))))))</f>
        <v>Gentle</v>
      </c>
      <c r="EH223" s="29" t="s">
        <v>2173</v>
      </c>
      <c r="EI223" s="29">
        <v>8.4776775111099995E-6</v>
      </c>
      <c r="EJ223" s="43">
        <v>8.6223344802900002</v>
      </c>
      <c r="EK223" s="43">
        <f>VLOOKUP(D223,[1]SoilData!$G$15:$K$237,5,FALSE)</f>
        <v>177.84000152369043</v>
      </c>
      <c r="EL223" s="43">
        <f>VLOOKUP(D223,[1]SoilData!$G$245:$K$451,5,FALSE)</f>
        <v>342.93046156074189</v>
      </c>
      <c r="EM223" s="43">
        <f>VLOOKUP(D223,[1]SoilData!$G$15:$M$238,7,FALSE)</f>
        <v>1.1919999999999999</v>
      </c>
      <c r="EN223" s="43">
        <f>VLOOKUP(D223,[1]SoilData!$G$245:$M$454,7,FALSE)</f>
        <v>1.3620000000000001</v>
      </c>
      <c r="EO223" s="60">
        <f>EM223-EN223</f>
        <v>-0.17000000000000015</v>
      </c>
      <c r="EP223" s="44">
        <f>AVERAGE(DZ223:EA223)</f>
        <v>2.722641509433962</v>
      </c>
      <c r="EQ223" s="44">
        <f>AVERAGE(DX223:DY223)</f>
        <v>5.7534034034034027</v>
      </c>
      <c r="ER223" s="43">
        <f>EQ223-EP223</f>
        <v>3.0307618939694407</v>
      </c>
      <c r="ES223" s="64">
        <f>IF(CU223&gt;0.000001,CU223*352,0)</f>
        <v>253.44000000000003</v>
      </c>
      <c r="ET223" s="64">
        <f>IF(DC223&gt;0.0001,DC223*682,0)</f>
        <v>245.51999999999998</v>
      </c>
      <c r="EU223" s="64">
        <f>CY223*795</f>
        <v>0</v>
      </c>
      <c r="EV223" s="64">
        <f>ES223+ET223+EU223</f>
        <v>498.96000000000004</v>
      </c>
      <c r="EW223" s="64">
        <f>IF(AA223="YES",3.5*18.2,0)</f>
        <v>0</v>
      </c>
      <c r="EX223" s="64">
        <f>EV223-EW223</f>
        <v>498.96000000000004</v>
      </c>
    </row>
    <row r="224" spans="1:154" ht="15" x14ac:dyDescent="0.2">
      <c r="A224" s="29" t="s">
        <v>556</v>
      </c>
      <c r="B224" s="29">
        <v>198</v>
      </c>
      <c r="C224" s="29" t="s">
        <v>406</v>
      </c>
      <c r="D224" s="29" t="s">
        <v>406</v>
      </c>
      <c r="E224" s="29" t="str">
        <f>VLOOKUP(D224,Harvest_2017_Formulae!$C$2:$D$968,2,FALSE)</f>
        <v>TSAMASI</v>
      </c>
      <c r="F224" s="29" t="s">
        <v>1014</v>
      </c>
      <c r="G224" s="29">
        <v>0</v>
      </c>
      <c r="H224" s="61" t="str">
        <f>IF(G224&lt;0.05,"Homefield",IF(G224&lt;0.5,"Midfield","outfield"))</f>
        <v>Homefield</v>
      </c>
      <c r="I224" s="29" t="s">
        <v>557</v>
      </c>
      <c r="J224" s="61" t="s">
        <v>2233</v>
      </c>
      <c r="K224" s="61" t="s">
        <v>2233</v>
      </c>
      <c r="L224" s="67">
        <v>0</v>
      </c>
      <c r="O224" s="29" t="s">
        <v>547</v>
      </c>
      <c r="Q224" s="67">
        <v>0</v>
      </c>
      <c r="R224" s="29" t="s">
        <v>547</v>
      </c>
      <c r="U224" s="29" t="s">
        <v>547</v>
      </c>
      <c r="W224" s="29" t="s">
        <v>547</v>
      </c>
      <c r="Z224" s="29" t="s">
        <v>547</v>
      </c>
      <c r="AA224" s="61" t="s">
        <v>546</v>
      </c>
      <c r="AB224" s="29" t="s">
        <v>547</v>
      </c>
      <c r="AC224" s="67">
        <v>0</v>
      </c>
      <c r="AD224" s="29" t="s">
        <v>547</v>
      </c>
      <c r="AF224" s="29" t="s">
        <v>547</v>
      </c>
      <c r="AG224" s="29" t="s">
        <v>547</v>
      </c>
      <c r="AH224" s="29" t="s">
        <v>548</v>
      </c>
      <c r="AI224" s="29" t="s">
        <v>546</v>
      </c>
      <c r="AJ224" s="29" t="s">
        <v>547</v>
      </c>
      <c r="AK224" s="67">
        <v>1</v>
      </c>
      <c r="AL224" s="29">
        <v>3</v>
      </c>
      <c r="AM224" s="29">
        <v>1</v>
      </c>
      <c r="AN224" s="29">
        <v>1</v>
      </c>
      <c r="AO224" s="29">
        <v>2500</v>
      </c>
      <c r="AP224" s="29" t="s">
        <v>547</v>
      </c>
      <c r="AQ224" s="4">
        <f>Q224+AK224</f>
        <v>1</v>
      </c>
      <c r="AR224" s="4">
        <f>L224+AC224</f>
        <v>0</v>
      </c>
      <c r="AS224" t="str">
        <f>AQ224&amp;AR224</f>
        <v>10</v>
      </c>
      <c r="AT224" s="49">
        <f>AQ224-AR224</f>
        <v>1</v>
      </c>
      <c r="AU224">
        <v>2</v>
      </c>
      <c r="AV224" s="29" t="s">
        <v>548</v>
      </c>
      <c r="AW224" s="29">
        <v>0.5</v>
      </c>
      <c r="AX224" s="29" t="s">
        <v>548</v>
      </c>
      <c r="AY224" s="29">
        <v>2</v>
      </c>
      <c r="AZ224" s="29">
        <v>2.25</v>
      </c>
      <c r="BA224" s="29" t="s">
        <v>546</v>
      </c>
      <c r="BB224" s="29" t="s">
        <v>547</v>
      </c>
      <c r="BD224" s="29">
        <f>AW224+AZ224</f>
        <v>2.75</v>
      </c>
      <c r="BE224" s="29">
        <f>BD224+BC224</f>
        <v>2.75</v>
      </c>
      <c r="BF224" s="29" t="s">
        <v>548</v>
      </c>
      <c r="BG224" s="29" t="s">
        <v>548</v>
      </c>
      <c r="BH224" s="29" t="s">
        <v>548</v>
      </c>
      <c r="BI224" s="29" t="s">
        <v>546</v>
      </c>
      <c r="BJ224" s="29" t="s">
        <v>546</v>
      </c>
      <c r="BK224" s="29" t="s">
        <v>546</v>
      </c>
      <c r="BL224" s="29">
        <v>4</v>
      </c>
      <c r="BM224" s="29" t="s">
        <v>549</v>
      </c>
      <c r="BN224" s="29">
        <v>5</v>
      </c>
      <c r="BO224" s="29" t="s">
        <v>549</v>
      </c>
      <c r="BP224" s="29">
        <v>9</v>
      </c>
      <c r="BQ224" s="29" t="s">
        <v>549</v>
      </c>
      <c r="BS224" s="29" t="s">
        <v>547</v>
      </c>
      <c r="BU224" s="29" t="s">
        <v>547</v>
      </c>
      <c r="BW224" s="29">
        <f>(BL224*1)+(BN224*0.1)+(BP224*0.01)+(BR224*0.1)+(BT224*0.3)+(BV224*0.4)</f>
        <v>4.59</v>
      </c>
      <c r="BX224" s="29" t="s">
        <v>2219</v>
      </c>
      <c r="BY224" s="29">
        <v>2</v>
      </c>
      <c r="BZ224" s="29">
        <v>1</v>
      </c>
      <c r="CA224" s="29">
        <v>1</v>
      </c>
      <c r="CB224" s="29">
        <v>4</v>
      </c>
      <c r="CC224" s="29">
        <v>0</v>
      </c>
      <c r="CD224" s="29">
        <v>0</v>
      </c>
      <c r="CE224" s="29">
        <v>1</v>
      </c>
      <c r="CF224" s="29" t="s">
        <v>547</v>
      </c>
      <c r="CG224" s="29">
        <f>(CC224*15)+(CD224*0.8)+(CE224*0.3)+((AW224+AZ224)*15)</f>
        <v>41.55</v>
      </c>
      <c r="CH224" s="29" t="s">
        <v>2220</v>
      </c>
      <c r="CI224" s="29">
        <f>(BL224*1)+(BN224*0.1)+(BP224*0.01)+(BR224*0.1)+(BT224*0.3)+(BV224*0.4)+(CC224*15)+(CD224*0.8)+(CE224*0.3)+((AW224+AZ224)*15)</f>
        <v>46.14</v>
      </c>
      <c r="CJ224" s="29" t="s">
        <v>546</v>
      </c>
      <c r="CK224" s="29" t="s">
        <v>547</v>
      </c>
      <c r="CL224" s="29" t="s">
        <v>548</v>
      </c>
      <c r="CM224" s="29" t="s">
        <v>550</v>
      </c>
      <c r="CN224" s="29">
        <v>0.5</v>
      </c>
      <c r="CO224" s="29">
        <v>1</v>
      </c>
      <c r="CQ224" s="29" t="s">
        <v>546</v>
      </c>
      <c r="CR224" s="29">
        <v>1.25</v>
      </c>
      <c r="CS224" s="29">
        <v>2</v>
      </c>
      <c r="CT224" s="29" t="s">
        <v>551</v>
      </c>
      <c r="CU224" s="30">
        <v>0.38400000000000001</v>
      </c>
      <c r="CW224" s="29">
        <v>999</v>
      </c>
      <c r="CX224" s="29" t="s">
        <v>551</v>
      </c>
      <c r="CY224" s="62"/>
      <c r="CZ224" s="29">
        <v>1.25</v>
      </c>
      <c r="DA224" s="29">
        <v>3</v>
      </c>
      <c r="DB224" s="29" t="s">
        <v>552</v>
      </c>
      <c r="DC224" s="62">
        <v>9.6191999999999972E-2</v>
      </c>
      <c r="DD224" s="29" t="s">
        <v>546</v>
      </c>
      <c r="DE224" s="29" t="s">
        <v>546</v>
      </c>
      <c r="DF224" s="29" t="s">
        <v>548</v>
      </c>
      <c r="DG224" s="29" t="s">
        <v>546</v>
      </c>
      <c r="DH224" s="29" t="s">
        <v>546</v>
      </c>
      <c r="DI224" s="29">
        <v>1</v>
      </c>
      <c r="DJ224" s="29">
        <v>3</v>
      </c>
      <c r="DK224" s="29" t="s">
        <v>1375</v>
      </c>
      <c r="DL224" s="29" t="s">
        <v>1376</v>
      </c>
      <c r="DM224" s="29">
        <v>-4.2869071960449219</v>
      </c>
      <c r="DN224" s="29">
        <v>35.829563140869141</v>
      </c>
      <c r="DO224" s="29">
        <v>1325.800048828125</v>
      </c>
      <c r="DP224" s="29">
        <v>5</v>
      </c>
      <c r="DQ224" s="29">
        <v>1706031849</v>
      </c>
      <c r="DR224" s="29" t="s">
        <v>1377</v>
      </c>
      <c r="DS224" s="31">
        <v>42948.907569444447</v>
      </c>
      <c r="DT224" s="31">
        <v>42938.415497685186</v>
      </c>
      <c r="DU224" s="31">
        <v>42938.427662037036</v>
      </c>
      <c r="DV224" s="32">
        <v>42790</v>
      </c>
      <c r="DX224" s="44">
        <v>4.2727063162747818</v>
      </c>
      <c r="DY224" s="44">
        <v>4.9256569847856166</v>
      </c>
      <c r="DZ224" s="44">
        <v>4.8115491009681888</v>
      </c>
      <c r="EA224" s="44">
        <v>6.1301290917473494</v>
      </c>
      <c r="EC224" s="29" t="str">
        <f>IF(EQ224&lt;EP224,"FALSEE",1)</f>
        <v>FALSEE</v>
      </c>
      <c r="EE224" s="29" t="s">
        <v>2171</v>
      </c>
      <c r="EF224" s="29">
        <v>1.97740852833</v>
      </c>
      <c r="EG224" s="29" t="str">
        <f>IF(EF224&lt;0.5,"Depression",IF(EF224&lt;2,"Very gentle",IF(EF224&lt;5,"Gentle",IF(EF224&lt;9,"Moderate",IF(EF224&lt;15,"Strong",IF(EF224&lt;30,"Steep",IF(EF224&lt;1,"Very steep")))))))</f>
        <v>Very gentle</v>
      </c>
      <c r="EH224" s="29" t="s">
        <v>2173</v>
      </c>
      <c r="EI224" s="29">
        <v>-0.45320102572400001</v>
      </c>
      <c r="EJ224" s="43">
        <v>9.6855897903399999</v>
      </c>
      <c r="EK224" s="43">
        <f>VLOOKUP(D224,[1]SoilData!$G$15:$K$237,5,FALSE)</f>
        <v>1072.1720179918159</v>
      </c>
      <c r="EL224" s="43">
        <f>VLOOKUP(D224,[1]SoilData!$G$245:$K$451,5,FALSE)</f>
        <v>357.4106395211204</v>
      </c>
      <c r="EM224" s="43">
        <f>VLOOKUP(D224,[1]SoilData!$G$15:$M$238,7,FALSE)</f>
        <v>1.6439999999999999</v>
      </c>
      <c r="EN224" s="43">
        <f>VLOOKUP(D224,[1]SoilData!$G$245:$M$454,7,FALSE)</f>
        <v>1.7869999999999999</v>
      </c>
      <c r="EO224" s="60">
        <f>EM224-EN224</f>
        <v>-0.14300000000000002</v>
      </c>
      <c r="EP224" s="44">
        <f>AVERAGE(DZ224:EA224)</f>
        <v>5.4708390963577695</v>
      </c>
      <c r="EQ224" s="44">
        <f>AVERAGE(DX224:DY224)</f>
        <v>4.5991816505301992</v>
      </c>
      <c r="ER224" s="43">
        <f>EQ224-EP224</f>
        <v>-0.87165744582757032</v>
      </c>
      <c r="ES224" s="64">
        <f>IF(CU224&gt;0.000001,CU224*352,0)</f>
        <v>135.16800000000001</v>
      </c>
      <c r="ET224" s="64">
        <f>IF(DC224&gt;0.0001,DC224*682,0)</f>
        <v>65.602943999999979</v>
      </c>
      <c r="EU224" s="64">
        <f>CY224*795</f>
        <v>0</v>
      </c>
      <c r="EV224" s="64">
        <f>ES224+ET224+EU224</f>
        <v>200.77094399999999</v>
      </c>
      <c r="EW224" s="64">
        <f>IF(AA224="YES",3.5*18.2,0)</f>
        <v>0</v>
      </c>
      <c r="EX224" s="64">
        <f>EV224-EW224</f>
        <v>200.77094399999999</v>
      </c>
    </row>
    <row r="225" spans="1:154" ht="15" x14ac:dyDescent="0.2">
      <c r="A225" s="29" t="s">
        <v>556</v>
      </c>
      <c r="B225" s="29">
        <v>11</v>
      </c>
      <c r="C225" s="29" t="s">
        <v>370</v>
      </c>
      <c r="D225" s="29" t="s">
        <v>370</v>
      </c>
      <c r="E225" s="29" t="str">
        <f>VLOOKUP(D225,Harvest_2017_Formulae!$C$2:$D$968,2,FALSE)</f>
        <v>ORNGADIDA</v>
      </c>
      <c r="F225" s="29" t="s">
        <v>777</v>
      </c>
      <c r="G225" s="29">
        <v>0</v>
      </c>
      <c r="H225" s="61" t="str">
        <f>IF(G225&lt;0.05,"Homefield",IF(G225&lt;0.5,"Midfield","outfield"))</f>
        <v>Homefield</v>
      </c>
      <c r="I225" s="29" t="s">
        <v>545</v>
      </c>
      <c r="J225" s="61" t="s">
        <v>545</v>
      </c>
      <c r="K225" s="61" t="s">
        <v>2234</v>
      </c>
      <c r="L225" s="67">
        <v>0</v>
      </c>
      <c r="O225" s="29" t="s">
        <v>547</v>
      </c>
      <c r="Q225" s="67">
        <v>0</v>
      </c>
      <c r="R225" s="29" t="s">
        <v>547</v>
      </c>
      <c r="T225" s="29" t="s">
        <v>559</v>
      </c>
      <c r="U225" s="29" t="s">
        <v>560</v>
      </c>
      <c r="W225" s="29" t="s">
        <v>819</v>
      </c>
      <c r="X225" s="29">
        <v>999</v>
      </c>
      <c r="Z225" s="29" t="s">
        <v>547</v>
      </c>
      <c r="AA225" s="61" t="s">
        <v>548</v>
      </c>
      <c r="AB225" s="29" t="s">
        <v>614</v>
      </c>
      <c r="AC225" s="67">
        <v>0</v>
      </c>
      <c r="AD225" s="29" t="s">
        <v>547</v>
      </c>
      <c r="AF225" s="29" t="s">
        <v>547</v>
      </c>
      <c r="AG225" s="29" t="s">
        <v>547</v>
      </c>
      <c r="AH225" s="29" t="s">
        <v>546</v>
      </c>
      <c r="AI225" s="29" t="s">
        <v>546</v>
      </c>
      <c r="AJ225" s="29" t="s">
        <v>547</v>
      </c>
      <c r="AK225" s="67">
        <v>1</v>
      </c>
      <c r="AL225" s="29" t="s">
        <v>1104</v>
      </c>
      <c r="AM225" s="29">
        <v>2</v>
      </c>
      <c r="AN225" s="29">
        <v>2</v>
      </c>
      <c r="AO225" s="29" t="s">
        <v>547</v>
      </c>
      <c r="AP225" s="29" t="s">
        <v>825</v>
      </c>
      <c r="AQ225" s="4">
        <f>Q225+AK225</f>
        <v>1</v>
      </c>
      <c r="AR225" s="4">
        <f>L225+AC225</f>
        <v>0</v>
      </c>
      <c r="AS225" t="str">
        <f>AQ225&amp;AR225</f>
        <v>10</v>
      </c>
      <c r="AT225" s="49">
        <f>AQ225-AR225</f>
        <v>1</v>
      </c>
      <c r="AU225">
        <v>2</v>
      </c>
      <c r="AV225" s="29" t="s">
        <v>548</v>
      </c>
      <c r="AW225" s="29">
        <v>0.75</v>
      </c>
      <c r="AX225" s="29" t="s">
        <v>548</v>
      </c>
      <c r="AY225" s="29">
        <v>2</v>
      </c>
      <c r="AZ225" s="29">
        <v>5</v>
      </c>
      <c r="BA225" s="29" t="s">
        <v>546</v>
      </c>
      <c r="BB225" s="29" t="s">
        <v>547</v>
      </c>
      <c r="BD225" s="29">
        <f>AW225+AZ225</f>
        <v>5.75</v>
      </c>
      <c r="BE225" s="29">
        <f>BD225+BC225</f>
        <v>5.75</v>
      </c>
      <c r="BF225" s="29" t="s">
        <v>548</v>
      </c>
      <c r="BG225" s="29" t="s">
        <v>546</v>
      </c>
      <c r="BH225" s="29" t="s">
        <v>548</v>
      </c>
      <c r="BI225" s="29" t="s">
        <v>546</v>
      </c>
      <c r="BJ225" s="29" t="s">
        <v>546</v>
      </c>
      <c r="BK225" s="29" t="s">
        <v>546</v>
      </c>
      <c r="BL225" s="29">
        <v>4</v>
      </c>
      <c r="BM225" s="29" t="s">
        <v>549</v>
      </c>
      <c r="BO225" s="29" t="s">
        <v>547</v>
      </c>
      <c r="BP225" s="29">
        <v>68</v>
      </c>
      <c r="BQ225" s="29" t="s">
        <v>549</v>
      </c>
      <c r="BS225" s="29" t="s">
        <v>547</v>
      </c>
      <c r="BU225" s="29" t="s">
        <v>547</v>
      </c>
      <c r="BW225" s="29">
        <f>(BL225*1)+(BN225*0.1)+(BP225*0.01)+(BR225*0.1)+(BT225*0.3)+(BV225*0.4)</f>
        <v>4.68</v>
      </c>
      <c r="BX225" s="29" t="s">
        <v>2219</v>
      </c>
      <c r="BY225" s="29">
        <v>1</v>
      </c>
      <c r="BZ225" s="29">
        <v>4</v>
      </c>
      <c r="CA225" s="29">
        <v>8</v>
      </c>
      <c r="CB225" s="29">
        <v>13</v>
      </c>
      <c r="CC225" s="29">
        <v>0</v>
      </c>
      <c r="CD225" s="29">
        <v>0</v>
      </c>
      <c r="CE225" s="29">
        <v>0</v>
      </c>
      <c r="CF225" s="29" t="s">
        <v>547</v>
      </c>
      <c r="CG225" s="29">
        <f>(CC225*15)+(CD225*0.8)+(CE225*0.3)+((AW225+AZ225)*15)</f>
        <v>86.25</v>
      </c>
      <c r="CH225" s="29" t="s">
        <v>2221</v>
      </c>
      <c r="CI225" s="29">
        <f>(BL225*1)+(BN225*0.1)+(BP225*0.01)+(BR225*0.1)+(BT225*0.3)+(BV225*0.4)+(CC225*15)+(CD225*0.8)+(CE225*0.3)+((AW225+AZ225)*15)</f>
        <v>90.93</v>
      </c>
      <c r="CJ225" s="29" t="s">
        <v>546</v>
      </c>
      <c r="CK225" s="29" t="s">
        <v>547</v>
      </c>
      <c r="CL225" s="29" t="s">
        <v>546</v>
      </c>
      <c r="CM225" s="29" t="s">
        <v>547</v>
      </c>
      <c r="CN225" s="29">
        <v>0.25</v>
      </c>
      <c r="CP225" s="29">
        <v>0.25</v>
      </c>
      <c r="CQ225" s="29" t="s">
        <v>548</v>
      </c>
      <c r="CR225" s="29">
        <v>1</v>
      </c>
      <c r="CS225" s="29">
        <v>13</v>
      </c>
      <c r="CT225" s="29" t="s">
        <v>551</v>
      </c>
      <c r="CU225" s="30">
        <v>3.12</v>
      </c>
      <c r="CW225" s="29">
        <v>999</v>
      </c>
      <c r="CX225" s="29" t="s">
        <v>551</v>
      </c>
      <c r="CY225" s="62"/>
      <c r="CZ225" s="29">
        <v>1</v>
      </c>
      <c r="DA225" s="29">
        <v>1</v>
      </c>
      <c r="DB225" s="29" t="s">
        <v>551</v>
      </c>
      <c r="DC225" s="62">
        <v>0.24</v>
      </c>
      <c r="DD225" s="29" t="s">
        <v>546</v>
      </c>
      <c r="DE225" s="29" t="s">
        <v>546</v>
      </c>
      <c r="DF225" s="29" t="s">
        <v>546</v>
      </c>
      <c r="DG225" s="29" t="s">
        <v>546</v>
      </c>
      <c r="DH225" s="29" t="s">
        <v>546</v>
      </c>
      <c r="DI225" s="29">
        <v>0</v>
      </c>
      <c r="DJ225" s="29">
        <v>3</v>
      </c>
      <c r="DK225" s="29" t="s">
        <v>1105</v>
      </c>
      <c r="DL225" s="29" t="s">
        <v>1106</v>
      </c>
      <c r="DM225" s="29">
        <v>-4.3042616844177246</v>
      </c>
      <c r="DN225" s="29">
        <v>35.875431060791016</v>
      </c>
      <c r="DO225" s="29">
        <v>1258.800048828125</v>
      </c>
      <c r="DP225" s="29">
        <v>5</v>
      </c>
      <c r="DQ225" s="29">
        <v>1705231439</v>
      </c>
      <c r="DR225" s="29" t="s">
        <v>1107</v>
      </c>
      <c r="DS225" s="31">
        <v>42893.597175925926</v>
      </c>
      <c r="DT225" s="31">
        <v>42892.619537037041</v>
      </c>
      <c r="DU225" s="31">
        <v>42892.630891203706</v>
      </c>
      <c r="DV225" s="32">
        <v>42773</v>
      </c>
      <c r="DX225" s="44">
        <v>4.4172016460905352</v>
      </c>
      <c r="DY225" s="44">
        <v>4.0088888888888894</v>
      </c>
      <c r="DZ225" s="44">
        <v>2.8333333333333335</v>
      </c>
      <c r="EA225" s="44">
        <v>3.9666666666666668</v>
      </c>
      <c r="EC225" s="29">
        <f>IF(EQ225&lt;EP225,"FALSEE",1)</f>
        <v>1</v>
      </c>
      <c r="EE225" s="29" t="s">
        <v>2171</v>
      </c>
      <c r="EF225" s="29">
        <v>0.83179336786299995</v>
      </c>
      <c r="EG225" s="29" t="str">
        <f>IF(EF225&lt;0.5,"Depression",IF(EF225&lt;2,"Very gentle",IF(EF225&lt;5,"Gentle",IF(EF225&lt;9,"Moderate",IF(EF225&lt;15,"Strong",IF(EF225&lt;30,"Steep",IF(EF225&lt;1,"Very steep")))))))</f>
        <v>Very gentle</v>
      </c>
      <c r="EH225" s="29" t="s">
        <v>2173</v>
      </c>
      <c r="EI225" s="29">
        <v>-9.0633422136300004E-2</v>
      </c>
      <c r="EJ225" s="43">
        <v>7.9720454215999998</v>
      </c>
      <c r="EK225" s="43">
        <f>VLOOKUP(D225,[1]SoilData!$G$15:$K$237,5,FALSE)</f>
        <v>414.51708608833121</v>
      </c>
      <c r="EL225" s="43">
        <f>VLOOKUP(D225,[1]SoilData!$G$245:$K$451,5,FALSE)</f>
        <v>22.271874101146533</v>
      </c>
      <c r="EM225" s="43">
        <f>VLOOKUP(D225,[1]SoilData!$G$15:$M$238,7,FALSE)</f>
        <v>1.339</v>
      </c>
      <c r="EN225" s="43">
        <f>VLOOKUP(D225,[1]SoilData!$G$245:$M$454,7,FALSE)</f>
        <v>1.365</v>
      </c>
      <c r="EO225" s="60">
        <f>EM225-EN225</f>
        <v>-2.6000000000000023E-2</v>
      </c>
      <c r="EP225" s="44">
        <f>AVERAGE(DZ225:EA225)</f>
        <v>3.4000000000000004</v>
      </c>
      <c r="EQ225" s="44">
        <f>AVERAGE(DX225:DY225)</f>
        <v>4.2130452674897123</v>
      </c>
      <c r="ER225" s="43">
        <f>EQ225-EP225</f>
        <v>0.81304526748971195</v>
      </c>
      <c r="ES225" s="64">
        <f>IF(CU225&gt;0.000001,CU225*352,0)</f>
        <v>1098.24</v>
      </c>
      <c r="ET225" s="64">
        <f>IF(DC225&gt;0.0001,DC225*682,0)</f>
        <v>163.68</v>
      </c>
      <c r="EU225" s="64">
        <f>CY225*795</f>
        <v>0</v>
      </c>
      <c r="EV225" s="64">
        <f>ES225+ET225+EU225</f>
        <v>1261.92</v>
      </c>
      <c r="EW225" s="64">
        <f>IF(AA225="YES",3.5*18.2,0)</f>
        <v>63.699999999999996</v>
      </c>
      <c r="EX225" s="64">
        <f>EV225-EW225</f>
        <v>1198.22</v>
      </c>
    </row>
    <row r="226" spans="1:154" ht="15" x14ac:dyDescent="0.2">
      <c r="A226" s="29" t="s">
        <v>814</v>
      </c>
      <c r="B226" s="29">
        <v>66</v>
      </c>
      <c r="C226" s="29" t="s">
        <v>139</v>
      </c>
      <c r="D226" s="29" t="s">
        <v>139</v>
      </c>
      <c r="E226" s="29" t="str">
        <f>VLOOKUP(D226,Harvest_2017_Formulae!$C$2:$D$968,2,FALSE)</f>
        <v>Endanachan</v>
      </c>
      <c r="F226" s="29" t="s">
        <v>777</v>
      </c>
      <c r="G226" s="29">
        <v>0</v>
      </c>
      <c r="H226" s="61" t="str">
        <f>IF(G226&lt;0.05,"Homefield",IF(G226&lt;0.5,"Midfield","outfield"))</f>
        <v>Homefield</v>
      </c>
      <c r="I226" s="29" t="s">
        <v>557</v>
      </c>
      <c r="J226" s="61" t="s">
        <v>2234</v>
      </c>
      <c r="K226" s="61" t="s">
        <v>2234</v>
      </c>
      <c r="L226" s="67">
        <v>0</v>
      </c>
      <c r="O226" s="29" t="s">
        <v>547</v>
      </c>
      <c r="Q226" s="67">
        <v>0</v>
      </c>
      <c r="R226" s="29" t="s">
        <v>547</v>
      </c>
      <c r="T226" s="29" t="s">
        <v>559</v>
      </c>
      <c r="U226" s="29" t="s">
        <v>560</v>
      </c>
      <c r="W226" s="29" t="s">
        <v>635</v>
      </c>
      <c r="Z226" s="29" t="s">
        <v>547</v>
      </c>
      <c r="AA226" s="61" t="s">
        <v>548</v>
      </c>
      <c r="AB226" s="29" t="s">
        <v>568</v>
      </c>
      <c r="AC226" s="67">
        <v>0</v>
      </c>
      <c r="AD226" s="29" t="s">
        <v>547</v>
      </c>
      <c r="AF226" s="29" t="s">
        <v>547</v>
      </c>
      <c r="AG226" s="29" t="s">
        <v>547</v>
      </c>
      <c r="AH226" s="29" t="s">
        <v>548</v>
      </c>
      <c r="AI226" s="29" t="s">
        <v>546</v>
      </c>
      <c r="AK226" s="67">
        <v>1</v>
      </c>
      <c r="AL226" s="29">
        <v>3</v>
      </c>
      <c r="AM226" s="29">
        <v>1</v>
      </c>
      <c r="AN226" s="29">
        <v>2</v>
      </c>
      <c r="AO226" s="29">
        <v>10000</v>
      </c>
      <c r="AP226" s="29" t="s">
        <v>547</v>
      </c>
      <c r="AQ226" s="4">
        <f>Q226+AK226</f>
        <v>1</v>
      </c>
      <c r="AR226" s="4">
        <f>L226+AC226</f>
        <v>0</v>
      </c>
      <c r="AS226" t="str">
        <f>AQ226&amp;AR226</f>
        <v>10</v>
      </c>
      <c r="AT226" s="49">
        <f>AQ226-AR226</f>
        <v>1</v>
      </c>
      <c r="AU226">
        <v>2</v>
      </c>
      <c r="AV226" s="29" t="s">
        <v>548</v>
      </c>
      <c r="AW226" s="29">
        <v>0.25</v>
      </c>
      <c r="AX226" s="29" t="s">
        <v>548</v>
      </c>
      <c r="AY226" s="29">
        <v>2</v>
      </c>
      <c r="AZ226" s="29">
        <v>4</v>
      </c>
      <c r="BA226" s="29" t="s">
        <v>548</v>
      </c>
      <c r="BB226" s="29" t="s">
        <v>569</v>
      </c>
      <c r="BC226" s="29">
        <v>4.25</v>
      </c>
      <c r="BD226" s="29">
        <f>AW226+AZ226</f>
        <v>4.25</v>
      </c>
      <c r="BE226" s="29">
        <f>BD226+BC226</f>
        <v>8.5</v>
      </c>
      <c r="BF226" s="29" t="s">
        <v>548</v>
      </c>
      <c r="BG226" s="29" t="s">
        <v>546</v>
      </c>
      <c r="BH226" s="29" t="s">
        <v>548</v>
      </c>
      <c r="BI226" s="29" t="s">
        <v>546</v>
      </c>
      <c r="BJ226" s="29" t="s">
        <v>546</v>
      </c>
      <c r="BK226" s="29" t="s">
        <v>546</v>
      </c>
      <c r="BL226" s="29">
        <v>6</v>
      </c>
      <c r="BM226" s="29" t="s">
        <v>580</v>
      </c>
      <c r="BO226" s="29" t="s">
        <v>547</v>
      </c>
      <c r="BP226" s="29">
        <v>6</v>
      </c>
      <c r="BQ226" s="29" t="s">
        <v>580</v>
      </c>
      <c r="BS226" s="29" t="s">
        <v>547</v>
      </c>
      <c r="BU226" s="29" t="s">
        <v>547</v>
      </c>
      <c r="BW226" s="29">
        <f>(BL226*1)+(BN226*0.1)+(BP226*0.01)+(BR226*0.1)+(BT226*0.3)+(BV226*0.4)</f>
        <v>6.06</v>
      </c>
      <c r="BX226" s="29" t="s">
        <v>2219</v>
      </c>
      <c r="BY226" s="29">
        <v>1</v>
      </c>
      <c r="BZ226" s="29">
        <v>1</v>
      </c>
      <c r="CA226" s="29">
        <v>3</v>
      </c>
      <c r="CB226" s="29">
        <v>5</v>
      </c>
      <c r="CC226" s="29">
        <v>0</v>
      </c>
      <c r="CD226" s="29">
        <v>0</v>
      </c>
      <c r="CE226" s="29">
        <v>0</v>
      </c>
      <c r="CG226" s="29">
        <f>(CC226*15)+(CD226*0.8)+(CE226*0.3)+((AW226+AZ226)*15)</f>
        <v>63.75</v>
      </c>
      <c r="CH226" s="29" t="s">
        <v>2221</v>
      </c>
      <c r="CI226" s="29">
        <f>(BL226*1)+(BN226*0.1)+(BP226*0.01)+(BR226*0.1)+(BT226*0.3)+(BV226*0.4)+(CC226*15)+(CD226*0.8)+(CE226*0.3)+((AW226+AZ226)*15)</f>
        <v>69.81</v>
      </c>
      <c r="CJ226" s="29" t="s">
        <v>548</v>
      </c>
      <c r="CK226" s="29" t="s">
        <v>815</v>
      </c>
      <c r="CL226" s="29" t="s">
        <v>546</v>
      </c>
      <c r="CM226" s="29" t="s">
        <v>547</v>
      </c>
      <c r="CN226" s="29">
        <v>0.25</v>
      </c>
      <c r="CO226" s="29">
        <v>3.75</v>
      </c>
      <c r="CP226" s="29">
        <v>0</v>
      </c>
      <c r="CQ226" s="29" t="s">
        <v>548</v>
      </c>
      <c r="CR226" s="29">
        <v>1</v>
      </c>
      <c r="CS226" s="29">
        <v>12</v>
      </c>
      <c r="CT226" s="29" t="s">
        <v>551</v>
      </c>
      <c r="CU226" s="30">
        <v>2.8800000000000003</v>
      </c>
      <c r="CW226" s="29">
        <v>999</v>
      </c>
      <c r="CX226" s="29" t="s">
        <v>551</v>
      </c>
      <c r="CY226" s="62"/>
      <c r="CZ226" s="29">
        <v>1</v>
      </c>
      <c r="DA226" s="29">
        <v>4</v>
      </c>
      <c r="DB226" s="29" t="s">
        <v>551</v>
      </c>
      <c r="DC226" s="62">
        <v>0.96</v>
      </c>
      <c r="DD226" s="29" t="s">
        <v>548</v>
      </c>
      <c r="DE226" s="29" t="s">
        <v>548</v>
      </c>
      <c r="DF226" s="29" t="s">
        <v>548</v>
      </c>
      <c r="DG226" s="29" t="s">
        <v>548</v>
      </c>
      <c r="DH226" s="29" t="s">
        <v>548</v>
      </c>
      <c r="DI226" s="29">
        <v>5</v>
      </c>
      <c r="DJ226" s="29">
        <v>2</v>
      </c>
      <c r="DK226" s="29" t="s">
        <v>816</v>
      </c>
      <c r="DL226" s="29" t="s">
        <v>817</v>
      </c>
      <c r="DM226" s="29">
        <v>-4.355586051940918</v>
      </c>
      <c r="DN226" s="29">
        <v>35.701301574707031</v>
      </c>
      <c r="DO226" s="29">
        <v>1409.0999755859375</v>
      </c>
      <c r="DP226" s="29">
        <v>10</v>
      </c>
      <c r="DQ226" s="29">
        <v>1705231439</v>
      </c>
      <c r="DR226" s="29" t="s">
        <v>818</v>
      </c>
      <c r="DS226" s="31">
        <v>42923.387071759258</v>
      </c>
      <c r="DT226" s="31">
        <v>42901.708854166667</v>
      </c>
      <c r="DU226" s="31">
        <v>42923.38585648148</v>
      </c>
      <c r="DV226" s="32">
        <v>42765</v>
      </c>
      <c r="DX226" s="44">
        <v>6.3372222222222225</v>
      </c>
      <c r="DY226" s="44">
        <v>6.1338888888888894</v>
      </c>
      <c r="DZ226" s="44">
        <v>5.0789473684210531</v>
      </c>
      <c r="EA226" s="44">
        <v>4.8757894736842102</v>
      </c>
      <c r="EC226" s="29">
        <f>IF(EQ226&lt;EP226,"FALSEE",1)</f>
        <v>1</v>
      </c>
      <c r="EE226" s="29" t="s">
        <v>2171</v>
      </c>
      <c r="EF226" s="29">
        <v>4.12190485001</v>
      </c>
      <c r="EG226" s="29" t="str">
        <f>IF(EF226&lt;0.5,"Depression",IF(EF226&lt;2,"Very gentle",IF(EF226&lt;5,"Gentle",IF(EF226&lt;9,"Moderate",IF(EF226&lt;15,"Strong",IF(EF226&lt;30,"Steep",IF(EF226&lt;1,"Very steep")))))))</f>
        <v>Gentle</v>
      </c>
      <c r="EH226" s="29" t="s">
        <v>2173</v>
      </c>
      <c r="EI226" s="29">
        <v>-9.0633422136300004E-2</v>
      </c>
      <c r="EJ226" s="43">
        <v>7.5884537696800001</v>
      </c>
      <c r="EK226" s="43">
        <f>VLOOKUP(D226,[1]SoilData!$G$15:$K$237,5,FALSE)</f>
        <v>390.91281359849768</v>
      </c>
      <c r="EL226" s="43">
        <f>VLOOKUP(D226,[1]SoilData!$G$245:$K$451,5,FALSE)</f>
        <v>256.84934752251172</v>
      </c>
      <c r="EM226" s="43">
        <f>VLOOKUP(D226,[1]SoilData!$G$15:$M$238,7,FALSE)</f>
        <v>1.399</v>
      </c>
      <c r="EN226" s="43">
        <f>VLOOKUP(D226,[1]SoilData!$G$245:$M$454,7,FALSE)</f>
        <v>0.91500000000000004</v>
      </c>
      <c r="EO226" s="60">
        <f>EM226-EN226</f>
        <v>0.48399999999999999</v>
      </c>
      <c r="EP226" s="44">
        <f>AVERAGE(DZ226:EA226)</f>
        <v>4.9773684210526312</v>
      </c>
      <c r="EQ226" s="44">
        <f>AVERAGE(DX226:DY226)</f>
        <v>6.235555555555556</v>
      </c>
      <c r="ER226" s="43">
        <f>EQ226-EP226</f>
        <v>1.2581871345029247</v>
      </c>
      <c r="ES226" s="64">
        <f>IF(CU226&gt;0.000001,CU226*352,0)</f>
        <v>1013.7600000000001</v>
      </c>
      <c r="ET226" s="64">
        <f>IF(DC226&gt;0.0001,DC226*682,0)</f>
        <v>654.72</v>
      </c>
      <c r="EU226" s="64">
        <f>CY226*795</f>
        <v>0</v>
      </c>
      <c r="EV226" s="64">
        <f>ES226+ET226+EU226</f>
        <v>1668.48</v>
      </c>
      <c r="EW226" s="64">
        <f>IF(AA226="YES",3.5*18.2,0)</f>
        <v>63.699999999999996</v>
      </c>
      <c r="EX226" s="64">
        <f>EV226-EW226</f>
        <v>1604.78</v>
      </c>
    </row>
    <row r="227" spans="1:154" s="33" customFormat="1" ht="15" x14ac:dyDescent="0.2">
      <c r="A227" s="29" t="s">
        <v>556</v>
      </c>
      <c r="B227" s="29">
        <v>232</v>
      </c>
      <c r="C227" s="29" t="s">
        <v>1378</v>
      </c>
      <c r="D227" s="29" t="s">
        <v>297</v>
      </c>
      <c r="E227" s="29" t="str">
        <f>VLOOKUP(D227,Harvest_2017_Formulae!$C$2:$D$968,2,FALSE)</f>
        <v>TSAMASI</v>
      </c>
      <c r="F227" s="29" t="s">
        <v>1014</v>
      </c>
      <c r="G227" s="29">
        <v>0</v>
      </c>
      <c r="H227" s="61" t="str">
        <f>IF(G227&lt;0.05,"Homefield",IF(G227&lt;0.5,"Midfield","outfield"))</f>
        <v>Homefield</v>
      </c>
      <c r="I227" s="29" t="s">
        <v>557</v>
      </c>
      <c r="J227" s="61" t="s">
        <v>2233</v>
      </c>
      <c r="K227" s="61" t="s">
        <v>2233</v>
      </c>
      <c r="L227" s="67">
        <v>0</v>
      </c>
      <c r="M227" s="29"/>
      <c r="N227" s="29"/>
      <c r="O227" s="29" t="s">
        <v>547</v>
      </c>
      <c r="P227" s="29"/>
      <c r="Q227" s="67">
        <v>0</v>
      </c>
      <c r="R227" s="29" t="s">
        <v>547</v>
      </c>
      <c r="S227" s="29"/>
      <c r="T227" s="29"/>
      <c r="U227" s="29" t="s">
        <v>547</v>
      </c>
      <c r="V227" s="29"/>
      <c r="W227" s="29" t="s">
        <v>547</v>
      </c>
      <c r="X227" s="29"/>
      <c r="Y227" s="29"/>
      <c r="Z227" s="29" t="s">
        <v>547</v>
      </c>
      <c r="AA227" s="61" t="s">
        <v>548</v>
      </c>
      <c r="AB227" s="29" t="s">
        <v>568</v>
      </c>
      <c r="AC227" s="67">
        <v>0</v>
      </c>
      <c r="AD227" s="29" t="s">
        <v>547</v>
      </c>
      <c r="AE227" s="29"/>
      <c r="AF227" s="29" t="s">
        <v>547</v>
      </c>
      <c r="AG227" s="29" t="s">
        <v>547</v>
      </c>
      <c r="AH227" s="29" t="s">
        <v>548</v>
      </c>
      <c r="AI227" s="29" t="s">
        <v>546</v>
      </c>
      <c r="AJ227" s="29" t="s">
        <v>547</v>
      </c>
      <c r="AK227" s="67">
        <v>1</v>
      </c>
      <c r="AL227" s="29">
        <v>3</v>
      </c>
      <c r="AM227" s="29">
        <v>1</v>
      </c>
      <c r="AN227" s="29">
        <v>8</v>
      </c>
      <c r="AO227" s="29" t="s">
        <v>547</v>
      </c>
      <c r="AP227" s="29" t="s">
        <v>943</v>
      </c>
      <c r="AQ227" s="4">
        <f>Q227+AK227</f>
        <v>1</v>
      </c>
      <c r="AR227" s="4">
        <f>L227+AC227</f>
        <v>0</v>
      </c>
      <c r="AS227" t="str">
        <f>AQ227&amp;AR227</f>
        <v>10</v>
      </c>
      <c r="AT227" s="49">
        <f>AQ227-AR227</f>
        <v>1</v>
      </c>
      <c r="AU227">
        <v>2</v>
      </c>
      <c r="AV227" s="29" t="s">
        <v>548</v>
      </c>
      <c r="AW227" s="29">
        <v>4</v>
      </c>
      <c r="AX227" s="29" t="s">
        <v>548</v>
      </c>
      <c r="AY227" s="29">
        <v>3</v>
      </c>
      <c r="AZ227" s="29">
        <v>4.25</v>
      </c>
      <c r="BA227" s="29" t="s">
        <v>546</v>
      </c>
      <c r="BB227" s="29" t="s">
        <v>547</v>
      </c>
      <c r="BC227" s="29"/>
      <c r="BD227" s="29">
        <f>AW227+AZ227</f>
        <v>8.25</v>
      </c>
      <c r="BE227" s="29">
        <f>BD227+BC227</f>
        <v>8.25</v>
      </c>
      <c r="BF227" s="29" t="s">
        <v>548</v>
      </c>
      <c r="BG227" s="29" t="s">
        <v>548</v>
      </c>
      <c r="BH227" s="29" t="s">
        <v>548</v>
      </c>
      <c r="BI227" s="29" t="s">
        <v>546</v>
      </c>
      <c r="BJ227" s="29" t="s">
        <v>546</v>
      </c>
      <c r="BK227" s="29" t="s">
        <v>546</v>
      </c>
      <c r="BL227" s="29">
        <v>10</v>
      </c>
      <c r="BM227" s="29" t="s">
        <v>549</v>
      </c>
      <c r="BN227" s="29">
        <v>6</v>
      </c>
      <c r="BO227" s="29" t="s">
        <v>549</v>
      </c>
      <c r="BP227" s="29">
        <v>15</v>
      </c>
      <c r="BQ227" s="29" t="s">
        <v>549</v>
      </c>
      <c r="BR227" s="29"/>
      <c r="BS227" s="29" t="s">
        <v>547</v>
      </c>
      <c r="BT227" s="29"/>
      <c r="BU227" s="29" t="s">
        <v>547</v>
      </c>
      <c r="BV227" s="29"/>
      <c r="BW227" s="29">
        <f>(BL227*1)+(BN227*0.1)+(BP227*0.01)+(BR227*0.1)+(BT227*0.3)+(BV227*0.4)</f>
        <v>10.75</v>
      </c>
      <c r="BX227" s="29" t="s">
        <v>2220</v>
      </c>
      <c r="BY227" s="29">
        <v>2</v>
      </c>
      <c r="BZ227" s="29">
        <v>2</v>
      </c>
      <c r="CA227" s="29">
        <v>6</v>
      </c>
      <c r="CB227" s="29">
        <v>10</v>
      </c>
      <c r="CC227" s="29">
        <v>0</v>
      </c>
      <c r="CD227" s="29">
        <v>1</v>
      </c>
      <c r="CE227" s="29">
        <v>1</v>
      </c>
      <c r="CF227" s="29" t="s">
        <v>547</v>
      </c>
      <c r="CG227" s="29">
        <f>(CC227*15)+(CD227*0.8)+(CE227*0.3)+((AW227+AZ227)*15)</f>
        <v>124.85</v>
      </c>
      <c r="CH227" s="29" t="s">
        <v>2221</v>
      </c>
      <c r="CI227" s="29">
        <f>(BL227*1)+(BN227*0.1)+(BP227*0.01)+(BR227*0.1)+(BT227*0.3)+(BV227*0.4)+(CC227*15)+(CD227*0.8)+(CE227*0.3)+((AW227+AZ227)*15)</f>
        <v>135.6</v>
      </c>
      <c r="CJ227" s="29" t="s">
        <v>546</v>
      </c>
      <c r="CK227" s="29" t="s">
        <v>547</v>
      </c>
      <c r="CL227" s="29" t="s">
        <v>548</v>
      </c>
      <c r="CM227" s="29" t="s">
        <v>550</v>
      </c>
      <c r="CN227" s="29">
        <v>0.25</v>
      </c>
      <c r="CO227" s="29">
        <v>3.75</v>
      </c>
      <c r="CP227" s="29"/>
      <c r="CQ227" s="29" t="s">
        <v>548</v>
      </c>
      <c r="CR227" s="29">
        <v>4</v>
      </c>
      <c r="CS227" s="29">
        <v>50</v>
      </c>
      <c r="CT227" s="29" t="s">
        <v>551</v>
      </c>
      <c r="CU227" s="30">
        <v>3</v>
      </c>
      <c r="CV227" s="29"/>
      <c r="CW227" s="29">
        <v>999</v>
      </c>
      <c r="CX227" s="29" t="s">
        <v>551</v>
      </c>
      <c r="CY227" s="62"/>
      <c r="CZ227" s="29">
        <v>4</v>
      </c>
      <c r="DA227" s="29">
        <v>8</v>
      </c>
      <c r="DB227" s="29" t="s">
        <v>551</v>
      </c>
      <c r="DC227" s="62">
        <v>0.48</v>
      </c>
      <c r="DD227" s="29" t="s">
        <v>546</v>
      </c>
      <c r="DE227" s="29" t="s">
        <v>548</v>
      </c>
      <c r="DF227" s="29" t="s">
        <v>546</v>
      </c>
      <c r="DG227" s="29" t="s">
        <v>548</v>
      </c>
      <c r="DH227" s="29" t="s">
        <v>546</v>
      </c>
      <c r="DI227" s="29">
        <v>2</v>
      </c>
      <c r="DJ227" s="29">
        <v>2</v>
      </c>
      <c r="DK227" s="29" t="s">
        <v>1379</v>
      </c>
      <c r="DL227" s="29" t="s">
        <v>1380</v>
      </c>
      <c r="DM227" s="29">
        <v>-4.2912087440490723</v>
      </c>
      <c r="DN227" s="29">
        <v>35.824909210205078</v>
      </c>
      <c r="DO227" s="29">
        <v>1325.199951171875</v>
      </c>
      <c r="DP227" s="29">
        <v>5</v>
      </c>
      <c r="DQ227" s="29">
        <v>1706031849</v>
      </c>
      <c r="DR227" s="29" t="s">
        <v>1381</v>
      </c>
      <c r="DS227" s="31">
        <v>42951.014305555553</v>
      </c>
      <c r="DT227" s="31">
        <v>42940.62699074074</v>
      </c>
      <c r="DU227" s="31">
        <v>42950.994826388887</v>
      </c>
      <c r="DV227" s="32">
        <v>42797</v>
      </c>
      <c r="DW227" s="29"/>
      <c r="DX227" s="44"/>
      <c r="DY227" s="44"/>
      <c r="DZ227" s="44"/>
      <c r="EA227" s="44"/>
      <c r="EB227" s="29"/>
      <c r="EC227" s="29">
        <f>IF(EQ227&lt;EP227,"FALSEE",1)</f>
        <v>1</v>
      </c>
      <c r="ED227" s="29"/>
      <c r="EE227" s="29" t="s">
        <v>2179</v>
      </c>
      <c r="EF227" s="29">
        <v>1.7505050897600001</v>
      </c>
      <c r="EG227" s="29" t="str">
        <f>IF(EF227&lt;0.5,"Depression",IF(EF227&lt;2,"Very gentle",IF(EF227&lt;5,"Gentle",IF(EF227&lt;9,"Moderate",IF(EF227&lt;15,"Strong",IF(EF227&lt;30,"Steep",IF(EF227&lt;1,"Very steep")))))))</f>
        <v>Very gentle</v>
      </c>
      <c r="EH227" s="29" t="s">
        <v>2173</v>
      </c>
      <c r="EI227" s="29">
        <v>0.45321798324599999</v>
      </c>
      <c r="EJ227" s="43">
        <v>10.6540765762</v>
      </c>
      <c r="EK227" s="43">
        <f>VLOOKUP(D227,[1]SoilData!$G$15:$K$237,5,FALSE)</f>
        <v>332.0746750701914</v>
      </c>
      <c r="EL227" s="43">
        <f>VLOOKUP(D227,[1]SoilData!$G$245:$K$451,5,FALSE)</f>
        <v>853.42438364503391</v>
      </c>
      <c r="EM227" s="43">
        <f>VLOOKUP(D227,[1]SoilData!$G$15:$M$238,7,FALSE)</f>
        <v>1.117</v>
      </c>
      <c r="EN227" s="43">
        <f>VLOOKUP(D227,[1]SoilData!$G$245:$M$454,7,FALSE)</f>
        <v>1.712</v>
      </c>
      <c r="EO227" s="60">
        <f>EM227-EN227</f>
        <v>-0.59499999999999997</v>
      </c>
      <c r="EP227" s="44"/>
      <c r="EQ227" s="44"/>
      <c r="ER227" s="43"/>
      <c r="ES227" s="64">
        <f>IF(CU227&gt;0.000001,CU227*352,0)</f>
        <v>1056</v>
      </c>
      <c r="ET227" s="64">
        <f>IF(DC227&gt;0.0001,DC227*682,0)</f>
        <v>327.36</v>
      </c>
      <c r="EU227" s="64">
        <f>CY227*795</f>
        <v>0</v>
      </c>
      <c r="EV227" s="64">
        <f>ES227+ET227+EU227</f>
        <v>1383.3600000000001</v>
      </c>
      <c r="EW227" s="64">
        <f>IF(AA227="YES",3.5*18.2,0)</f>
        <v>63.699999999999996</v>
      </c>
      <c r="EX227" s="64">
        <f>EV227-EW227</f>
        <v>1319.66</v>
      </c>
    </row>
    <row r="228" spans="1:154" ht="15" x14ac:dyDescent="0.2">
      <c r="A228" s="29" t="s">
        <v>556</v>
      </c>
      <c r="B228" s="29">
        <v>151</v>
      </c>
      <c r="C228" s="29" t="s">
        <v>361</v>
      </c>
      <c r="D228" s="29" t="s">
        <v>361</v>
      </c>
      <c r="E228" s="29" t="str">
        <f>VLOOKUP(D228,Harvest_2017_Formulae!$C$2:$D$968,2,FALSE)</f>
        <v>HALLU</v>
      </c>
      <c r="F228" s="29" t="s">
        <v>938</v>
      </c>
      <c r="G228" s="29">
        <v>0</v>
      </c>
      <c r="H228" s="61" t="str">
        <f>IF(G228&lt;0.05,"Homefield",IF(G228&lt;0.5,"Midfield","outfield"))</f>
        <v>Homefield</v>
      </c>
      <c r="I228" s="29" t="s">
        <v>557</v>
      </c>
      <c r="J228" s="61" t="s">
        <v>2233</v>
      </c>
      <c r="K228" s="61" t="s">
        <v>2233</v>
      </c>
      <c r="L228" s="67">
        <v>0</v>
      </c>
      <c r="O228" s="29" t="s">
        <v>547</v>
      </c>
      <c r="Q228" s="67">
        <v>0</v>
      </c>
      <c r="R228" s="29" t="s">
        <v>547</v>
      </c>
      <c r="U228" s="29" t="s">
        <v>547</v>
      </c>
      <c r="W228" s="29" t="s">
        <v>547</v>
      </c>
      <c r="Z228" s="29" t="s">
        <v>547</v>
      </c>
      <c r="AA228" s="61" t="s">
        <v>548</v>
      </c>
      <c r="AB228" s="29" t="s">
        <v>568</v>
      </c>
      <c r="AC228" s="67">
        <v>0</v>
      </c>
      <c r="AD228" s="29" t="s">
        <v>547</v>
      </c>
      <c r="AF228" s="29" t="s">
        <v>547</v>
      </c>
      <c r="AG228" s="29" t="s">
        <v>547</v>
      </c>
      <c r="AH228" s="29" t="s">
        <v>548</v>
      </c>
      <c r="AI228" s="29" t="s">
        <v>546</v>
      </c>
      <c r="AJ228" s="29" t="s">
        <v>547</v>
      </c>
      <c r="AK228" s="67">
        <v>1</v>
      </c>
      <c r="AL228" s="29">
        <v>4</v>
      </c>
      <c r="AM228" s="29">
        <v>1</v>
      </c>
      <c r="AN228" s="29">
        <v>8</v>
      </c>
      <c r="AO228" s="29">
        <v>5000</v>
      </c>
      <c r="AQ228" s="4">
        <f>Q228+AK228</f>
        <v>1</v>
      </c>
      <c r="AR228" s="4">
        <f>L228+AC228</f>
        <v>0</v>
      </c>
      <c r="AS228" t="str">
        <f>AQ228&amp;AR228</f>
        <v>10</v>
      </c>
      <c r="AT228" s="49">
        <f>AQ228-AR228</f>
        <v>1</v>
      </c>
      <c r="AU228">
        <v>2</v>
      </c>
      <c r="AV228" s="29" t="s">
        <v>548</v>
      </c>
      <c r="AW228" s="29">
        <v>0.75</v>
      </c>
      <c r="AX228" s="29" t="s">
        <v>548</v>
      </c>
      <c r="AY228" s="29">
        <v>2</v>
      </c>
      <c r="AZ228" s="29">
        <v>8</v>
      </c>
      <c r="BA228" s="29" t="s">
        <v>546</v>
      </c>
      <c r="BB228" s="29" t="s">
        <v>547</v>
      </c>
      <c r="BD228" s="29">
        <f>AW228+AZ228</f>
        <v>8.75</v>
      </c>
      <c r="BE228" s="29">
        <f>BD228+BC228</f>
        <v>8.75</v>
      </c>
      <c r="BF228" s="29" t="s">
        <v>548</v>
      </c>
      <c r="BG228" s="29" t="s">
        <v>548</v>
      </c>
      <c r="BH228" s="29" t="s">
        <v>548</v>
      </c>
      <c r="BI228" s="29" t="s">
        <v>548</v>
      </c>
      <c r="BJ228" s="29" t="s">
        <v>546</v>
      </c>
      <c r="BK228" s="29" t="s">
        <v>546</v>
      </c>
      <c r="BL228" s="29">
        <v>12</v>
      </c>
      <c r="BM228" s="29" t="s">
        <v>549</v>
      </c>
      <c r="BN228" s="29">
        <v>8</v>
      </c>
      <c r="BO228" s="29" t="s">
        <v>549</v>
      </c>
      <c r="BP228" s="29">
        <v>1</v>
      </c>
      <c r="BQ228" s="29" t="s">
        <v>549</v>
      </c>
      <c r="BR228" s="29">
        <v>8</v>
      </c>
      <c r="BS228" s="29" t="s">
        <v>549</v>
      </c>
      <c r="BU228" s="29" t="s">
        <v>547</v>
      </c>
      <c r="BW228" s="29">
        <f>(BL228*1)+(BN228*0.1)+(BP228*0.01)+(BR228*0.1)+(BT228*0.3)+(BV228*0.4)</f>
        <v>13.610000000000001</v>
      </c>
      <c r="BX228" s="29" t="s">
        <v>2220</v>
      </c>
      <c r="BY228" s="29">
        <v>1</v>
      </c>
      <c r="BZ228" s="29">
        <v>2</v>
      </c>
      <c r="CA228" s="29">
        <v>6</v>
      </c>
      <c r="CB228" s="29">
        <v>9</v>
      </c>
      <c r="CC228" s="29">
        <v>0</v>
      </c>
      <c r="CD228" s="29">
        <v>1</v>
      </c>
      <c r="CE228" s="29">
        <v>0</v>
      </c>
      <c r="CF228" s="29" t="s">
        <v>547</v>
      </c>
      <c r="CG228" s="29">
        <f>(CC228*15)+(CD228*0.8)+(CE228*0.3)+((AW228+AZ228)*15)</f>
        <v>132.05000000000001</v>
      </c>
      <c r="CH228" s="29" t="s">
        <v>2221</v>
      </c>
      <c r="CI228" s="29">
        <f>(BL228*1)+(BN228*0.1)+(BP228*0.01)+(BR228*0.1)+(BT228*0.3)+(BV228*0.4)+(CC228*15)+(CD228*0.8)+(CE228*0.3)+((AW228+AZ228)*15)</f>
        <v>145.66</v>
      </c>
      <c r="CJ228" s="29" t="s">
        <v>546</v>
      </c>
      <c r="CK228" s="29" t="s">
        <v>547</v>
      </c>
      <c r="CL228" s="29" t="s">
        <v>548</v>
      </c>
      <c r="CM228" s="29" t="s">
        <v>550</v>
      </c>
      <c r="CN228" s="29">
        <v>0.25</v>
      </c>
      <c r="CO228" s="29">
        <v>0.125</v>
      </c>
      <c r="CQ228" s="29" t="s">
        <v>548</v>
      </c>
      <c r="CR228" s="29">
        <v>0.375</v>
      </c>
      <c r="CS228" s="29">
        <v>6</v>
      </c>
      <c r="CT228" s="29" t="s">
        <v>551</v>
      </c>
      <c r="CU228" s="30">
        <v>3.8400000000000003</v>
      </c>
      <c r="CW228" s="29">
        <v>999</v>
      </c>
      <c r="CX228" s="29" t="s">
        <v>551</v>
      </c>
      <c r="CY228" s="62"/>
      <c r="CZ228" s="29">
        <v>0.375</v>
      </c>
      <c r="DA228" s="29">
        <v>3</v>
      </c>
      <c r="DB228" s="29" t="s">
        <v>551</v>
      </c>
      <c r="DC228" s="62">
        <v>1.92</v>
      </c>
      <c r="DD228" s="29" t="s">
        <v>546</v>
      </c>
      <c r="DE228" s="29" t="s">
        <v>548</v>
      </c>
      <c r="DF228" s="29" t="s">
        <v>546</v>
      </c>
      <c r="DG228" s="29" t="s">
        <v>546</v>
      </c>
      <c r="DH228" s="29" t="s">
        <v>546</v>
      </c>
      <c r="DI228" s="29">
        <v>1</v>
      </c>
      <c r="DJ228" s="29">
        <v>2</v>
      </c>
      <c r="DK228" s="29" t="s">
        <v>1005</v>
      </c>
      <c r="DL228" s="29" t="s">
        <v>1006</v>
      </c>
      <c r="DM228" s="29">
        <v>-4.2970290184020996</v>
      </c>
      <c r="DN228" s="29">
        <v>35.890232086181641</v>
      </c>
      <c r="DO228" s="29">
        <v>1214.300048828125</v>
      </c>
      <c r="DP228" s="29">
        <v>5</v>
      </c>
      <c r="DQ228" s="29">
        <v>1706031849</v>
      </c>
      <c r="DR228" s="29" t="s">
        <v>1007</v>
      </c>
      <c r="DS228" s="31">
        <v>42913.63862268519</v>
      </c>
      <c r="DT228" s="31">
        <v>42909.624537037038</v>
      </c>
      <c r="DU228" s="31">
        <v>42909.637916666667</v>
      </c>
      <c r="DV228" s="32">
        <v>42788</v>
      </c>
      <c r="DX228" s="44">
        <v>4.8813771517996871</v>
      </c>
      <c r="DY228" s="44">
        <v>5.0391236306729272</v>
      </c>
      <c r="DZ228" s="44">
        <v>3.760879120879121</v>
      </c>
      <c r="EA228" s="44">
        <v>3.6397557997557994</v>
      </c>
      <c r="EC228" s="29">
        <f>IF(EQ228&lt;EP228,"FALSEE",1)</f>
        <v>1</v>
      </c>
      <c r="EE228" s="29" t="s">
        <v>2171</v>
      </c>
      <c r="EF228" s="29">
        <v>0.66437512636200002</v>
      </c>
      <c r="EG228" s="29" t="str">
        <f>IF(EF228&lt;0.5,"Depression",IF(EF228&lt;2,"Very gentle",IF(EF228&lt;5,"Gentle",IF(EF228&lt;9,"Moderate",IF(EF228&lt;15,"Strong",IF(EF228&lt;30,"Steep",IF(EF228&lt;1,"Very steep")))))))</f>
        <v>Very gentle</v>
      </c>
      <c r="EH228" s="29" t="s">
        <v>2173</v>
      </c>
      <c r="EI228" s="29">
        <v>-0.27191722393000001</v>
      </c>
      <c r="EJ228" s="43">
        <v>9.5276403427100007</v>
      </c>
      <c r="EK228" s="43">
        <f>VLOOKUP(D228,[1]SoilData!$G$15:$K$237,5,FALSE)</f>
        <v>130.30322297000242</v>
      </c>
      <c r="EL228" s="43"/>
      <c r="EM228" s="43">
        <f>VLOOKUP(D228,[1]SoilData!$G$15:$M$238,7,FALSE)</f>
        <v>1.0940000000000001</v>
      </c>
      <c r="EN228" s="43">
        <f>VLOOKUP(D228,[1]SoilData!$G$245:$M$454,7,FALSE)</f>
        <v>2.153</v>
      </c>
      <c r="EO228" s="60">
        <f>EM228-EN228</f>
        <v>-1.0589999999999999</v>
      </c>
      <c r="EP228" s="44">
        <f>AVERAGE(DZ228:EA228)</f>
        <v>3.7003174603174602</v>
      </c>
      <c r="EQ228" s="44">
        <f>AVERAGE(DX228:DY228)</f>
        <v>4.9602503912363076</v>
      </c>
      <c r="ER228" s="43">
        <f>EQ228-EP228</f>
        <v>1.2599329309188474</v>
      </c>
      <c r="ES228" s="64">
        <f>IF(CU228&gt;0.000001,CU228*352,0)</f>
        <v>1351.68</v>
      </c>
      <c r="ET228" s="64">
        <f>IF(DC228&gt;0.0001,DC228*682,0)</f>
        <v>1309.44</v>
      </c>
      <c r="EU228" s="64">
        <f>CY228*795</f>
        <v>0</v>
      </c>
      <c r="EV228" s="64">
        <f>ES228+ET228+EU228</f>
        <v>2661.12</v>
      </c>
      <c r="EW228" s="64">
        <f>IF(AA228="YES",3.5*18.2,0)</f>
        <v>63.699999999999996</v>
      </c>
      <c r="EX228" s="64">
        <f>EV228-EW228</f>
        <v>2597.42</v>
      </c>
    </row>
    <row r="229" spans="1:154" ht="15" x14ac:dyDescent="0.2">
      <c r="A229" s="29" t="s">
        <v>556</v>
      </c>
      <c r="B229" s="29">
        <v>144</v>
      </c>
      <c r="C229" s="29" t="s">
        <v>324</v>
      </c>
      <c r="D229" s="29" t="s">
        <v>324</v>
      </c>
      <c r="E229" s="29" t="str">
        <f>VLOOKUP(D229,Harvest_2017_Formulae!$C$2:$D$968,2,FALSE)</f>
        <v>AYAMANGO</v>
      </c>
      <c r="F229" s="29" t="s">
        <v>196</v>
      </c>
      <c r="G229" s="29">
        <v>0</v>
      </c>
      <c r="H229" s="61" t="str">
        <f>IF(G229&lt;0.05,"Homefield",IF(G229&lt;0.5,"Midfield","outfield"))</f>
        <v>Homefield</v>
      </c>
      <c r="I229" s="29" t="s">
        <v>557</v>
      </c>
      <c r="J229" s="61" t="s">
        <v>2234</v>
      </c>
      <c r="K229" s="61" t="s">
        <v>2234</v>
      </c>
      <c r="L229" s="67">
        <v>0</v>
      </c>
      <c r="O229" s="29" t="s">
        <v>547</v>
      </c>
      <c r="Q229" s="67">
        <v>0</v>
      </c>
      <c r="R229" s="29" t="s">
        <v>547</v>
      </c>
      <c r="U229" s="29" t="s">
        <v>547</v>
      </c>
      <c r="W229" s="29" t="s">
        <v>547</v>
      </c>
      <c r="Z229" s="29" t="s">
        <v>547</v>
      </c>
      <c r="AA229" s="61" t="s">
        <v>546</v>
      </c>
      <c r="AB229" s="29" t="s">
        <v>547</v>
      </c>
      <c r="AC229" s="67">
        <v>0</v>
      </c>
      <c r="AD229" s="29" t="s">
        <v>547</v>
      </c>
      <c r="AF229" s="29" t="s">
        <v>547</v>
      </c>
      <c r="AG229" s="29" t="s">
        <v>547</v>
      </c>
      <c r="AH229" s="29" t="s">
        <v>548</v>
      </c>
      <c r="AI229" s="29" t="s">
        <v>546</v>
      </c>
      <c r="AJ229" s="29" t="s">
        <v>547</v>
      </c>
      <c r="AK229" s="67">
        <v>1</v>
      </c>
      <c r="AL229" s="29">
        <v>4</v>
      </c>
      <c r="AM229" s="29">
        <v>1</v>
      </c>
      <c r="AN229" s="29">
        <v>6</v>
      </c>
      <c r="AO229" s="29" t="s">
        <v>547</v>
      </c>
      <c r="AP229" s="29" t="s">
        <v>567</v>
      </c>
      <c r="AQ229" s="4">
        <f>Q229+AK229</f>
        <v>1</v>
      </c>
      <c r="AR229" s="4">
        <f>L229+AC229</f>
        <v>0</v>
      </c>
      <c r="AS229" t="str">
        <f>AQ229&amp;AR229</f>
        <v>10</v>
      </c>
      <c r="AT229" s="49">
        <f>AQ229-AR229</f>
        <v>1</v>
      </c>
      <c r="AU229">
        <v>2</v>
      </c>
      <c r="AV229" s="29" t="s">
        <v>548</v>
      </c>
      <c r="AW229" s="29">
        <v>2</v>
      </c>
      <c r="AX229" s="29" t="s">
        <v>548</v>
      </c>
      <c r="AY229" s="29">
        <v>2</v>
      </c>
      <c r="AZ229" s="29">
        <v>12</v>
      </c>
      <c r="BA229" s="29" t="s">
        <v>546</v>
      </c>
      <c r="BB229" s="29" t="s">
        <v>547</v>
      </c>
      <c r="BD229" s="29">
        <f>AW229+AZ229</f>
        <v>14</v>
      </c>
      <c r="BE229" s="29">
        <f>BD229+BC229</f>
        <v>14</v>
      </c>
      <c r="BF229" s="29" t="s">
        <v>548</v>
      </c>
      <c r="BG229" s="29" t="s">
        <v>548</v>
      </c>
      <c r="BH229" s="29" t="s">
        <v>548</v>
      </c>
      <c r="BI229" s="29" t="s">
        <v>546</v>
      </c>
      <c r="BJ229" s="29" t="s">
        <v>546</v>
      </c>
      <c r="BK229" s="29" t="s">
        <v>546</v>
      </c>
      <c r="BL229" s="29">
        <v>20</v>
      </c>
      <c r="BM229" s="29" t="s">
        <v>549</v>
      </c>
      <c r="BN229" s="29">
        <v>6</v>
      </c>
      <c r="BO229" s="29" t="s">
        <v>580</v>
      </c>
      <c r="BP229" s="29">
        <v>2</v>
      </c>
      <c r="BQ229" s="29" t="s">
        <v>549</v>
      </c>
      <c r="BS229" s="29" t="s">
        <v>547</v>
      </c>
      <c r="BU229" s="29" t="s">
        <v>547</v>
      </c>
      <c r="BW229" s="29">
        <f>(BL229*1)+(BN229*0.1)+(BP229*0.01)+(BR229*0.1)+(BT229*0.3)+(BV229*0.4)</f>
        <v>20.62</v>
      </c>
      <c r="BX229" s="29" t="s">
        <v>2221</v>
      </c>
      <c r="BY229" s="29">
        <v>1</v>
      </c>
      <c r="BZ229" s="29">
        <v>1</v>
      </c>
      <c r="CA229" s="29">
        <v>5</v>
      </c>
      <c r="CB229" s="29">
        <v>7</v>
      </c>
      <c r="CC229" s="29">
        <v>0</v>
      </c>
      <c r="CD229" s="29">
        <v>0</v>
      </c>
      <c r="CE229" s="29">
        <v>2</v>
      </c>
      <c r="CF229" s="29" t="s">
        <v>547</v>
      </c>
      <c r="CG229" s="29">
        <f>(CC229*15)+(CD229*0.8)+(CE229*0.3)+((AW229+AZ229)*15)</f>
        <v>210.6</v>
      </c>
      <c r="CH229" s="29" t="s">
        <v>2221</v>
      </c>
      <c r="CI229" s="29">
        <f>(BL229*1)+(BN229*0.1)+(BP229*0.01)+(BR229*0.1)+(BT229*0.3)+(BV229*0.4)+(CC229*15)+(CD229*0.8)+(CE229*0.3)+((AW229+AZ229)*15)</f>
        <v>231.22</v>
      </c>
      <c r="CJ229" s="29" t="s">
        <v>546</v>
      </c>
      <c r="CK229" s="29" t="s">
        <v>547</v>
      </c>
      <c r="CL229" s="29" t="s">
        <v>548</v>
      </c>
      <c r="CM229" s="29" t="s">
        <v>550</v>
      </c>
      <c r="CN229" s="29">
        <v>0.375</v>
      </c>
      <c r="CO229" s="29">
        <v>0.375</v>
      </c>
      <c r="CQ229" s="29" t="s">
        <v>546</v>
      </c>
      <c r="CR229" s="29">
        <v>0.75</v>
      </c>
      <c r="CS229" s="29">
        <v>4</v>
      </c>
      <c r="CT229" s="29" t="s">
        <v>551</v>
      </c>
      <c r="CU229" s="30">
        <v>1.28</v>
      </c>
      <c r="CW229" s="29">
        <v>999</v>
      </c>
      <c r="CX229" s="29" t="s">
        <v>551</v>
      </c>
      <c r="CY229" s="62"/>
      <c r="CZ229" s="29">
        <v>0.75</v>
      </c>
      <c r="DA229" s="29">
        <v>2</v>
      </c>
      <c r="DB229" s="29" t="s">
        <v>551</v>
      </c>
      <c r="DC229" s="62">
        <v>0.64</v>
      </c>
      <c r="DD229" s="29" t="s">
        <v>546</v>
      </c>
      <c r="DE229" s="29" t="s">
        <v>546</v>
      </c>
      <c r="DF229" s="29" t="s">
        <v>546</v>
      </c>
      <c r="DG229" s="29" t="s">
        <v>546</v>
      </c>
      <c r="DH229" s="29" t="s">
        <v>546</v>
      </c>
      <c r="DI229" s="29">
        <v>0</v>
      </c>
      <c r="DJ229" s="29">
        <v>3</v>
      </c>
      <c r="DK229" s="29" t="s">
        <v>632</v>
      </c>
      <c r="DL229" s="29" t="s">
        <v>633</v>
      </c>
      <c r="DM229" s="29">
        <v>-4.2444968223571777</v>
      </c>
      <c r="DN229" s="29">
        <v>35.890701293945312</v>
      </c>
      <c r="DO229" s="29">
        <v>1201.4000244140625</v>
      </c>
      <c r="DP229" s="29">
        <v>5</v>
      </c>
      <c r="DQ229" s="29">
        <v>1706031849</v>
      </c>
      <c r="DR229" s="29" t="s">
        <v>634</v>
      </c>
      <c r="DS229" s="31">
        <v>42909.495810185181</v>
      </c>
      <c r="DT229" s="31">
        <v>42908.492326388892</v>
      </c>
      <c r="DU229" s="31">
        <v>42908.501620370371</v>
      </c>
      <c r="DV229" s="32">
        <v>42780</v>
      </c>
      <c r="DX229" s="44">
        <v>5.3983333333333325</v>
      </c>
      <c r="DY229" s="44">
        <v>6.3379166666666666</v>
      </c>
      <c r="DZ229" s="44">
        <v>4.4112820512820505</v>
      </c>
      <c r="EA229" s="44">
        <v>5.1897435897435891</v>
      </c>
      <c r="EC229" s="29">
        <f>IF(EQ229&lt;EP229,"FALSEE",1)</f>
        <v>1</v>
      </c>
      <c r="EE229" s="29" t="s">
        <v>2171</v>
      </c>
      <c r="EF229" s="29">
        <v>0.93315756320999999</v>
      </c>
      <c r="EG229" s="29" t="str">
        <f>IF(EF229&lt;0.5,"Depression",IF(EF229&lt;2,"Very gentle",IF(EF229&lt;5,"Gentle",IF(EF229&lt;9,"Moderate",IF(EF229&lt;15,"Strong",IF(EF229&lt;30,"Steep",IF(EF229&lt;1,"Very steep")))))))</f>
        <v>Very gentle</v>
      </c>
      <c r="EH229" s="29" t="s">
        <v>2173</v>
      </c>
      <c r="EI229" s="29">
        <v>9.0650379657699995E-2</v>
      </c>
      <c r="EJ229" s="43">
        <v>10.5559015274</v>
      </c>
      <c r="EK229" s="43">
        <f>VLOOKUP(D229,[1]SoilData!$G$15:$K$237,5,FALSE)</f>
        <v>484.20066962021053</v>
      </c>
      <c r="EL229" s="43">
        <f>VLOOKUP(D229,[1]SoilData!$G$245:$K$451,5,FALSE)</f>
        <v>371.34360986167974</v>
      </c>
      <c r="EM229" s="43">
        <f>VLOOKUP(D229,[1]SoilData!$G$15:$M$238,7,FALSE)</f>
        <v>2.056</v>
      </c>
      <c r="EN229" s="43">
        <f>VLOOKUP(D229,[1]SoilData!$G$245:$M$454,7,FALSE)</f>
        <v>1.704</v>
      </c>
      <c r="EO229" s="60">
        <f>EM229-EN229</f>
        <v>0.35200000000000009</v>
      </c>
      <c r="EP229" s="44">
        <f>AVERAGE(DZ229:EA229)</f>
        <v>4.8005128205128198</v>
      </c>
      <c r="EQ229" s="44">
        <f>AVERAGE(DX229:DY229)</f>
        <v>5.8681249999999991</v>
      </c>
      <c r="ER229" s="43">
        <f>EQ229-EP229</f>
        <v>1.0676121794871793</v>
      </c>
      <c r="ES229" s="64">
        <f>IF(CU229&gt;0.000001,CU229*352,0)</f>
        <v>450.56</v>
      </c>
      <c r="ET229" s="64">
        <f>IF(DC229&gt;0.0001,DC229*682,0)</f>
        <v>436.48</v>
      </c>
      <c r="EU229" s="64">
        <f>CY229*795</f>
        <v>0</v>
      </c>
      <c r="EV229" s="64">
        <f>ES229+ET229+EU229</f>
        <v>887.04</v>
      </c>
      <c r="EW229" s="64">
        <f>IF(AA229="YES",3.5*18.2,0)</f>
        <v>0</v>
      </c>
      <c r="EX229" s="64">
        <f>EV229-EW229</f>
        <v>887.04</v>
      </c>
    </row>
    <row r="230" spans="1:154" ht="15" x14ac:dyDescent="0.2">
      <c r="A230" s="29" t="s">
        <v>789</v>
      </c>
      <c r="B230" s="29">
        <v>58</v>
      </c>
      <c r="C230" s="29" t="s">
        <v>209</v>
      </c>
      <c r="D230" s="29" t="s">
        <v>209</v>
      </c>
      <c r="E230" s="29" t="str">
        <f>VLOOKUP(D230,Harvest_2017_Formulae!$C$2:$D$968,2,FALSE)</f>
        <v>MANDI</v>
      </c>
      <c r="F230" s="29" t="s">
        <v>1014</v>
      </c>
      <c r="G230" s="29">
        <v>2</v>
      </c>
      <c r="H230" s="61" t="str">
        <f>IF(G230&lt;0.05,"Homefield",IF(G230&lt;0.5,"Midfield","outfield"))</f>
        <v>outfield</v>
      </c>
      <c r="I230" s="29" t="s">
        <v>557</v>
      </c>
      <c r="J230" s="61" t="s">
        <v>2233</v>
      </c>
      <c r="K230" s="61" t="s">
        <v>2233</v>
      </c>
      <c r="L230" s="67">
        <v>0</v>
      </c>
      <c r="O230" s="29" t="s">
        <v>547</v>
      </c>
      <c r="Q230" s="67">
        <v>1</v>
      </c>
      <c r="R230" s="29" t="s">
        <v>791</v>
      </c>
      <c r="S230" s="29">
        <v>2</v>
      </c>
      <c r="T230" s="29">
        <v>1</v>
      </c>
      <c r="U230" s="29" t="s">
        <v>560</v>
      </c>
      <c r="W230" s="29" t="s">
        <v>561</v>
      </c>
      <c r="Y230" s="29">
        <v>15000</v>
      </c>
      <c r="Z230" s="29" t="s">
        <v>547</v>
      </c>
      <c r="AA230" s="61" t="s">
        <v>548</v>
      </c>
      <c r="AB230" s="29" t="s">
        <v>568</v>
      </c>
      <c r="AC230" s="67">
        <v>0</v>
      </c>
      <c r="AD230" s="29" t="s">
        <v>547</v>
      </c>
      <c r="AF230" s="29" t="s">
        <v>547</v>
      </c>
      <c r="AG230" s="29" t="s">
        <v>547</v>
      </c>
      <c r="AH230" s="29" t="s">
        <v>548</v>
      </c>
      <c r="AI230" s="29" t="s">
        <v>546</v>
      </c>
      <c r="AK230" s="67">
        <v>1</v>
      </c>
      <c r="AL230" s="29">
        <v>2</v>
      </c>
      <c r="AM230" s="29">
        <v>1</v>
      </c>
      <c r="AN230" s="29">
        <v>5</v>
      </c>
      <c r="AO230" s="29">
        <v>5000</v>
      </c>
      <c r="AP230" s="29" t="s">
        <v>547</v>
      </c>
      <c r="AQ230" s="4">
        <f>Q230+AK230</f>
        <v>2</v>
      </c>
      <c r="AR230" s="4">
        <f>L230+AC230</f>
        <v>0</v>
      </c>
      <c r="AS230" t="str">
        <f>AQ230&amp;AR230</f>
        <v>20</v>
      </c>
      <c r="AT230" s="49">
        <f>AQ230-AR230</f>
        <v>2</v>
      </c>
      <c r="AU230">
        <v>3</v>
      </c>
      <c r="AV230" s="29" t="s">
        <v>548</v>
      </c>
      <c r="AW230" s="29">
        <v>1</v>
      </c>
      <c r="AX230" s="29" t="s">
        <v>548</v>
      </c>
      <c r="AY230" s="29">
        <v>2</v>
      </c>
      <c r="AZ230" s="29">
        <v>3</v>
      </c>
      <c r="BA230" s="29" t="s">
        <v>548</v>
      </c>
      <c r="BB230" s="29" t="s">
        <v>569</v>
      </c>
      <c r="BC230" s="29">
        <v>3.5</v>
      </c>
      <c r="BD230" s="29">
        <f>AW230+AZ230</f>
        <v>4</v>
      </c>
      <c r="BE230" s="29">
        <f>BD230+BC230</f>
        <v>7.5</v>
      </c>
      <c r="BF230" s="29" t="s">
        <v>548</v>
      </c>
      <c r="BG230" s="29" t="s">
        <v>548</v>
      </c>
      <c r="BH230" s="29" t="s">
        <v>548</v>
      </c>
      <c r="BI230" s="29" t="s">
        <v>546</v>
      </c>
      <c r="BJ230" s="29" t="s">
        <v>546</v>
      </c>
      <c r="BK230" s="29" t="s">
        <v>546</v>
      </c>
      <c r="BL230" s="29">
        <v>2</v>
      </c>
      <c r="BM230" s="29" t="s">
        <v>562</v>
      </c>
      <c r="BN230" s="29">
        <v>5</v>
      </c>
      <c r="BO230" s="29" t="s">
        <v>562</v>
      </c>
      <c r="BP230" s="29">
        <v>15</v>
      </c>
      <c r="BQ230" s="29" t="s">
        <v>580</v>
      </c>
      <c r="BS230" s="29" t="s">
        <v>547</v>
      </c>
      <c r="BU230" s="29" t="s">
        <v>547</v>
      </c>
      <c r="BW230" s="29">
        <f>(BL230*1)+(BN230*0.1)+(BP230*0.01)+(BR230*0.1)+(BT230*0.3)+(BV230*0.4)</f>
        <v>2.65</v>
      </c>
      <c r="BX230" s="29" t="s">
        <v>2219</v>
      </c>
      <c r="BY230" s="29">
        <v>2</v>
      </c>
      <c r="BZ230" s="29">
        <v>2</v>
      </c>
      <c r="CA230" s="29">
        <v>0</v>
      </c>
      <c r="CB230" s="29">
        <v>4</v>
      </c>
      <c r="CC230" s="29">
        <v>0</v>
      </c>
      <c r="CD230" s="29">
        <v>0</v>
      </c>
      <c r="CE230" s="29">
        <v>1</v>
      </c>
      <c r="CG230" s="29">
        <f>(CC230*15)+(CD230*0.8)+(CE230*0.3)+((AW230+AZ230)*15)</f>
        <v>60.3</v>
      </c>
      <c r="CH230" s="29" t="s">
        <v>2221</v>
      </c>
      <c r="CI230" s="29">
        <f>(BL230*1)+(BN230*0.1)+(BP230*0.01)+(BR230*0.1)+(BT230*0.3)+(BV230*0.4)+(CC230*15)+(CD230*0.8)+(CE230*0.3)+((AW230+AZ230)*15)</f>
        <v>62.95</v>
      </c>
      <c r="CJ230" s="29" t="s">
        <v>548</v>
      </c>
      <c r="CK230" s="29" t="s">
        <v>1066</v>
      </c>
      <c r="CL230" s="29" t="s">
        <v>548</v>
      </c>
      <c r="CM230" s="29" t="s">
        <v>793</v>
      </c>
      <c r="CN230" s="29">
        <v>0.25</v>
      </c>
      <c r="CO230" s="29">
        <v>2.25</v>
      </c>
      <c r="CP230" s="29">
        <v>0</v>
      </c>
      <c r="CQ230" s="29" t="s">
        <v>548</v>
      </c>
      <c r="CR230" s="29">
        <v>1</v>
      </c>
      <c r="CS230" s="29">
        <v>20</v>
      </c>
      <c r="CT230" s="29" t="s">
        <v>551</v>
      </c>
      <c r="CU230" s="30">
        <v>4.8</v>
      </c>
      <c r="CV230" s="29">
        <v>1</v>
      </c>
      <c r="CW230" s="29">
        <v>2</v>
      </c>
      <c r="CX230" s="29" t="s">
        <v>551</v>
      </c>
      <c r="CY230" s="62">
        <v>0.48</v>
      </c>
      <c r="DA230" s="29">
        <v>999</v>
      </c>
      <c r="DB230" s="29" t="s">
        <v>551</v>
      </c>
      <c r="DC230" s="62"/>
      <c r="DD230" s="29" t="s">
        <v>548</v>
      </c>
      <c r="DE230" s="29" t="s">
        <v>546</v>
      </c>
      <c r="DF230" s="29" t="s">
        <v>548</v>
      </c>
      <c r="DG230" s="29" t="s">
        <v>546</v>
      </c>
      <c r="DH230" s="29" t="s">
        <v>548</v>
      </c>
      <c r="DI230" s="29">
        <v>3</v>
      </c>
      <c r="DJ230" s="29">
        <v>3</v>
      </c>
      <c r="DK230" s="29" t="s">
        <v>1067</v>
      </c>
      <c r="DL230" s="29" t="s">
        <v>1068</v>
      </c>
      <c r="DM230" s="29">
        <v>-4.3318023681640625</v>
      </c>
      <c r="DN230" s="29">
        <v>35.450305938720703</v>
      </c>
      <c r="DO230" s="29">
        <v>1565.4000244140625</v>
      </c>
      <c r="DP230" s="29">
        <v>5</v>
      </c>
      <c r="DQ230" s="29">
        <v>1705231439</v>
      </c>
      <c r="DR230" s="29" t="s">
        <v>1069</v>
      </c>
      <c r="DS230" s="31">
        <v>42923.381840277776</v>
      </c>
      <c r="DT230" s="31">
        <v>42908.639675925922</v>
      </c>
      <c r="DU230" s="31">
        <v>42908.65388888889</v>
      </c>
      <c r="DV230" s="32">
        <v>42776</v>
      </c>
      <c r="DX230" s="44">
        <v>3.8153846153846156</v>
      </c>
      <c r="DY230" s="44">
        <v>5.3743589743589739</v>
      </c>
      <c r="DZ230" s="44">
        <v>4.0177777777777779</v>
      </c>
      <c r="EA230" s="44">
        <v>2.7936111111111108</v>
      </c>
      <c r="EC230" s="29">
        <f>IF(EQ230&lt;EP230,"FALSEE",1)</f>
        <v>1</v>
      </c>
      <c r="EE230" s="29" t="s">
        <v>2171</v>
      </c>
      <c r="EF230" s="29">
        <v>0</v>
      </c>
      <c r="EG230" s="29" t="str">
        <f>IF(EF230&lt;0.5,"Depression",IF(EF230&lt;2,"Very gentle",IF(EF230&lt;5,"Gentle",IF(EF230&lt;9,"Moderate",IF(EF230&lt;15,"Strong",IF(EF230&lt;30,"Steep",IF(EF230&lt;1,"Very steep")))))))</f>
        <v>Depression</v>
      </c>
      <c r="EH230" s="29" t="s">
        <v>2173</v>
      </c>
      <c r="EI230" s="29">
        <v>8.4776775111099995E-6</v>
      </c>
      <c r="EJ230" s="43">
        <v>11.4374370575</v>
      </c>
      <c r="EK230" s="43">
        <f>VLOOKUP(D230,[1]SoilData!$G$15:$K$237,5,FALSE)</f>
        <v>491.77961188423967</v>
      </c>
      <c r="EL230" s="43">
        <f>VLOOKUP(D230,[1]SoilData!$G$245:$K$451,5,FALSE)</f>
        <v>371.7608898733568</v>
      </c>
      <c r="EM230" s="43">
        <f>VLOOKUP(D230,[1]SoilData!$G$15:$M$238,7,FALSE)</f>
        <v>1.6890000000000001</v>
      </c>
      <c r="EN230" s="43">
        <f>VLOOKUP(D230,[1]SoilData!$G$245:$M$454,7,FALSE)</f>
        <v>1.772</v>
      </c>
      <c r="EO230" s="60">
        <f>EM230-EN230</f>
        <v>-8.2999999999999963E-2</v>
      </c>
      <c r="EP230" s="44">
        <f>AVERAGE(DZ230:EA230)</f>
        <v>3.4056944444444444</v>
      </c>
      <c r="EQ230" s="44">
        <f>AVERAGE(DX230:DY230)</f>
        <v>4.5948717948717945</v>
      </c>
      <c r="ER230" s="43">
        <f>EQ230-EP230</f>
        <v>1.1891773504273502</v>
      </c>
      <c r="ES230" s="64">
        <f>IF(CU230&gt;0.000001,CU230*352,0)</f>
        <v>1689.6</v>
      </c>
      <c r="ET230" s="64">
        <f>IF(DC230&gt;0.0001,DC230*682,0)</f>
        <v>0</v>
      </c>
      <c r="EU230" s="64">
        <f>CY230*795</f>
        <v>381.59999999999997</v>
      </c>
      <c r="EV230" s="64">
        <f>ES230+ET230+EU230</f>
        <v>2071.1999999999998</v>
      </c>
      <c r="EW230" s="64">
        <f>IF(AA230="YES",3.5*18.2,0)</f>
        <v>63.699999999999996</v>
      </c>
      <c r="EX230" s="64">
        <f>EV230-EW230</f>
        <v>2007.4999999999998</v>
      </c>
    </row>
    <row r="231" spans="1:154" ht="15" x14ac:dyDescent="0.2">
      <c r="A231" s="29" t="s">
        <v>857</v>
      </c>
      <c r="B231" s="29">
        <v>244</v>
      </c>
      <c r="C231" s="29" t="s">
        <v>858</v>
      </c>
      <c r="D231" s="33" t="s">
        <v>148</v>
      </c>
      <c r="E231" s="29" t="str">
        <f>VLOOKUP(D231,Harvest_2017_Formulae!$C$2:$D$968,2,FALSE)</f>
        <v>ENDANOGA</v>
      </c>
      <c r="F231" s="29" t="s">
        <v>843</v>
      </c>
      <c r="G231" s="29">
        <v>0</v>
      </c>
      <c r="H231" s="61" t="str">
        <f>IF(G231&lt;0.05,"Homefield",IF(G231&lt;0.5,"Midfield","outfield"))</f>
        <v>Homefield</v>
      </c>
      <c r="I231" s="29" t="s">
        <v>557</v>
      </c>
      <c r="J231" s="61" t="s">
        <v>2233</v>
      </c>
      <c r="K231" s="61" t="s">
        <v>2233</v>
      </c>
      <c r="L231" s="67">
        <v>0</v>
      </c>
      <c r="O231" s="29" t="s">
        <v>547</v>
      </c>
      <c r="Q231" s="67">
        <v>1</v>
      </c>
      <c r="R231" s="29" t="s">
        <v>558</v>
      </c>
      <c r="S231" s="29">
        <v>4</v>
      </c>
      <c r="T231" s="29">
        <v>5</v>
      </c>
      <c r="U231" s="29" t="s">
        <v>859</v>
      </c>
      <c r="V231" s="29">
        <v>5</v>
      </c>
      <c r="W231" s="29" t="s">
        <v>635</v>
      </c>
      <c r="Y231" s="29">
        <v>15000</v>
      </c>
      <c r="Z231" s="29" t="s">
        <v>547</v>
      </c>
      <c r="AA231" s="61" t="s">
        <v>548</v>
      </c>
      <c r="AB231" s="29" t="s">
        <v>860</v>
      </c>
      <c r="AC231" s="67">
        <v>0</v>
      </c>
      <c r="AD231" s="29" t="s">
        <v>547</v>
      </c>
      <c r="AF231" s="29" t="s">
        <v>547</v>
      </c>
      <c r="AG231" s="29" t="s">
        <v>547</v>
      </c>
      <c r="AH231" s="29" t="s">
        <v>548</v>
      </c>
      <c r="AI231" s="29" t="s">
        <v>546</v>
      </c>
      <c r="AJ231" s="29" t="s">
        <v>547</v>
      </c>
      <c r="AK231" s="67">
        <v>1</v>
      </c>
      <c r="AL231" s="29">
        <v>4</v>
      </c>
      <c r="AM231" s="29">
        <v>1</v>
      </c>
      <c r="AN231" s="29">
        <v>7</v>
      </c>
      <c r="AO231" s="29" t="s">
        <v>547</v>
      </c>
      <c r="AP231" s="29" t="s">
        <v>861</v>
      </c>
      <c r="AQ231" s="4">
        <f>Q231+AK231</f>
        <v>2</v>
      </c>
      <c r="AR231" s="4">
        <f>L231+AC231</f>
        <v>0</v>
      </c>
      <c r="AS231" t="str">
        <f>AQ231&amp;AR231</f>
        <v>20</v>
      </c>
      <c r="AT231" s="49">
        <f>AQ231-AR231</f>
        <v>2</v>
      </c>
      <c r="AU231">
        <v>3</v>
      </c>
      <c r="AV231" s="29" t="s">
        <v>548</v>
      </c>
      <c r="AW231" s="29">
        <v>1</v>
      </c>
      <c r="AX231" s="29" t="s">
        <v>546</v>
      </c>
      <c r="BA231" s="29" t="s">
        <v>546</v>
      </c>
      <c r="BB231" s="29" t="s">
        <v>547</v>
      </c>
      <c r="BD231" s="29">
        <f>AW231+AZ231</f>
        <v>1</v>
      </c>
      <c r="BE231" s="29">
        <f>BD231+BC231</f>
        <v>1</v>
      </c>
      <c r="BF231" s="29" t="s">
        <v>548</v>
      </c>
      <c r="BG231" s="29" t="s">
        <v>546</v>
      </c>
      <c r="BH231" s="29" t="s">
        <v>548</v>
      </c>
      <c r="BI231" s="29" t="s">
        <v>546</v>
      </c>
      <c r="BJ231" s="29" t="s">
        <v>546</v>
      </c>
      <c r="BK231" s="29" t="s">
        <v>546</v>
      </c>
      <c r="BL231" s="29">
        <v>3</v>
      </c>
      <c r="BM231" s="29" t="s">
        <v>580</v>
      </c>
      <c r="BO231" s="29" t="s">
        <v>547</v>
      </c>
      <c r="BP231" s="29">
        <v>7</v>
      </c>
      <c r="BQ231" s="29" t="s">
        <v>562</v>
      </c>
      <c r="BS231" s="29" t="s">
        <v>547</v>
      </c>
      <c r="BU231" s="29" t="s">
        <v>547</v>
      </c>
      <c r="BW231" s="29">
        <f>(BL231*1)+(BN231*0.1)+(BP231*0.01)+(BR231*0.1)+(BT231*0.3)+(BV231*0.4)</f>
        <v>3.07</v>
      </c>
      <c r="BX231" s="29" t="s">
        <v>2219</v>
      </c>
      <c r="BY231" s="29">
        <v>1</v>
      </c>
      <c r="BZ231" s="29">
        <v>1</v>
      </c>
      <c r="CA231" s="29">
        <v>2</v>
      </c>
      <c r="CB231" s="29">
        <v>4</v>
      </c>
      <c r="CC231" s="29">
        <v>0</v>
      </c>
      <c r="CD231" s="29">
        <v>0</v>
      </c>
      <c r="CE231" s="29">
        <v>1</v>
      </c>
      <c r="CF231" s="29" t="s">
        <v>547</v>
      </c>
      <c r="CG231" s="29">
        <f>(CC231*15)+(CD231*0.8)+(CE231*0.3)+((AW231+AZ231)*15)</f>
        <v>15.3</v>
      </c>
      <c r="CH231" s="29" t="s">
        <v>2220</v>
      </c>
      <c r="CI231" s="29">
        <f>(BL231*1)+(BN231*0.1)+(BP231*0.01)+(BR231*0.1)+(BT231*0.3)+(BV231*0.4)+(CC231*15)+(CD231*0.8)+(CE231*0.3)+((AW231+AZ231)*15)</f>
        <v>18.37</v>
      </c>
      <c r="CJ231" s="29" t="s">
        <v>546</v>
      </c>
      <c r="CK231" s="29" t="s">
        <v>547</v>
      </c>
      <c r="CL231" s="29" t="s">
        <v>546</v>
      </c>
      <c r="CM231" s="29" t="s">
        <v>547</v>
      </c>
      <c r="CN231" s="29">
        <v>0.25</v>
      </c>
      <c r="CO231" s="29">
        <v>0</v>
      </c>
      <c r="CP231" s="29">
        <v>0.75</v>
      </c>
      <c r="CQ231" s="29" t="s">
        <v>546</v>
      </c>
      <c r="CR231" s="29">
        <v>1</v>
      </c>
      <c r="CS231" s="29">
        <v>7</v>
      </c>
      <c r="CT231" s="29" t="s">
        <v>551</v>
      </c>
      <c r="CU231" s="30">
        <v>1.6800000000000002</v>
      </c>
      <c r="CX231" s="29" t="s">
        <v>551</v>
      </c>
      <c r="CY231" s="62"/>
      <c r="CZ231" s="29">
        <v>1</v>
      </c>
      <c r="DA231" s="29">
        <v>4</v>
      </c>
      <c r="DB231" s="29" t="s">
        <v>551</v>
      </c>
      <c r="DC231" s="62">
        <v>0.96</v>
      </c>
      <c r="DD231" s="29" t="s">
        <v>548</v>
      </c>
      <c r="DE231" s="29" t="s">
        <v>548</v>
      </c>
      <c r="DF231" s="29" t="s">
        <v>548</v>
      </c>
      <c r="DG231" s="29" t="s">
        <v>548</v>
      </c>
      <c r="DH231" s="29" t="s">
        <v>548</v>
      </c>
      <c r="DI231" s="29">
        <v>5</v>
      </c>
      <c r="DJ231" s="29">
        <v>3</v>
      </c>
      <c r="DK231" s="29" t="s">
        <v>862</v>
      </c>
      <c r="DL231" s="29" t="s">
        <v>863</v>
      </c>
      <c r="DM231" s="29">
        <v>-4.2666606903076172</v>
      </c>
      <c r="DN231" s="29">
        <v>35.845355987548828</v>
      </c>
      <c r="DO231" s="29">
        <v>1384.0999755859375</v>
      </c>
      <c r="DP231" s="29">
        <v>5</v>
      </c>
      <c r="DQ231" s="29">
        <v>1706031849</v>
      </c>
      <c r="DR231" s="29" t="s">
        <v>864</v>
      </c>
      <c r="DS231" s="31">
        <v>42978.591284722221</v>
      </c>
      <c r="DT231" s="31">
        <v>42895.532523148147</v>
      </c>
      <c r="DU231" s="31">
        <v>42978.588495370372</v>
      </c>
      <c r="DV231" s="32">
        <v>42793</v>
      </c>
      <c r="DX231" s="44">
        <v>6.8459854014598545</v>
      </c>
      <c r="DY231" s="44">
        <v>7.1246715328467145</v>
      </c>
      <c r="DZ231" s="44">
        <v>5.959342891278375</v>
      </c>
      <c r="EA231" s="44">
        <v>5.0858422939068104</v>
      </c>
      <c r="EB231" s="34"/>
      <c r="EC231" s="29">
        <f>IF(EQ231&lt;EP231,"FALSEE",1)</f>
        <v>1</v>
      </c>
      <c r="ED231" s="34"/>
      <c r="EE231" s="29" t="s">
        <v>2171</v>
      </c>
      <c r="EF231" s="29">
        <v>2.9485585689499998</v>
      </c>
      <c r="EG231" s="29" t="str">
        <f>IF(EF231&lt;0.5,"Depression",IF(EF231&lt;2,"Very gentle",IF(EF231&lt;5,"Gentle",IF(EF231&lt;9,"Moderate",IF(EF231&lt;15,"Strong",IF(EF231&lt;30,"Steep",IF(EF231&lt;1,"Very steep")))))))</f>
        <v>Gentle</v>
      </c>
      <c r="EH231" s="29" t="s">
        <v>2173</v>
      </c>
      <c r="EI231" s="29">
        <v>9.0650379657699995E-2</v>
      </c>
      <c r="EJ231" s="43">
        <v>11.392010688799999</v>
      </c>
      <c r="EK231" s="43">
        <f>VLOOKUP(D231,[1]SoilData!$G$15:$K$237,5,FALSE)</f>
        <v>211.3031639850426</v>
      </c>
      <c r="EL231" s="43">
        <f>VLOOKUP(D231,[1]SoilData!$G$245:$K$451,5,FALSE)</f>
        <v>515.26022300899206</v>
      </c>
      <c r="EM231" s="43">
        <f>VLOOKUP(D231,[1]SoilData!$G$15:$M$238,7,FALSE)</f>
        <v>1.7030000000000001</v>
      </c>
      <c r="EN231" s="43">
        <f>VLOOKUP(D231,[1]SoilData!$G$245:$M$454,7,FALSE)</f>
        <v>1.7410000000000001</v>
      </c>
      <c r="EO231" s="60">
        <f>EM231-EN231</f>
        <v>-3.8000000000000034E-2</v>
      </c>
      <c r="EP231" s="44">
        <f>AVERAGE(DZ231:EA231)</f>
        <v>5.5225925925925932</v>
      </c>
      <c r="EQ231" s="44">
        <f>AVERAGE(DX231:DY231)</f>
        <v>6.985328467153284</v>
      </c>
      <c r="ER231" s="43">
        <f>EQ231-EP231</f>
        <v>1.4627358745606909</v>
      </c>
      <c r="ES231" s="64">
        <f>IF(CU231&gt;0.000001,CU231*352,0)</f>
        <v>591.36</v>
      </c>
      <c r="ET231" s="64">
        <f>IF(DC231&gt;0.0001,DC231*682,0)</f>
        <v>654.72</v>
      </c>
      <c r="EU231" s="64">
        <f>CY231*795</f>
        <v>0</v>
      </c>
      <c r="EV231" s="64">
        <f>ES231+ET231+EU231</f>
        <v>1246.08</v>
      </c>
      <c r="EW231" s="64">
        <f>IF(AA231="YES",3.5*18.2,0)</f>
        <v>63.699999999999996</v>
      </c>
      <c r="EX231" s="64">
        <f>EV231-EW231</f>
        <v>1182.3799999999999</v>
      </c>
    </row>
    <row r="232" spans="1:154" ht="15" x14ac:dyDescent="0.2">
      <c r="A232" s="29" t="s">
        <v>556</v>
      </c>
      <c r="B232" s="29">
        <v>110</v>
      </c>
      <c r="C232" s="29" t="s">
        <v>1444</v>
      </c>
      <c r="D232" s="29" t="s">
        <v>1444</v>
      </c>
      <c r="E232" s="29" t="e">
        <f>VLOOKUP(D232,Harvest_2017_Formulae!$C$2:$D$968,2,FALSE)</f>
        <v>#N/A</v>
      </c>
      <c r="F232" s="29" t="s">
        <v>1310</v>
      </c>
      <c r="G232" s="29">
        <v>1.25</v>
      </c>
      <c r="H232" s="61" t="str">
        <f>IF(G232&lt;0.05,"Homefield",IF(G232&lt;0.5,"Midfield","outfield"))</f>
        <v>outfield</v>
      </c>
      <c r="I232" s="29" t="s">
        <v>557</v>
      </c>
      <c r="J232" s="61" t="s">
        <v>2233</v>
      </c>
      <c r="K232" s="61" t="s">
        <v>2233</v>
      </c>
      <c r="L232" s="67">
        <v>0</v>
      </c>
      <c r="O232" s="29" t="s">
        <v>547</v>
      </c>
      <c r="Q232" s="67">
        <v>1</v>
      </c>
      <c r="R232" s="29" t="s">
        <v>837</v>
      </c>
      <c r="S232" s="29">
        <v>2</v>
      </c>
      <c r="T232" s="29">
        <v>2</v>
      </c>
      <c r="U232" s="29" t="s">
        <v>560</v>
      </c>
      <c r="W232" s="41" t="s">
        <v>635</v>
      </c>
      <c r="Z232" s="29" t="s">
        <v>567</v>
      </c>
      <c r="AA232" s="61" t="s">
        <v>548</v>
      </c>
      <c r="AB232" s="29" t="s">
        <v>568</v>
      </c>
      <c r="AC232" s="67">
        <v>0</v>
      </c>
      <c r="AD232" s="29" t="s">
        <v>547</v>
      </c>
      <c r="AF232" s="29" t="s">
        <v>547</v>
      </c>
      <c r="AG232" s="29" t="s">
        <v>547</v>
      </c>
      <c r="AH232" s="29" t="s">
        <v>548</v>
      </c>
      <c r="AI232" s="29" t="s">
        <v>548</v>
      </c>
      <c r="AJ232" s="29" t="s">
        <v>1167</v>
      </c>
      <c r="AK232" s="67">
        <v>1</v>
      </c>
      <c r="AL232" s="29">
        <v>4</v>
      </c>
      <c r="AM232" s="29">
        <v>1</v>
      </c>
      <c r="AN232" s="29">
        <v>10</v>
      </c>
      <c r="AO232" s="29">
        <v>7000</v>
      </c>
      <c r="AP232" s="29" t="s">
        <v>547</v>
      </c>
      <c r="AQ232" s="4">
        <f>Q232+AK232</f>
        <v>2</v>
      </c>
      <c r="AR232" s="4">
        <f>L232+AC232</f>
        <v>0</v>
      </c>
      <c r="AS232" t="str">
        <f>AQ232&amp;AR232</f>
        <v>20</v>
      </c>
      <c r="AT232" s="49">
        <f>AQ232-AR232</f>
        <v>2</v>
      </c>
      <c r="AU232">
        <v>3</v>
      </c>
      <c r="AV232" s="29" t="s">
        <v>548</v>
      </c>
      <c r="AW232" s="29">
        <v>0.25</v>
      </c>
      <c r="AX232" s="29" t="s">
        <v>548</v>
      </c>
      <c r="AY232" s="29">
        <v>1</v>
      </c>
      <c r="AZ232" s="29">
        <v>2.5</v>
      </c>
      <c r="BA232" s="29" t="s">
        <v>548</v>
      </c>
      <c r="BB232" s="29" t="s">
        <v>569</v>
      </c>
      <c r="BC232" s="29">
        <v>2</v>
      </c>
      <c r="BD232" s="29">
        <f>AW232+AZ232</f>
        <v>2.75</v>
      </c>
      <c r="BE232" s="29">
        <f>BD232+BC232</f>
        <v>4.75</v>
      </c>
      <c r="BF232" s="29" t="s">
        <v>548</v>
      </c>
      <c r="BG232" s="29" t="s">
        <v>548</v>
      </c>
      <c r="BH232" s="29" t="s">
        <v>548</v>
      </c>
      <c r="BI232" s="29" t="s">
        <v>548</v>
      </c>
      <c r="BJ232" s="29" t="s">
        <v>548</v>
      </c>
      <c r="BK232" s="29" t="s">
        <v>546</v>
      </c>
      <c r="BL232" s="29">
        <v>2</v>
      </c>
      <c r="BM232" s="29" t="s">
        <v>562</v>
      </c>
      <c r="BN232" s="29">
        <v>6</v>
      </c>
      <c r="BO232" s="29" t="s">
        <v>562</v>
      </c>
      <c r="BP232" s="29">
        <v>8</v>
      </c>
      <c r="BQ232" s="29" t="s">
        <v>562</v>
      </c>
      <c r="BR232" s="29">
        <v>1</v>
      </c>
      <c r="BS232" s="29" t="s">
        <v>562</v>
      </c>
      <c r="BT232" s="29">
        <v>1</v>
      </c>
      <c r="BU232" s="29" t="s">
        <v>562</v>
      </c>
      <c r="BW232" s="29">
        <f>(BL232*1)+(BN232*0.1)+(BP232*0.01)+(BR232*0.1)+(BT232*0.3)+(BV232*0.4)</f>
        <v>3.08</v>
      </c>
      <c r="BX232" s="29" t="s">
        <v>2219</v>
      </c>
      <c r="BY232" s="29">
        <v>1</v>
      </c>
      <c r="BZ232" s="29">
        <v>1</v>
      </c>
      <c r="CA232" s="29">
        <v>6</v>
      </c>
      <c r="CB232" s="29">
        <v>8</v>
      </c>
      <c r="CC232" s="29">
        <v>0</v>
      </c>
      <c r="CD232" s="29">
        <v>0</v>
      </c>
      <c r="CE232" s="29">
        <v>0</v>
      </c>
      <c r="CG232" s="29">
        <f>(CC232*15)+(CD232*0.8)+(CE232*0.3)+((AW232+AZ232)*15)</f>
        <v>41.25</v>
      </c>
      <c r="CH232" s="29" t="s">
        <v>2220</v>
      </c>
      <c r="CI232" s="29">
        <f>(BL232*1)+(BN232*0.1)+(BP232*0.01)+(BR232*0.1)+(BT232*0.3)+(BV232*0.4)+(CC232*15)+(CD232*0.8)+(CE232*0.3)+((AW232+AZ232)*15)</f>
        <v>44.33</v>
      </c>
      <c r="CJ232" s="29" t="s">
        <v>546</v>
      </c>
      <c r="CK232" s="29" t="s">
        <v>547</v>
      </c>
      <c r="CL232" s="29" t="s">
        <v>548</v>
      </c>
      <c r="CM232" s="29" t="s">
        <v>550</v>
      </c>
      <c r="CN232" s="29">
        <v>0.75</v>
      </c>
      <c r="CO232" s="29">
        <v>0.25</v>
      </c>
      <c r="CP232" s="29">
        <v>0</v>
      </c>
      <c r="CQ232" s="29" t="s">
        <v>546</v>
      </c>
      <c r="CR232" s="29">
        <v>0.5</v>
      </c>
      <c r="CS232" s="29">
        <v>9</v>
      </c>
      <c r="CT232" s="29" t="s">
        <v>551</v>
      </c>
      <c r="CU232" s="30">
        <v>4.32</v>
      </c>
      <c r="CV232" s="29">
        <v>2.5</v>
      </c>
      <c r="CW232" s="29">
        <v>8</v>
      </c>
      <c r="CX232" s="29" t="s">
        <v>552</v>
      </c>
      <c r="CY232" s="62">
        <v>0.12825599999999998</v>
      </c>
      <c r="CZ232" s="29">
        <v>2.5</v>
      </c>
      <c r="DA232" s="29">
        <v>1</v>
      </c>
      <c r="DB232" s="29" t="s">
        <v>551</v>
      </c>
      <c r="DC232" s="62">
        <v>9.6000000000000002E-2</v>
      </c>
      <c r="DD232" s="29" t="s">
        <v>546</v>
      </c>
      <c r="DE232" s="29" t="s">
        <v>546</v>
      </c>
      <c r="DF232" s="29" t="s">
        <v>548</v>
      </c>
      <c r="DG232" s="29" t="s">
        <v>546</v>
      </c>
      <c r="DH232" s="29" t="s">
        <v>546</v>
      </c>
      <c r="DI232" s="29">
        <v>1</v>
      </c>
      <c r="DJ232" s="29">
        <v>3</v>
      </c>
      <c r="DK232" s="29" t="s">
        <v>1445</v>
      </c>
      <c r="DL232" s="29" t="s">
        <v>1446</v>
      </c>
      <c r="DM232" s="29">
        <v>-4.2602229118347168</v>
      </c>
      <c r="DN232" s="29">
        <v>35.519145965576172</v>
      </c>
      <c r="DO232" s="29">
        <v>1629.699951171875</v>
      </c>
      <c r="DP232" s="29">
        <v>5</v>
      </c>
      <c r="DQ232" s="29">
        <v>1706031849</v>
      </c>
      <c r="DR232" s="29" t="s">
        <v>1447</v>
      </c>
      <c r="DS232" s="31">
        <v>42903.412916666668</v>
      </c>
      <c r="DT232" s="31">
        <v>42901.518506944441</v>
      </c>
      <c r="DU232" s="31">
        <v>42901.546354166669</v>
      </c>
      <c r="DV232" s="32">
        <v>42739</v>
      </c>
      <c r="EC232" s="29">
        <f>IF(EQ232&lt;EP232,"FALSEE",1)</f>
        <v>1</v>
      </c>
      <c r="EE232" s="29" t="s">
        <v>2171</v>
      </c>
      <c r="EF232" s="29">
        <v>2.6196329593700001</v>
      </c>
      <c r="EG232" s="29" t="str">
        <f>IF(EF232&lt;0.5,"Depression",IF(EF232&lt;2,"Very gentle",IF(EF232&lt;5,"Gentle",IF(EF232&lt;9,"Moderate",IF(EF232&lt;15,"Strong",IF(EF232&lt;30,"Steep",IF(EF232&lt;1,"Very steep")))))))</f>
        <v>Gentle</v>
      </c>
      <c r="EH232" s="29" t="s">
        <v>2173</v>
      </c>
      <c r="EI232" s="29">
        <v>0.18129228055499999</v>
      </c>
      <c r="EJ232" s="43">
        <v>9.7167339325000004</v>
      </c>
      <c r="EK232" s="43"/>
      <c r="EL232" s="43"/>
      <c r="EM232" s="43"/>
      <c r="EN232" s="43"/>
      <c r="EO232" s="60"/>
      <c r="EP232" s="43"/>
      <c r="EQ232" s="43"/>
      <c r="ER232" s="43"/>
      <c r="ES232" s="64">
        <f>IF(CU232&gt;0.000001,CU232*352,0)</f>
        <v>1520.64</v>
      </c>
      <c r="ET232" s="64">
        <f>IF(DC232&gt;0.0001,DC232*682,0)</f>
        <v>65.472000000000008</v>
      </c>
      <c r="EU232" s="64">
        <f>CY232*795</f>
        <v>101.96351999999999</v>
      </c>
      <c r="EV232" s="64">
        <f>ES232+ET232+EU232</f>
        <v>1688.0755200000001</v>
      </c>
      <c r="EW232" s="64">
        <f>IF(AA232="YES",3.5*18.2,0)</f>
        <v>63.699999999999996</v>
      </c>
      <c r="EX232" s="64">
        <f>EV232-EW232</f>
        <v>1624.3755200000001</v>
      </c>
    </row>
    <row r="233" spans="1:154" ht="15" x14ac:dyDescent="0.2">
      <c r="A233" s="29" t="s">
        <v>789</v>
      </c>
      <c r="B233" s="29">
        <v>73</v>
      </c>
      <c r="C233" s="29" t="s">
        <v>347</v>
      </c>
      <c r="D233" s="29" t="s">
        <v>347</v>
      </c>
      <c r="E233" s="29" t="str">
        <f>VLOOKUP(D233,Harvest_2017_Formulae!$C$2:$D$968,2,FALSE)</f>
        <v>Endanachan</v>
      </c>
      <c r="F233" s="29" t="s">
        <v>777</v>
      </c>
      <c r="G233" s="29">
        <v>0.10000000149011612</v>
      </c>
      <c r="H233" s="61" t="str">
        <f>IF(G233&lt;0.05,"Homefield",IF(G233&lt;0.5,"Midfield","outfield"))</f>
        <v>Midfield</v>
      </c>
      <c r="I233" s="29" t="s">
        <v>557</v>
      </c>
      <c r="J233" s="61" t="s">
        <v>2233</v>
      </c>
      <c r="K233" s="61" t="s">
        <v>2233</v>
      </c>
      <c r="L233" s="67">
        <v>0</v>
      </c>
      <c r="O233" s="29" t="s">
        <v>547</v>
      </c>
      <c r="Q233" s="67">
        <v>1</v>
      </c>
      <c r="R233" s="29" t="s">
        <v>615</v>
      </c>
      <c r="S233" s="29">
        <v>3</v>
      </c>
      <c r="T233" s="29">
        <v>0.10000000149011612</v>
      </c>
      <c r="U233" s="29" t="s">
        <v>560</v>
      </c>
      <c r="W233" s="29" t="s">
        <v>561</v>
      </c>
      <c r="Z233" s="29" t="s">
        <v>831</v>
      </c>
      <c r="AA233" s="61" t="s">
        <v>548</v>
      </c>
      <c r="AB233" s="29" t="s">
        <v>568</v>
      </c>
      <c r="AC233" s="67">
        <v>0</v>
      </c>
      <c r="AD233" s="29" t="s">
        <v>547</v>
      </c>
      <c r="AF233" s="29" t="s">
        <v>547</v>
      </c>
      <c r="AG233" s="29" t="s">
        <v>547</v>
      </c>
      <c r="AH233" s="29" t="s">
        <v>548</v>
      </c>
      <c r="AI233" s="29" t="s">
        <v>546</v>
      </c>
      <c r="AK233" s="67">
        <v>1</v>
      </c>
      <c r="AL233" s="29">
        <v>2</v>
      </c>
      <c r="AM233" s="29">
        <v>1</v>
      </c>
      <c r="AN233" s="29">
        <v>2</v>
      </c>
      <c r="AO233" s="29">
        <v>5000</v>
      </c>
      <c r="AP233" s="29" t="s">
        <v>547</v>
      </c>
      <c r="AQ233" s="4">
        <f>Q233+AK233</f>
        <v>2</v>
      </c>
      <c r="AR233" s="4">
        <f>L233+AC233</f>
        <v>0</v>
      </c>
      <c r="AS233" t="str">
        <f>AQ233&amp;AR233</f>
        <v>20</v>
      </c>
      <c r="AT233" s="49">
        <f>AQ233-AR233</f>
        <v>2</v>
      </c>
      <c r="AU233">
        <v>3</v>
      </c>
      <c r="AV233" s="29" t="s">
        <v>548</v>
      </c>
      <c r="AW233" s="29">
        <v>1</v>
      </c>
      <c r="AX233" s="29" t="s">
        <v>548</v>
      </c>
      <c r="AY233" s="29">
        <v>1</v>
      </c>
      <c r="AZ233" s="29">
        <v>3</v>
      </c>
      <c r="BA233" s="29" t="s">
        <v>546</v>
      </c>
      <c r="BB233" s="29" t="s">
        <v>547</v>
      </c>
      <c r="BD233" s="29">
        <f>AW233+AZ233</f>
        <v>4</v>
      </c>
      <c r="BE233" s="29">
        <f>BD233+BC233</f>
        <v>4</v>
      </c>
      <c r="BF233" s="29" t="s">
        <v>548</v>
      </c>
      <c r="BG233" s="29" t="s">
        <v>548</v>
      </c>
      <c r="BH233" s="29" t="s">
        <v>548</v>
      </c>
      <c r="BI233" s="29" t="s">
        <v>546</v>
      </c>
      <c r="BJ233" s="29" t="s">
        <v>546</v>
      </c>
      <c r="BK233" s="29" t="s">
        <v>546</v>
      </c>
      <c r="BL233" s="29">
        <v>4</v>
      </c>
      <c r="BM233" s="29" t="s">
        <v>562</v>
      </c>
      <c r="BN233" s="29">
        <v>4</v>
      </c>
      <c r="BO233" s="29" t="s">
        <v>580</v>
      </c>
      <c r="BP233" s="29">
        <v>4</v>
      </c>
      <c r="BQ233" s="29" t="s">
        <v>580</v>
      </c>
      <c r="BS233" s="29" t="s">
        <v>547</v>
      </c>
      <c r="BU233" s="29" t="s">
        <v>547</v>
      </c>
      <c r="BW233" s="29">
        <f>(BL233*1)+(BN233*0.1)+(BP233*0.01)+(BR233*0.1)+(BT233*0.3)+(BV233*0.4)</f>
        <v>4.4400000000000004</v>
      </c>
      <c r="BX233" s="29" t="s">
        <v>2219</v>
      </c>
      <c r="BY233" s="29">
        <v>1</v>
      </c>
      <c r="BZ233" s="29">
        <v>5</v>
      </c>
      <c r="CA233" s="29">
        <v>5</v>
      </c>
      <c r="CB233" s="29">
        <v>11</v>
      </c>
      <c r="CC233" s="29">
        <v>0</v>
      </c>
      <c r="CD233" s="29">
        <v>0</v>
      </c>
      <c r="CE233" s="29">
        <v>0</v>
      </c>
      <c r="CG233" s="29">
        <f>(CC233*15)+(CD233*0.8)+(CE233*0.3)+((AW233+AZ233)*15)</f>
        <v>60</v>
      </c>
      <c r="CH233" s="29" t="s">
        <v>2221</v>
      </c>
      <c r="CI233" s="29">
        <f>(BL233*1)+(BN233*0.1)+(BP233*0.01)+(BR233*0.1)+(BT233*0.3)+(BV233*0.4)+(CC233*15)+(CD233*0.8)+(CE233*0.3)+((AW233+AZ233)*15)</f>
        <v>64.44</v>
      </c>
      <c r="CJ233" s="29" t="s">
        <v>548</v>
      </c>
      <c r="CK233" s="29" t="s">
        <v>832</v>
      </c>
      <c r="CL233" s="29" t="s">
        <v>546</v>
      </c>
      <c r="CM233" s="29" t="s">
        <v>547</v>
      </c>
      <c r="CN233" s="29">
        <v>0.75</v>
      </c>
      <c r="CO233" s="29">
        <v>0.75</v>
      </c>
      <c r="CP233" s="29">
        <v>1.75</v>
      </c>
      <c r="CQ233" s="29" t="s">
        <v>548</v>
      </c>
      <c r="CR233" s="29">
        <v>1</v>
      </c>
      <c r="CS233" s="29">
        <v>12</v>
      </c>
      <c r="CT233" s="29" t="s">
        <v>551</v>
      </c>
      <c r="CU233" s="30">
        <v>2.8800000000000003</v>
      </c>
      <c r="CW233" s="29">
        <v>999</v>
      </c>
      <c r="CX233" s="29" t="s">
        <v>551</v>
      </c>
      <c r="CY233" s="62"/>
      <c r="CZ233" s="29">
        <v>1</v>
      </c>
      <c r="DA233" s="29">
        <v>4.5</v>
      </c>
      <c r="DB233" s="29" t="s">
        <v>551</v>
      </c>
      <c r="DC233" s="62">
        <v>1.08</v>
      </c>
      <c r="DD233" s="29" t="s">
        <v>548</v>
      </c>
      <c r="DE233" s="29" t="s">
        <v>548</v>
      </c>
      <c r="DF233" s="29" t="s">
        <v>548</v>
      </c>
      <c r="DG233" s="29" t="s">
        <v>548</v>
      </c>
      <c r="DH233" s="29" t="s">
        <v>548</v>
      </c>
      <c r="DI233" s="29">
        <v>5</v>
      </c>
      <c r="DJ233" s="29">
        <v>2</v>
      </c>
      <c r="DK233" s="29" t="s">
        <v>833</v>
      </c>
      <c r="DL233" s="29" t="s">
        <v>834</v>
      </c>
      <c r="DM233" s="29">
        <v>-4.3438310623168945</v>
      </c>
      <c r="DN233" s="29">
        <v>35.712303161621094</v>
      </c>
      <c r="DO233" s="29">
        <v>1349.9000244140625</v>
      </c>
      <c r="DP233" s="29">
        <v>10</v>
      </c>
      <c r="DQ233" s="29">
        <v>1705231439</v>
      </c>
      <c r="DR233" s="29" t="s">
        <v>835</v>
      </c>
      <c r="DS233" s="31">
        <v>42923.387094907404</v>
      </c>
      <c r="DT233" s="31">
        <v>42903.470995370371</v>
      </c>
      <c r="DU233" s="31">
        <v>42923.384745370371</v>
      </c>
      <c r="DV233" s="32">
        <v>42765</v>
      </c>
      <c r="DX233" s="44">
        <v>5.6747008547008546</v>
      </c>
      <c r="DY233" s="44">
        <v>5.5152991452991449</v>
      </c>
      <c r="DZ233" s="44">
        <v>3.4000000000000008</v>
      </c>
      <c r="EA233" s="44">
        <v>3.6000000000000005</v>
      </c>
      <c r="EC233" s="29">
        <f>IF(EQ233&lt;EP233,"FALSEE",1)</f>
        <v>1</v>
      </c>
      <c r="EE233" s="29" t="s">
        <v>2171</v>
      </c>
      <c r="EF233" s="29">
        <v>1.0303390026100001</v>
      </c>
      <c r="EG233" s="29" t="str">
        <f>IF(EF233&lt;0.5,"Depression",IF(EF233&lt;2,"Very gentle",IF(EF233&lt;5,"Gentle",IF(EF233&lt;9,"Moderate",IF(EF233&lt;15,"Strong",IF(EF233&lt;30,"Steep",IF(EF233&lt;1,"Very steep")))))))</f>
        <v>Very gentle</v>
      </c>
      <c r="EH233" s="29" t="s">
        <v>2172</v>
      </c>
      <c r="EI233" s="29">
        <v>-0.54384291171999999</v>
      </c>
      <c r="EJ233" s="43">
        <v>10.306281089800001</v>
      </c>
      <c r="EK233" s="43">
        <f>VLOOKUP(D233,[1]SoilData!$G$15:$K$237,5,FALSE)</f>
        <v>608.20410565118891</v>
      </c>
      <c r="EL233" s="43">
        <f>VLOOKUP(D233,[1]SoilData!$G$245:$K$452,5,FALSE)</f>
        <v>395.02965944063055</v>
      </c>
      <c r="EM233" s="43">
        <f>VLOOKUP(D233,[1]SoilData!$G$15:$M$238,7,FALSE)</f>
        <v>0.61199999999999999</v>
      </c>
      <c r="EN233" s="43">
        <f>VLOOKUP(D233,[1]SoilData!$G$245:$M$454,7,FALSE)</f>
        <v>1.0549999999999999</v>
      </c>
      <c r="EO233" s="60">
        <f>EM233-EN233</f>
        <v>-0.44299999999999995</v>
      </c>
      <c r="EP233" s="44">
        <f>AVERAGE(DZ233:EA233)</f>
        <v>3.5000000000000009</v>
      </c>
      <c r="EQ233" s="44">
        <f>AVERAGE(DX233:DY233)</f>
        <v>5.5949999999999998</v>
      </c>
      <c r="ER233" s="43">
        <f>EQ233-EP233</f>
        <v>2.0949999999999989</v>
      </c>
      <c r="ES233" s="64">
        <f>IF(CU233&gt;0.000001,CU233*352,0)</f>
        <v>1013.7600000000001</v>
      </c>
      <c r="ET233" s="64">
        <f>IF(DC233&gt;0.0001,DC233*682,0)</f>
        <v>736.56000000000006</v>
      </c>
      <c r="EU233" s="64">
        <f>CY233*795</f>
        <v>0</v>
      </c>
      <c r="EV233" s="64">
        <f>ES233+ET233+EU233</f>
        <v>1750.3200000000002</v>
      </c>
      <c r="EW233" s="64">
        <f>IF(AA233="YES",3.5*18.2,0)</f>
        <v>63.699999999999996</v>
      </c>
      <c r="EX233" s="64">
        <f>EV233-EW233</f>
        <v>1686.6200000000001</v>
      </c>
    </row>
    <row r="234" spans="1:154" ht="15" x14ac:dyDescent="0.2">
      <c r="A234" s="29" t="s">
        <v>789</v>
      </c>
      <c r="B234" s="29">
        <v>64</v>
      </c>
      <c r="C234" s="29" t="s">
        <v>790</v>
      </c>
      <c r="D234" s="33" t="s">
        <v>134</v>
      </c>
      <c r="E234" s="29" t="str">
        <f>VLOOKUP(D234,Harvest_2017_Formulae!$C$2:$D$968,2,FALSE)</f>
        <v>Endanachan</v>
      </c>
      <c r="F234" s="29" t="s">
        <v>26</v>
      </c>
      <c r="G234" s="29">
        <v>0</v>
      </c>
      <c r="H234" s="61" t="str">
        <f>IF(G234&lt;0.05,"Homefield",IF(G234&lt;0.5,"Midfield","outfield"))</f>
        <v>Homefield</v>
      </c>
      <c r="I234" s="29" t="s">
        <v>557</v>
      </c>
      <c r="J234" s="61" t="s">
        <v>2234</v>
      </c>
      <c r="K234" s="61" t="s">
        <v>2234</v>
      </c>
      <c r="L234" s="67">
        <v>0</v>
      </c>
      <c r="O234" s="29" t="s">
        <v>547</v>
      </c>
      <c r="Q234" s="67">
        <v>1</v>
      </c>
      <c r="R234" s="29" t="s">
        <v>791</v>
      </c>
      <c r="S234" s="29">
        <v>6</v>
      </c>
      <c r="T234" s="29">
        <v>0.10000000149011612</v>
      </c>
      <c r="U234" s="29" t="s">
        <v>560</v>
      </c>
      <c r="W234" s="29" t="s">
        <v>635</v>
      </c>
      <c r="Y234" s="29">
        <v>13000</v>
      </c>
      <c r="Z234" s="29" t="s">
        <v>547</v>
      </c>
      <c r="AA234" s="61" t="s">
        <v>548</v>
      </c>
      <c r="AB234" s="29" t="s">
        <v>568</v>
      </c>
      <c r="AC234" s="67">
        <v>0</v>
      </c>
      <c r="AD234" s="29" t="s">
        <v>547</v>
      </c>
      <c r="AF234" s="29" t="s">
        <v>547</v>
      </c>
      <c r="AG234" s="29" t="s">
        <v>547</v>
      </c>
      <c r="AH234" s="29" t="s">
        <v>548</v>
      </c>
      <c r="AI234" s="29" t="s">
        <v>546</v>
      </c>
      <c r="AK234" s="67">
        <v>1</v>
      </c>
      <c r="AL234" s="29">
        <v>2</v>
      </c>
      <c r="AM234" s="29">
        <v>1</v>
      </c>
      <c r="AN234" s="29">
        <v>10</v>
      </c>
      <c r="AO234" s="29">
        <v>10000</v>
      </c>
      <c r="AP234" s="29" t="s">
        <v>547</v>
      </c>
      <c r="AQ234" s="4">
        <f>Q234+AK234</f>
        <v>2</v>
      </c>
      <c r="AR234" s="4">
        <f>L234+AC234</f>
        <v>0</v>
      </c>
      <c r="AS234" t="str">
        <f>AQ234&amp;AR234</f>
        <v>20</v>
      </c>
      <c r="AT234" s="49">
        <f>AQ234-AR234</f>
        <v>2</v>
      </c>
      <c r="AU234">
        <v>3</v>
      </c>
      <c r="AV234" s="29" t="s">
        <v>548</v>
      </c>
      <c r="AW234" s="29">
        <v>3</v>
      </c>
      <c r="AX234" s="29" t="s">
        <v>548</v>
      </c>
      <c r="AY234" s="29">
        <v>1</v>
      </c>
      <c r="AZ234" s="29">
        <v>1</v>
      </c>
      <c r="BA234" s="29" t="s">
        <v>548</v>
      </c>
      <c r="BB234" s="29" t="s">
        <v>569</v>
      </c>
      <c r="BC234" s="29">
        <v>5.5</v>
      </c>
      <c r="BD234" s="29">
        <f>AW234+AZ234</f>
        <v>4</v>
      </c>
      <c r="BE234" s="29">
        <f>BD234+BC234</f>
        <v>9.5</v>
      </c>
      <c r="BF234" s="29" t="s">
        <v>548</v>
      </c>
      <c r="BG234" s="29" t="s">
        <v>548</v>
      </c>
      <c r="BH234" s="29" t="s">
        <v>548</v>
      </c>
      <c r="BI234" s="29" t="s">
        <v>546</v>
      </c>
      <c r="BJ234" s="29" t="s">
        <v>546</v>
      </c>
      <c r="BK234" s="29" t="s">
        <v>546</v>
      </c>
      <c r="BL234" s="29">
        <v>6</v>
      </c>
      <c r="BM234" s="29" t="s">
        <v>549</v>
      </c>
      <c r="BN234" s="29">
        <v>5</v>
      </c>
      <c r="BO234" s="29" t="s">
        <v>580</v>
      </c>
      <c r="BP234" s="29">
        <v>20</v>
      </c>
      <c r="BQ234" s="29" t="s">
        <v>580</v>
      </c>
      <c r="BS234" s="29" t="s">
        <v>547</v>
      </c>
      <c r="BU234" s="29" t="s">
        <v>547</v>
      </c>
      <c r="BW234" s="29">
        <f>(BL234*1)+(BN234*0.1)+(BP234*0.01)+(BR234*0.1)+(BT234*0.3)+(BV234*0.4)</f>
        <v>6.7</v>
      </c>
      <c r="BX234" s="29" t="s">
        <v>2220</v>
      </c>
      <c r="BY234" s="29">
        <v>2</v>
      </c>
      <c r="BZ234" s="29">
        <v>3</v>
      </c>
      <c r="CA234" s="29">
        <v>3</v>
      </c>
      <c r="CB234" s="29">
        <v>8</v>
      </c>
      <c r="CC234" s="29">
        <v>0</v>
      </c>
      <c r="CD234" s="29">
        <v>0</v>
      </c>
      <c r="CE234" s="29">
        <v>1</v>
      </c>
      <c r="CG234" s="29">
        <f>(CC234*15)+(CD234*0.8)+(CE234*0.3)+((AW234+AZ234)*15)</f>
        <v>60.3</v>
      </c>
      <c r="CH234" s="29" t="s">
        <v>2221</v>
      </c>
      <c r="CI234" s="29">
        <f>(BL234*1)+(BN234*0.1)+(BP234*0.01)+(BR234*0.1)+(BT234*0.3)+(BV234*0.4)+(CC234*15)+(CD234*0.8)+(CE234*0.3)+((AW234+AZ234)*15)</f>
        <v>67</v>
      </c>
      <c r="CJ234" s="29" t="s">
        <v>548</v>
      </c>
      <c r="CK234" s="29" t="s">
        <v>792</v>
      </c>
      <c r="CL234" s="29" t="s">
        <v>548</v>
      </c>
      <c r="CM234" s="29" t="s">
        <v>793</v>
      </c>
      <c r="CN234" s="29">
        <v>0.25</v>
      </c>
      <c r="CO234" s="29">
        <v>5.25</v>
      </c>
      <c r="CP234" s="29">
        <v>0</v>
      </c>
      <c r="CQ234" s="29" t="s">
        <v>548</v>
      </c>
      <c r="CR234" s="29">
        <v>1</v>
      </c>
      <c r="CS234" s="29">
        <v>4</v>
      </c>
      <c r="CT234" s="29" t="s">
        <v>551</v>
      </c>
      <c r="CU234" s="30">
        <v>0.96</v>
      </c>
      <c r="CW234" s="29">
        <v>999</v>
      </c>
      <c r="CX234" s="29" t="s">
        <v>551</v>
      </c>
      <c r="CY234" s="62"/>
      <c r="CZ234" s="29">
        <v>1</v>
      </c>
      <c r="DA234" s="29">
        <v>3</v>
      </c>
      <c r="DB234" s="29" t="s">
        <v>551</v>
      </c>
      <c r="DC234" s="62">
        <v>0.72</v>
      </c>
      <c r="DD234" s="29" t="s">
        <v>546</v>
      </c>
      <c r="DE234" s="29" t="s">
        <v>548</v>
      </c>
      <c r="DF234" s="29" t="s">
        <v>546</v>
      </c>
      <c r="DG234" s="29" t="s">
        <v>546</v>
      </c>
      <c r="DH234" s="29" t="s">
        <v>548</v>
      </c>
      <c r="DI234" s="29">
        <v>2</v>
      </c>
      <c r="DJ234" s="29">
        <v>4</v>
      </c>
      <c r="DK234" s="29" t="s">
        <v>794</v>
      </c>
      <c r="DL234" s="29" t="s">
        <v>795</v>
      </c>
      <c r="DM234" s="29">
        <v>-4.3273377418518066</v>
      </c>
      <c r="DN234" s="29">
        <v>35.708187103271484</v>
      </c>
      <c r="DO234" s="29">
        <v>1350.800048828125</v>
      </c>
      <c r="DP234" s="29">
        <v>10</v>
      </c>
      <c r="DQ234" s="29">
        <v>1705231439</v>
      </c>
      <c r="DR234" s="29" t="s">
        <v>796</v>
      </c>
      <c r="DS234" s="31">
        <v>42923.387060185181</v>
      </c>
      <c r="DT234" s="31">
        <v>42901.554143518515</v>
      </c>
      <c r="DU234" s="31">
        <v>42923.386145833334</v>
      </c>
      <c r="DV234" s="32">
        <v>42764</v>
      </c>
      <c r="DX234" s="44">
        <v>7.5886419753086418</v>
      </c>
      <c r="DY234" s="44">
        <v>5.5190123456790126</v>
      </c>
      <c r="DZ234" s="44">
        <v>2.1743749999999999</v>
      </c>
      <c r="EA234" s="44">
        <v>2.6643749999999997</v>
      </c>
      <c r="EC234" s="29">
        <f>IF(EQ234&lt;EP234,"FALSEE",1)</f>
        <v>1</v>
      </c>
      <c r="EE234" s="29" t="s">
        <v>2171</v>
      </c>
      <c r="EF234" s="29">
        <v>0.39381912350699999</v>
      </c>
      <c r="EG234" s="29" t="str">
        <f>IF(EF234&lt;0.5,"Depression",IF(EF234&lt;2,"Very gentle",IF(EF234&lt;5,"Gentle",IF(EF234&lt;9,"Moderate",IF(EF234&lt;15,"Strong",IF(EF234&lt;30,"Steep",IF(EF234&lt;1,"Very steep")))))))</f>
        <v>Depression</v>
      </c>
      <c r="EH234" s="29" t="s">
        <v>2173</v>
      </c>
      <c r="EI234" s="29">
        <v>0.27193418145199999</v>
      </c>
      <c r="EJ234" s="43">
        <v>9.0892667770400006</v>
      </c>
      <c r="EK234" s="43">
        <f>VLOOKUP(D234,[1]SoilData!$G$15:$K$237,5,FALSE)</f>
        <v>72.990879761159732</v>
      </c>
      <c r="EL234" s="43">
        <f>VLOOKUP(D234,[1]SoilData!$G$245:$K$451,5,FALSE)</f>
        <v>185.34883228198595</v>
      </c>
      <c r="EM234" s="43">
        <f>VLOOKUP(D234,[1]SoilData!$G$15:$M$238,7,FALSE)</f>
        <v>0.90100000000000002</v>
      </c>
      <c r="EN234" s="43">
        <f>VLOOKUP(D234,[1]SoilData!$G$245:$M$454,7,FALSE)</f>
        <v>0.76300000000000001</v>
      </c>
      <c r="EO234" s="60">
        <f>EM234-EN234</f>
        <v>0.13800000000000001</v>
      </c>
      <c r="EP234" s="44">
        <f>AVERAGE(DZ234:EA234)</f>
        <v>2.4193749999999996</v>
      </c>
      <c r="EQ234" s="44">
        <f>AVERAGE(DX234:DY234)</f>
        <v>6.5538271604938272</v>
      </c>
      <c r="ER234" s="43">
        <f>EQ234-EP234</f>
        <v>4.1344521604938276</v>
      </c>
      <c r="ES234" s="64">
        <f>IF(CU234&gt;0.000001,CU234*352,0)</f>
        <v>337.91999999999996</v>
      </c>
      <c r="ET234" s="64">
        <f>IF(DC234&gt;0.0001,DC234*682,0)</f>
        <v>491.03999999999996</v>
      </c>
      <c r="EU234" s="64">
        <f>CY234*795</f>
        <v>0</v>
      </c>
      <c r="EV234" s="64">
        <f>ES234+ET234+EU234</f>
        <v>828.95999999999992</v>
      </c>
      <c r="EW234" s="64">
        <f>IF(AA234="YES",3.5*18.2,0)</f>
        <v>63.699999999999996</v>
      </c>
      <c r="EX234" s="64">
        <f>EV234-EW234</f>
        <v>765.25999999999988</v>
      </c>
    </row>
    <row r="235" spans="1:154" ht="15" x14ac:dyDescent="0.2">
      <c r="A235" s="29" t="s">
        <v>789</v>
      </c>
      <c r="B235" s="29">
        <v>32</v>
      </c>
      <c r="C235" s="29" t="s">
        <v>266</v>
      </c>
      <c r="D235" s="29" t="s">
        <v>266</v>
      </c>
      <c r="E235" s="29" t="str">
        <f>VLOOKUP(D235,Harvest_2017_Formulae!$C$2:$D$968,2,FALSE)</f>
        <v>Sangara</v>
      </c>
      <c r="F235" s="29" t="s">
        <v>1014</v>
      </c>
      <c r="G235" s="29">
        <v>3</v>
      </c>
      <c r="H235" s="61" t="str">
        <f>IF(G235&lt;0.05,"Homefield",IF(G235&lt;0.5,"Midfield","outfield"))</f>
        <v>outfield</v>
      </c>
      <c r="I235" s="29" t="s">
        <v>557</v>
      </c>
      <c r="J235" s="61" t="s">
        <v>2233</v>
      </c>
      <c r="K235" s="61" t="s">
        <v>2233</v>
      </c>
      <c r="L235" s="67">
        <v>0</v>
      </c>
      <c r="O235" s="29" t="s">
        <v>547</v>
      </c>
      <c r="Q235" s="67">
        <v>1</v>
      </c>
      <c r="R235" s="29" t="s">
        <v>615</v>
      </c>
      <c r="S235" s="29">
        <v>3</v>
      </c>
      <c r="T235" s="29">
        <v>1</v>
      </c>
      <c r="U235" s="29" t="s">
        <v>560</v>
      </c>
      <c r="W235" s="29" t="s">
        <v>561</v>
      </c>
      <c r="Y235" s="29">
        <v>10000</v>
      </c>
      <c r="Z235" s="29" t="s">
        <v>547</v>
      </c>
      <c r="AA235" s="61" t="s">
        <v>548</v>
      </c>
      <c r="AB235" s="29" t="s">
        <v>568</v>
      </c>
      <c r="AC235" s="67">
        <v>0</v>
      </c>
      <c r="AD235" s="29" t="s">
        <v>547</v>
      </c>
      <c r="AF235" s="29" t="s">
        <v>547</v>
      </c>
      <c r="AG235" s="29" t="s">
        <v>547</v>
      </c>
      <c r="AH235" s="29" t="s">
        <v>548</v>
      </c>
      <c r="AI235" s="29" t="s">
        <v>546</v>
      </c>
      <c r="AK235" s="67">
        <v>1</v>
      </c>
      <c r="AL235" s="29">
        <v>3</v>
      </c>
      <c r="AM235" s="29">
        <v>1</v>
      </c>
      <c r="AN235" s="29">
        <v>8</v>
      </c>
      <c r="AO235" s="29">
        <v>10000</v>
      </c>
      <c r="AP235" s="29" t="s">
        <v>547</v>
      </c>
      <c r="AQ235" s="4">
        <f>Q235+AK235</f>
        <v>2</v>
      </c>
      <c r="AR235" s="4">
        <f>L235+AC235</f>
        <v>0</v>
      </c>
      <c r="AS235" t="str">
        <f>AQ235&amp;AR235</f>
        <v>20</v>
      </c>
      <c r="AT235" s="49">
        <f>AQ235-AR235</f>
        <v>2</v>
      </c>
      <c r="AU235">
        <v>3</v>
      </c>
      <c r="AV235" s="29" t="s">
        <v>548</v>
      </c>
      <c r="AW235" s="29">
        <v>2</v>
      </c>
      <c r="AX235" s="29" t="s">
        <v>546</v>
      </c>
      <c r="BA235" s="29" t="s">
        <v>548</v>
      </c>
      <c r="BB235" s="29" t="s">
        <v>569</v>
      </c>
      <c r="BC235" s="29">
        <v>3</v>
      </c>
      <c r="BD235" s="29">
        <f>AW235+AZ235</f>
        <v>2</v>
      </c>
      <c r="BE235" s="29">
        <f>BD235+BC235</f>
        <v>5</v>
      </c>
      <c r="BF235" s="29" t="s">
        <v>548</v>
      </c>
      <c r="BG235" s="29" t="s">
        <v>548</v>
      </c>
      <c r="BH235" s="29" t="s">
        <v>548</v>
      </c>
      <c r="BI235" s="29" t="s">
        <v>548</v>
      </c>
      <c r="BJ235" s="29" t="s">
        <v>546</v>
      </c>
      <c r="BK235" s="29" t="s">
        <v>546</v>
      </c>
      <c r="BL235" s="29">
        <v>3</v>
      </c>
      <c r="BM235" s="29" t="s">
        <v>562</v>
      </c>
      <c r="BN235" s="29">
        <v>17</v>
      </c>
      <c r="BO235" s="29" t="s">
        <v>580</v>
      </c>
      <c r="BP235" s="29">
        <v>150</v>
      </c>
      <c r="BQ235" s="29" t="s">
        <v>580</v>
      </c>
      <c r="BR235" s="29">
        <v>12</v>
      </c>
      <c r="BS235" s="29" t="s">
        <v>580</v>
      </c>
      <c r="BU235" s="29" t="s">
        <v>547</v>
      </c>
      <c r="BW235" s="29">
        <f>(BL235*1)+(BN235*0.1)+(BP235*0.01)+(BR235*0.1)+(BT235*0.3)+(BV235*0.4)</f>
        <v>7.4</v>
      </c>
      <c r="BX235" s="29" t="s">
        <v>2220</v>
      </c>
      <c r="BY235" s="29">
        <v>1</v>
      </c>
      <c r="BZ235" s="29">
        <v>1</v>
      </c>
      <c r="CA235" s="29">
        <v>5</v>
      </c>
      <c r="CB235" s="29">
        <v>7</v>
      </c>
      <c r="CC235" s="29">
        <v>0</v>
      </c>
      <c r="CD235" s="29">
        <v>0</v>
      </c>
      <c r="CE235" s="29">
        <v>1</v>
      </c>
      <c r="CG235" s="29">
        <f>(CC235*15)+(CD235*0.8)+(CE235*0.3)+((AW235+AZ235)*15)</f>
        <v>30.3</v>
      </c>
      <c r="CH235" s="29" t="s">
        <v>2220</v>
      </c>
      <c r="CI235" s="29">
        <f>(BL235*1)+(BN235*0.1)+(BP235*0.01)+(BR235*0.1)+(BT235*0.3)+(BV235*0.4)+(CC235*15)+(CD235*0.8)+(CE235*0.3)+((AW235+AZ235)*15)</f>
        <v>37.700000000000003</v>
      </c>
      <c r="CJ235" s="29" t="s">
        <v>548</v>
      </c>
      <c r="CK235" s="29" t="s">
        <v>1277</v>
      </c>
      <c r="CL235" s="29" t="s">
        <v>548</v>
      </c>
      <c r="CM235" s="29" t="s">
        <v>793</v>
      </c>
      <c r="CN235" s="29">
        <v>0.5</v>
      </c>
      <c r="CO235" s="29">
        <v>2.5</v>
      </c>
      <c r="CP235" s="29">
        <v>0</v>
      </c>
      <c r="CQ235" s="29" t="s">
        <v>548</v>
      </c>
      <c r="CR235" s="29">
        <v>1</v>
      </c>
      <c r="CS235" s="29">
        <v>14</v>
      </c>
      <c r="CT235" s="29" t="s">
        <v>551</v>
      </c>
      <c r="CU235" s="30">
        <v>3.3600000000000003</v>
      </c>
      <c r="CV235" s="29">
        <v>1</v>
      </c>
      <c r="CW235" s="29">
        <v>1</v>
      </c>
      <c r="CX235" s="29" t="s">
        <v>551</v>
      </c>
      <c r="CY235" s="62">
        <v>0.24</v>
      </c>
      <c r="CZ235" s="29">
        <v>1</v>
      </c>
      <c r="DA235" s="29">
        <v>2</v>
      </c>
      <c r="DB235" s="29" t="s">
        <v>551</v>
      </c>
      <c r="DC235" s="62">
        <v>0.48</v>
      </c>
      <c r="DD235" s="29" t="s">
        <v>546</v>
      </c>
      <c r="DE235" s="29" t="s">
        <v>548</v>
      </c>
      <c r="DF235" s="29" t="s">
        <v>546</v>
      </c>
      <c r="DG235" s="29" t="s">
        <v>546</v>
      </c>
      <c r="DH235" s="29" t="s">
        <v>548</v>
      </c>
      <c r="DI235" s="29">
        <v>2</v>
      </c>
      <c r="DJ235" s="29">
        <v>3</v>
      </c>
      <c r="DK235" s="29" t="s">
        <v>1278</v>
      </c>
      <c r="DL235" s="29" t="s">
        <v>1279</v>
      </c>
      <c r="DM235" s="29">
        <v>-4.2877979278564453</v>
      </c>
      <c r="DN235" s="29">
        <v>35.631793975830078</v>
      </c>
      <c r="DO235" s="29">
        <v>1414</v>
      </c>
      <c r="DP235" s="29">
        <v>10</v>
      </c>
      <c r="DQ235" s="29">
        <v>1705231439</v>
      </c>
      <c r="DR235" s="29" t="s">
        <v>1280</v>
      </c>
      <c r="DS235" s="31">
        <v>42908.292604166665</v>
      </c>
      <c r="DT235" s="31">
        <v>42898.670694444445</v>
      </c>
      <c r="DU235" s="31">
        <v>42908.289016203707</v>
      </c>
      <c r="DV235" s="32">
        <v>42740</v>
      </c>
      <c r="DX235" s="44"/>
      <c r="DY235" s="44"/>
      <c r="DZ235" s="44"/>
      <c r="EA235" s="44"/>
      <c r="EC235" s="29">
        <f>IF(EQ235&lt;EP235,"FALSEE",1)</f>
        <v>1</v>
      </c>
      <c r="EE235" s="29" t="s">
        <v>2179</v>
      </c>
      <c r="EF235" s="29">
        <v>5.3233847618099999</v>
      </c>
      <c r="EG235" s="29" t="str">
        <f>IF(EF235&lt;0.5,"Depression",IF(EF235&lt;2,"Very gentle",IF(EF235&lt;5,"Gentle",IF(EF235&lt;9,"Moderate",IF(EF235&lt;15,"Strong",IF(EF235&lt;30,"Steep",IF(EF235&lt;1,"Very steep")))))))</f>
        <v>Moderate</v>
      </c>
      <c r="EH235" s="29" t="s">
        <v>2178</v>
      </c>
      <c r="EI235" s="29">
        <v>0.45321798324599999</v>
      </c>
      <c r="EJ235" s="43">
        <v>9.8859062194800007</v>
      </c>
      <c r="EK235" s="43"/>
      <c r="EL235" s="43"/>
      <c r="EM235" s="43"/>
      <c r="EN235" s="43"/>
      <c r="EO235" s="60"/>
      <c r="EP235" s="44"/>
      <c r="EQ235" s="44"/>
      <c r="ER235" s="43"/>
      <c r="ES235" s="64">
        <f>IF(CU235&gt;0.000001,CU235*352,0)</f>
        <v>1182.72</v>
      </c>
      <c r="ET235" s="64">
        <f>IF(DC235&gt;0.0001,DC235*682,0)</f>
        <v>327.36</v>
      </c>
      <c r="EU235" s="64">
        <f>CY235*795</f>
        <v>190.79999999999998</v>
      </c>
      <c r="EV235" s="64">
        <f>ES235+ET235+EU235</f>
        <v>1700.8799999999999</v>
      </c>
      <c r="EW235" s="64">
        <f>IF(AA235="YES",3.5*18.2,0)</f>
        <v>63.699999999999996</v>
      </c>
      <c r="EX235" s="64">
        <f>EV235-EW235</f>
        <v>1637.1799999999998</v>
      </c>
    </row>
    <row r="236" spans="1:154" ht="15" x14ac:dyDescent="0.2">
      <c r="A236" s="29" t="s">
        <v>1298</v>
      </c>
      <c r="B236" s="29">
        <v>71</v>
      </c>
      <c r="C236" s="29" t="s">
        <v>395</v>
      </c>
      <c r="D236" s="29" t="s">
        <v>395</v>
      </c>
      <c r="E236" s="29" t="str">
        <f>VLOOKUP(D236,Harvest_2017_Formulae!$C$2:$D$968,2,FALSE)</f>
        <v>SOLETO</v>
      </c>
      <c r="F236" s="29" t="s">
        <v>1310</v>
      </c>
      <c r="G236" s="29">
        <v>1.5</v>
      </c>
      <c r="H236" s="61" t="str">
        <f>IF(G236&lt;0.05,"Homefield",IF(G236&lt;0.5,"Midfield","outfield"))</f>
        <v>outfield</v>
      </c>
      <c r="I236" s="29" t="s">
        <v>557</v>
      </c>
      <c r="J236" s="61" t="s">
        <v>2233</v>
      </c>
      <c r="K236" s="61" t="s">
        <v>2233</v>
      </c>
      <c r="L236" s="67">
        <v>0</v>
      </c>
      <c r="O236" s="29" t="s">
        <v>547</v>
      </c>
      <c r="Q236" s="67">
        <v>1</v>
      </c>
      <c r="R236" s="29" t="s">
        <v>615</v>
      </c>
      <c r="S236" s="29">
        <v>9</v>
      </c>
      <c r="T236" s="29">
        <v>1.5</v>
      </c>
      <c r="U236" s="29" t="s">
        <v>560</v>
      </c>
      <c r="W236" s="29" t="s">
        <v>561</v>
      </c>
      <c r="Y236" s="29">
        <v>10000</v>
      </c>
      <c r="Z236" s="29" t="s">
        <v>547</v>
      </c>
      <c r="AA236" s="61" t="s">
        <v>548</v>
      </c>
      <c r="AB236" s="29" t="s">
        <v>568</v>
      </c>
      <c r="AC236" s="67">
        <v>0</v>
      </c>
      <c r="AD236" s="29" t="s">
        <v>547</v>
      </c>
      <c r="AF236" s="29" t="s">
        <v>547</v>
      </c>
      <c r="AG236" s="29" t="s">
        <v>547</v>
      </c>
      <c r="AH236" s="29" t="s">
        <v>548</v>
      </c>
      <c r="AI236" s="29" t="s">
        <v>546</v>
      </c>
      <c r="AK236" s="67">
        <v>1</v>
      </c>
      <c r="AL236" s="29">
        <v>2</v>
      </c>
      <c r="AM236" s="29">
        <v>1</v>
      </c>
      <c r="AN236" s="29">
        <v>7</v>
      </c>
      <c r="AO236" s="29">
        <v>8000</v>
      </c>
      <c r="AP236" s="29" t="s">
        <v>547</v>
      </c>
      <c r="AQ236" s="4">
        <f>Q236+AK236</f>
        <v>2</v>
      </c>
      <c r="AR236" s="4">
        <f>L236+AC236</f>
        <v>0</v>
      </c>
      <c r="AS236" t="str">
        <f>AQ236&amp;AR236</f>
        <v>20</v>
      </c>
      <c r="AT236" s="49">
        <f>AQ236-AR236</f>
        <v>2</v>
      </c>
      <c r="AU236">
        <v>3</v>
      </c>
      <c r="AV236" s="29" t="s">
        <v>548</v>
      </c>
      <c r="AW236" s="29">
        <v>1.5</v>
      </c>
      <c r="AX236" s="29" t="s">
        <v>548</v>
      </c>
      <c r="AY236" s="29">
        <v>4</v>
      </c>
      <c r="AZ236" s="29">
        <v>4.5</v>
      </c>
      <c r="BA236" s="29" t="s">
        <v>548</v>
      </c>
      <c r="BB236" s="29" t="s">
        <v>569</v>
      </c>
      <c r="BC236" s="29">
        <v>8.5</v>
      </c>
      <c r="BD236" s="29">
        <f>AW236+AZ236</f>
        <v>6</v>
      </c>
      <c r="BE236" s="29">
        <f>BD236+BC236</f>
        <v>14.5</v>
      </c>
      <c r="BF236" s="29" t="s">
        <v>548</v>
      </c>
      <c r="BG236" s="29" t="s">
        <v>548</v>
      </c>
      <c r="BH236" s="29" t="s">
        <v>548</v>
      </c>
      <c r="BI236" s="29" t="s">
        <v>548</v>
      </c>
      <c r="BJ236" s="29" t="s">
        <v>548</v>
      </c>
      <c r="BK236" s="29" t="s">
        <v>546</v>
      </c>
      <c r="BL236" s="29">
        <v>7</v>
      </c>
      <c r="BM236" s="29" t="s">
        <v>549</v>
      </c>
      <c r="BN236" s="29">
        <v>16</v>
      </c>
      <c r="BO236" s="29" t="s">
        <v>580</v>
      </c>
      <c r="BP236" s="29">
        <v>25</v>
      </c>
      <c r="BQ236" s="29" t="s">
        <v>580</v>
      </c>
      <c r="BR236" s="29">
        <v>5</v>
      </c>
      <c r="BS236" s="29" t="s">
        <v>580</v>
      </c>
      <c r="BT236" s="29">
        <v>2</v>
      </c>
      <c r="BU236" s="29" t="s">
        <v>562</v>
      </c>
      <c r="BW236" s="29">
        <f>(BL236*1)+(BN236*0.1)+(BP236*0.01)+(BR236*0.1)+(BT236*0.3)+(BV236*0.4)</f>
        <v>9.9499999999999993</v>
      </c>
      <c r="BX236" s="29" t="s">
        <v>2220</v>
      </c>
      <c r="BY236" s="29">
        <v>3</v>
      </c>
      <c r="BZ236" s="29">
        <v>1</v>
      </c>
      <c r="CA236" s="29">
        <v>7</v>
      </c>
      <c r="CB236" s="29">
        <v>11</v>
      </c>
      <c r="CC236" s="29">
        <v>0</v>
      </c>
      <c r="CD236" s="29">
        <v>1</v>
      </c>
      <c r="CE236" s="29">
        <v>2</v>
      </c>
      <c r="CG236" s="29">
        <f>(CC236*15)+(CD236*0.8)+(CE236*0.3)+((AW236+AZ236)*15)</f>
        <v>91.4</v>
      </c>
      <c r="CH236" s="29" t="s">
        <v>2221</v>
      </c>
      <c r="CI236" s="29">
        <f>(BL236*1)+(BN236*0.1)+(BP236*0.01)+(BR236*0.1)+(BT236*0.3)+(BV236*0.4)+(CC236*15)+(CD236*0.8)+(CE236*0.3)+((AW236+AZ236)*15)</f>
        <v>101.35</v>
      </c>
      <c r="CJ236" s="29" t="s">
        <v>546</v>
      </c>
      <c r="CK236" s="29" t="s">
        <v>547</v>
      </c>
      <c r="CL236" s="29" t="s">
        <v>546</v>
      </c>
      <c r="CM236" s="29" t="s">
        <v>547</v>
      </c>
      <c r="CN236" s="29">
        <v>0.25</v>
      </c>
      <c r="CO236" s="29">
        <v>7.25</v>
      </c>
      <c r="CP236" s="29">
        <v>0</v>
      </c>
      <c r="CQ236" s="29" t="s">
        <v>546</v>
      </c>
      <c r="CR236" s="29">
        <v>1</v>
      </c>
      <c r="CS236" s="29">
        <v>17</v>
      </c>
      <c r="CT236" s="29" t="s">
        <v>551</v>
      </c>
      <c r="CU236" s="30">
        <v>4.08</v>
      </c>
      <c r="CV236" s="29">
        <v>1</v>
      </c>
      <c r="CW236" s="29">
        <v>1</v>
      </c>
      <c r="CX236" s="29" t="s">
        <v>551</v>
      </c>
      <c r="CY236" s="62">
        <v>0.24</v>
      </c>
      <c r="CZ236" s="29">
        <v>1</v>
      </c>
      <c r="DA236" s="29">
        <v>1.5</v>
      </c>
      <c r="DB236" s="29" t="s">
        <v>551</v>
      </c>
      <c r="DC236" s="62">
        <v>0.36</v>
      </c>
      <c r="DD236" s="29" t="s">
        <v>548</v>
      </c>
      <c r="DE236" s="29" t="s">
        <v>546</v>
      </c>
      <c r="DF236" s="29" t="s">
        <v>548</v>
      </c>
      <c r="DG236" s="29" t="s">
        <v>546</v>
      </c>
      <c r="DH236" s="29" t="s">
        <v>548</v>
      </c>
      <c r="DI236" s="29">
        <v>3</v>
      </c>
      <c r="DJ236" s="29">
        <v>3</v>
      </c>
      <c r="DK236" s="29" t="s">
        <v>1327</v>
      </c>
      <c r="DL236" s="29" t="s">
        <v>1328</v>
      </c>
      <c r="DM236" s="29">
        <v>-4.2583160400390625</v>
      </c>
      <c r="DN236" s="29">
        <v>35.525661468505859</v>
      </c>
      <c r="DO236" s="29">
        <v>1591.4000244140625</v>
      </c>
      <c r="DP236" s="29">
        <v>10</v>
      </c>
      <c r="DQ236" s="29">
        <v>1705231439</v>
      </c>
      <c r="DR236" s="29" t="s">
        <v>1329</v>
      </c>
      <c r="DS236" s="31">
        <v>42923.387083333335</v>
      </c>
      <c r="DT236" s="31">
        <v>42902.534861111111</v>
      </c>
      <c r="DU236" s="31">
        <v>42923.385138888887</v>
      </c>
      <c r="DV236" s="32">
        <v>42751</v>
      </c>
      <c r="DX236" s="44">
        <v>7.1306666666666665</v>
      </c>
      <c r="DY236" s="44">
        <v>5.4328888888888889</v>
      </c>
      <c r="DZ236" s="44">
        <v>5.7633333333333336</v>
      </c>
      <c r="EA236" s="44">
        <v>5.9800000000000013</v>
      </c>
      <c r="EC236" s="29">
        <f>IF(EQ236&lt;EP236,"FALSEE",1)</f>
        <v>1</v>
      </c>
      <c r="EE236" s="29" t="s">
        <v>2171</v>
      </c>
      <c r="EF236" s="29">
        <v>0.76454704999900003</v>
      </c>
      <c r="EG236" s="29" t="str">
        <f>IF(EF236&lt;0.5,"Depression",IF(EF236&lt;2,"Very gentle",IF(EF236&lt;5,"Gentle",IF(EF236&lt;9,"Moderate",IF(EF236&lt;15,"Strong",IF(EF236&lt;30,"Steep",IF(EF236&lt;1,"Very steep")))))))</f>
        <v>Very gentle</v>
      </c>
      <c r="EH236" s="29" t="s">
        <v>2173</v>
      </c>
      <c r="EI236" s="29">
        <v>0.18129228055499999</v>
      </c>
      <c r="EJ236" s="43">
        <v>9.5179643631000008</v>
      </c>
      <c r="EK236" s="43">
        <f>VLOOKUP(D236,[1]SoilData!$G$15:$K$237,5,FALSE)</f>
        <v>367.29042955314293</v>
      </c>
      <c r="EL236" s="43">
        <f>VLOOKUP(D236,[1]SoilData!$G$245:$K$451,5,FALSE)</f>
        <v>319.58986341379625</v>
      </c>
      <c r="EM236" s="43">
        <f>VLOOKUP(D236,[1]SoilData!$G$15:$M$238,7,FALSE)</f>
        <v>1.5880000000000001</v>
      </c>
      <c r="EN236" s="43">
        <f>VLOOKUP(D236,[1]SoilData!$G$245:$M$454,7,FALSE)</f>
        <v>1.4410000000000001</v>
      </c>
      <c r="EO236" s="60">
        <f>EM236-EN236</f>
        <v>0.14700000000000002</v>
      </c>
      <c r="EP236" s="44">
        <f>AVERAGE(DZ236:EA236)</f>
        <v>5.8716666666666679</v>
      </c>
      <c r="EQ236" s="44">
        <f>AVERAGE(DX236:DY236)</f>
        <v>6.2817777777777781</v>
      </c>
      <c r="ER236" s="43">
        <f>EQ236-EP236</f>
        <v>0.4101111111111102</v>
      </c>
      <c r="ES236" s="64">
        <f>IF(CU236&gt;0.000001,CU236*352,0)</f>
        <v>1436.16</v>
      </c>
      <c r="ET236" s="64">
        <f>IF(DC236&gt;0.0001,DC236*682,0)</f>
        <v>245.51999999999998</v>
      </c>
      <c r="EU236" s="64">
        <f>CY236*795</f>
        <v>190.79999999999998</v>
      </c>
      <c r="EV236" s="64">
        <f>ES236+ET236+EU236</f>
        <v>1872.48</v>
      </c>
      <c r="EW236" s="64">
        <f>IF(AA236="YES",3.5*18.2,0)</f>
        <v>63.699999999999996</v>
      </c>
      <c r="EX236" s="64">
        <f>EV236-EW236</f>
        <v>1808.78</v>
      </c>
    </row>
    <row r="237" spans="1:154" s="34" customFormat="1" ht="15" x14ac:dyDescent="0.2">
      <c r="A237" s="29" t="s">
        <v>841</v>
      </c>
      <c r="B237" s="29">
        <v>251</v>
      </c>
      <c r="C237" s="29" t="s">
        <v>889</v>
      </c>
      <c r="D237" s="33" t="s">
        <v>156</v>
      </c>
      <c r="E237" s="29" t="str">
        <f>VLOOKUP(D237,Harvest_2017_Formulae!$C$2:$D$968,2,FALSE)</f>
        <v>ENDANOGA</v>
      </c>
      <c r="F237" s="29" t="s">
        <v>843</v>
      </c>
      <c r="G237" s="29">
        <v>0</v>
      </c>
      <c r="H237" s="61" t="str">
        <f>IF(G237&lt;0.05,"Homefield",IF(G237&lt;0.5,"Midfield","outfield"))</f>
        <v>Homefield</v>
      </c>
      <c r="I237" s="29" t="s">
        <v>557</v>
      </c>
      <c r="J237" s="61" t="s">
        <v>2234</v>
      </c>
      <c r="K237" s="61" t="s">
        <v>2234</v>
      </c>
      <c r="L237" s="67">
        <v>0</v>
      </c>
      <c r="M237" s="29"/>
      <c r="N237" s="29"/>
      <c r="O237" s="29" t="s">
        <v>547</v>
      </c>
      <c r="P237" s="29"/>
      <c r="Q237" s="67">
        <v>1</v>
      </c>
      <c r="R237" s="29" t="s">
        <v>558</v>
      </c>
      <c r="S237" s="29">
        <v>10</v>
      </c>
      <c r="T237" s="29">
        <v>2</v>
      </c>
      <c r="U237" s="29" t="s">
        <v>560</v>
      </c>
      <c r="V237" s="29"/>
      <c r="W237" s="29" t="s">
        <v>635</v>
      </c>
      <c r="X237" s="29"/>
      <c r="Y237" s="29">
        <v>5000</v>
      </c>
      <c r="Z237" s="29" t="s">
        <v>547</v>
      </c>
      <c r="AA237" s="61" t="s">
        <v>548</v>
      </c>
      <c r="AB237" s="29" t="s">
        <v>860</v>
      </c>
      <c r="AC237" s="67">
        <v>0</v>
      </c>
      <c r="AD237" s="29" t="s">
        <v>547</v>
      </c>
      <c r="AE237" s="29"/>
      <c r="AF237" s="29" t="s">
        <v>547</v>
      </c>
      <c r="AG237" s="29" t="s">
        <v>547</v>
      </c>
      <c r="AH237" s="29" t="s">
        <v>548</v>
      </c>
      <c r="AI237" s="29" t="s">
        <v>546</v>
      </c>
      <c r="AJ237" s="29" t="s">
        <v>547</v>
      </c>
      <c r="AK237" s="67">
        <v>1</v>
      </c>
      <c r="AL237" s="29">
        <v>5</v>
      </c>
      <c r="AM237" s="29">
        <v>1</v>
      </c>
      <c r="AN237" s="29">
        <v>5</v>
      </c>
      <c r="AO237" s="29">
        <v>5000</v>
      </c>
      <c r="AP237" s="29" t="s">
        <v>547</v>
      </c>
      <c r="AQ237" s="4">
        <f>Q237+AK237</f>
        <v>2</v>
      </c>
      <c r="AR237" s="4">
        <f>L237+AC237</f>
        <v>0</v>
      </c>
      <c r="AS237" t="str">
        <f>AQ237&amp;AR237</f>
        <v>20</v>
      </c>
      <c r="AT237" s="49">
        <f>AQ237-AR237</f>
        <v>2</v>
      </c>
      <c r="AU237">
        <v>3</v>
      </c>
      <c r="AV237" s="29" t="s">
        <v>548</v>
      </c>
      <c r="AW237" s="29">
        <v>2</v>
      </c>
      <c r="AX237" s="29" t="s">
        <v>548</v>
      </c>
      <c r="AY237" s="29">
        <v>4</v>
      </c>
      <c r="AZ237" s="29">
        <v>10</v>
      </c>
      <c r="BA237" s="29" t="s">
        <v>548</v>
      </c>
      <c r="BB237" s="29" t="s">
        <v>569</v>
      </c>
      <c r="BC237" s="29">
        <v>12</v>
      </c>
      <c r="BD237" s="29">
        <f>AW237+AZ237</f>
        <v>12</v>
      </c>
      <c r="BE237" s="29">
        <f>BD237+BC237</f>
        <v>24</v>
      </c>
      <c r="BF237" s="29" t="s">
        <v>548</v>
      </c>
      <c r="BG237" s="29" t="s">
        <v>548</v>
      </c>
      <c r="BH237" s="29" t="s">
        <v>548</v>
      </c>
      <c r="BI237" s="29" t="s">
        <v>548</v>
      </c>
      <c r="BJ237" s="29" t="s">
        <v>546</v>
      </c>
      <c r="BK237" s="29" t="s">
        <v>546</v>
      </c>
      <c r="BL237" s="29">
        <v>10</v>
      </c>
      <c r="BM237" s="29" t="s">
        <v>580</v>
      </c>
      <c r="BN237" s="29">
        <v>4</v>
      </c>
      <c r="BO237" s="29" t="s">
        <v>580</v>
      </c>
      <c r="BP237" s="29">
        <v>10</v>
      </c>
      <c r="BQ237" s="29" t="s">
        <v>562</v>
      </c>
      <c r="BR237" s="29">
        <v>4</v>
      </c>
      <c r="BS237" s="29" t="s">
        <v>580</v>
      </c>
      <c r="BT237" s="29"/>
      <c r="BU237" s="29" t="s">
        <v>547</v>
      </c>
      <c r="BV237" s="29"/>
      <c r="BW237" s="29">
        <f>(BL237*1)+(BN237*0.1)+(BP237*0.01)+(BR237*0.1)+(BT237*0.3)+(BV237*0.4)</f>
        <v>10.9</v>
      </c>
      <c r="BX237" s="29" t="s">
        <v>2220</v>
      </c>
      <c r="BY237" s="29">
        <v>1</v>
      </c>
      <c r="BZ237" s="29">
        <v>1</v>
      </c>
      <c r="CA237" s="29">
        <v>6</v>
      </c>
      <c r="CB237" s="29">
        <v>8</v>
      </c>
      <c r="CC237" s="29">
        <v>0</v>
      </c>
      <c r="CD237" s="29">
        <v>0</v>
      </c>
      <c r="CE237" s="29">
        <v>1</v>
      </c>
      <c r="CF237" s="29" t="s">
        <v>547</v>
      </c>
      <c r="CG237" s="29">
        <f>(CC237*15)+(CD237*0.8)+(CE237*0.3)+((AW237+AZ237)*15)</f>
        <v>180.3</v>
      </c>
      <c r="CH237" s="29" t="s">
        <v>2221</v>
      </c>
      <c r="CI237" s="29">
        <f>(BL237*1)+(BN237*0.1)+(BP237*0.01)+(BR237*0.1)+(BT237*0.3)+(BV237*0.4)+(CC237*15)+(CD237*0.8)+(CE237*0.3)+((AW237+AZ237)*15)</f>
        <v>191.2</v>
      </c>
      <c r="CJ237" s="29" t="s">
        <v>548</v>
      </c>
      <c r="CK237" s="29" t="s">
        <v>563</v>
      </c>
      <c r="CL237" s="29" t="s">
        <v>548</v>
      </c>
      <c r="CM237" s="29" t="s">
        <v>550</v>
      </c>
      <c r="CN237" s="29">
        <v>0.25</v>
      </c>
      <c r="CO237" s="29">
        <v>1</v>
      </c>
      <c r="CP237" s="29">
        <v>10.75</v>
      </c>
      <c r="CQ237" s="29" t="s">
        <v>546</v>
      </c>
      <c r="CR237" s="29">
        <v>12</v>
      </c>
      <c r="CS237" s="29">
        <v>22</v>
      </c>
      <c r="CT237" s="29" t="s">
        <v>551</v>
      </c>
      <c r="CU237" s="30">
        <v>0.44</v>
      </c>
      <c r="CV237" s="29">
        <v>0.5</v>
      </c>
      <c r="CW237" s="29">
        <v>1</v>
      </c>
      <c r="CX237" s="29" t="s">
        <v>551</v>
      </c>
      <c r="CY237" s="62">
        <v>0.48</v>
      </c>
      <c r="CZ237" s="29">
        <v>12</v>
      </c>
      <c r="DA237" s="29">
        <v>18</v>
      </c>
      <c r="DB237" s="29" t="s">
        <v>551</v>
      </c>
      <c r="DC237" s="62">
        <v>0.36000000000000004</v>
      </c>
      <c r="DD237" s="29" t="s">
        <v>548</v>
      </c>
      <c r="DE237" s="29" t="s">
        <v>546</v>
      </c>
      <c r="DF237" s="29" t="s">
        <v>546</v>
      </c>
      <c r="DG237" s="29" t="s">
        <v>546</v>
      </c>
      <c r="DH237" s="29" t="s">
        <v>548</v>
      </c>
      <c r="DI237" s="29">
        <v>2</v>
      </c>
      <c r="DJ237" s="29">
        <v>5</v>
      </c>
      <c r="DK237" s="29" t="s">
        <v>890</v>
      </c>
      <c r="DL237" s="29" t="s">
        <v>891</v>
      </c>
      <c r="DM237" s="29">
        <v>-4.2766251564025879</v>
      </c>
      <c r="DN237" s="29">
        <v>35.858478546142578</v>
      </c>
      <c r="DO237" s="29">
        <v>1309.5999755859375</v>
      </c>
      <c r="DP237" s="29">
        <v>5</v>
      </c>
      <c r="DQ237" s="29">
        <v>1706031849</v>
      </c>
      <c r="DR237" s="29" t="s">
        <v>892</v>
      </c>
      <c r="DS237" s="31">
        <v>42978.591377314813</v>
      </c>
      <c r="DT237" s="31">
        <v>42895.696168981478</v>
      </c>
      <c r="DU237" s="31">
        <v>42978.589953703704</v>
      </c>
      <c r="DV237" s="32">
        <v>42790</v>
      </c>
      <c r="DW237" s="29"/>
      <c r="DX237" s="44">
        <v>5.1629629629629621</v>
      </c>
      <c r="DY237" s="44">
        <v>6.3440329218106992</v>
      </c>
      <c r="DZ237" s="44">
        <v>5.1388888888888893</v>
      </c>
      <c r="EA237" s="44">
        <v>6.4064814814814817</v>
      </c>
      <c r="EB237" s="29"/>
      <c r="EC237" s="29" t="str">
        <f>IF(EQ237&lt;EP237,"FALSEE",1)</f>
        <v>FALSEE</v>
      </c>
      <c r="ED237" s="29"/>
      <c r="EE237" s="29" t="s">
        <v>2171</v>
      </c>
      <c r="EF237" s="29">
        <v>1.54433584213</v>
      </c>
      <c r="EG237" s="29" t="str">
        <f>IF(EF237&lt;0.5,"Depression",IF(EF237&lt;2,"Very gentle",IF(EF237&lt;5,"Gentle",IF(EF237&lt;9,"Moderate",IF(EF237&lt;15,"Strong",IF(EF237&lt;30,"Steep",IF(EF237&lt;1,"Very steep")))))))</f>
        <v>Very gentle</v>
      </c>
      <c r="EH237" s="29" t="s">
        <v>2173</v>
      </c>
      <c r="EI237" s="29">
        <v>-9.0633422136300004E-2</v>
      </c>
      <c r="EJ237" s="43">
        <v>12.183077812200001</v>
      </c>
      <c r="EK237" s="43">
        <f>VLOOKUP(D237,[1]SoilData!$G$15:$K$237,5,FALSE)</f>
        <v>250.80185698562588</v>
      </c>
      <c r="EL237" s="43"/>
      <c r="EM237" s="43">
        <f>VLOOKUP(D237,[1]SoilData!$G$15:$M$238,7,FALSE)</f>
        <v>1.1040000000000001</v>
      </c>
      <c r="EN237" s="43"/>
      <c r="EO237" s="60"/>
      <c r="EP237" s="44">
        <f>AVERAGE(DZ237:EA237)</f>
        <v>5.7726851851851855</v>
      </c>
      <c r="EQ237" s="44">
        <f>AVERAGE(DX237:DY237)</f>
        <v>5.7534979423868311</v>
      </c>
      <c r="ER237" s="43">
        <f>EQ237-EP237</f>
        <v>-1.9187242798354376E-2</v>
      </c>
      <c r="ES237" s="64">
        <f>IF(CU237&gt;0.000001,CU237*352,0)</f>
        <v>154.88</v>
      </c>
      <c r="ET237" s="64">
        <f>IF(DC237&gt;0.0001,DC237*682,0)</f>
        <v>245.52000000000004</v>
      </c>
      <c r="EU237" s="64">
        <f>CY237*795</f>
        <v>381.59999999999997</v>
      </c>
      <c r="EV237" s="64">
        <f>ES237+ET237+EU237</f>
        <v>782</v>
      </c>
      <c r="EW237" s="64">
        <f>IF(AA237="YES",3.5*18.2,0)</f>
        <v>63.699999999999996</v>
      </c>
      <c r="EX237" s="64">
        <f>EV237-EW237</f>
        <v>718.3</v>
      </c>
    </row>
    <row r="238" spans="1:154" s="57" customFormat="1" ht="15" x14ac:dyDescent="0.2">
      <c r="A238" s="29" t="s">
        <v>789</v>
      </c>
      <c r="B238" s="29">
        <v>75</v>
      </c>
      <c r="C238" s="29" t="s">
        <v>247</v>
      </c>
      <c r="D238" s="29" t="s">
        <v>247</v>
      </c>
      <c r="E238" s="29" t="str">
        <f>VLOOKUP(D238,Harvest_2017_Formulae!$C$2:$D$968,2,FALSE)</f>
        <v>SABILO</v>
      </c>
      <c r="F238" s="29" t="s">
        <v>1175</v>
      </c>
      <c r="G238" s="29">
        <v>0.20000000298023224</v>
      </c>
      <c r="H238" s="61" t="str">
        <f>IF(G238&lt;0.05,"Homefield",IF(G238&lt;0.5,"Midfield","outfield"))</f>
        <v>Midfield</v>
      </c>
      <c r="I238" s="29" t="s">
        <v>557</v>
      </c>
      <c r="J238" s="61" t="s">
        <v>2233</v>
      </c>
      <c r="K238" s="61" t="s">
        <v>2233</v>
      </c>
      <c r="L238" s="67">
        <v>0</v>
      </c>
      <c r="M238" s="29"/>
      <c r="N238" s="29"/>
      <c r="O238" s="29" t="s">
        <v>547</v>
      </c>
      <c r="P238" s="29"/>
      <c r="Q238" s="67">
        <v>1</v>
      </c>
      <c r="R238" s="29" t="s">
        <v>615</v>
      </c>
      <c r="S238" s="29">
        <v>12</v>
      </c>
      <c r="T238" s="29">
        <v>1</v>
      </c>
      <c r="U238" s="29" t="s">
        <v>560</v>
      </c>
      <c r="V238" s="29"/>
      <c r="W238" s="29" t="s">
        <v>561</v>
      </c>
      <c r="X238" s="29"/>
      <c r="Y238" s="29">
        <v>10000</v>
      </c>
      <c r="Z238" s="29" t="s">
        <v>547</v>
      </c>
      <c r="AA238" s="61" t="s">
        <v>548</v>
      </c>
      <c r="AB238" s="29" t="s">
        <v>568</v>
      </c>
      <c r="AC238" s="67">
        <v>0</v>
      </c>
      <c r="AD238" s="29" t="s">
        <v>547</v>
      </c>
      <c r="AE238" s="29"/>
      <c r="AF238" s="29" t="s">
        <v>547</v>
      </c>
      <c r="AG238" s="29" t="s">
        <v>547</v>
      </c>
      <c r="AH238" s="29" t="s">
        <v>548</v>
      </c>
      <c r="AI238" s="29" t="s">
        <v>546</v>
      </c>
      <c r="AJ238" s="29"/>
      <c r="AK238" s="67">
        <v>1</v>
      </c>
      <c r="AL238" s="29">
        <v>3</v>
      </c>
      <c r="AM238" s="29">
        <v>1</v>
      </c>
      <c r="AN238" s="29">
        <v>8</v>
      </c>
      <c r="AO238" s="29">
        <v>15000</v>
      </c>
      <c r="AP238" s="29" t="s">
        <v>547</v>
      </c>
      <c r="AQ238" s="4">
        <f>Q238+AK238</f>
        <v>2</v>
      </c>
      <c r="AR238" s="4">
        <f>L238+AC238</f>
        <v>0</v>
      </c>
      <c r="AS238" t="str">
        <f>AQ238&amp;AR238</f>
        <v>20</v>
      </c>
      <c r="AT238" s="49">
        <f>AQ238-AR238</f>
        <v>2</v>
      </c>
      <c r="AU238">
        <v>3</v>
      </c>
      <c r="AV238" s="29" t="s">
        <v>548</v>
      </c>
      <c r="AW238" s="29">
        <v>1.5</v>
      </c>
      <c r="AX238" s="29" t="s">
        <v>548</v>
      </c>
      <c r="AY238" s="29">
        <v>4</v>
      </c>
      <c r="AZ238" s="29">
        <v>12</v>
      </c>
      <c r="BA238" s="29" t="s">
        <v>546</v>
      </c>
      <c r="BB238" s="29" t="s">
        <v>547</v>
      </c>
      <c r="BC238" s="29"/>
      <c r="BD238" s="29">
        <f>AW238+AZ238</f>
        <v>13.5</v>
      </c>
      <c r="BE238" s="29">
        <f>BD238+BC238</f>
        <v>13.5</v>
      </c>
      <c r="BF238" s="29" t="s">
        <v>548</v>
      </c>
      <c r="BG238" s="29" t="s">
        <v>548</v>
      </c>
      <c r="BH238" s="29" t="s">
        <v>548</v>
      </c>
      <c r="BI238" s="29" t="s">
        <v>548</v>
      </c>
      <c r="BJ238" s="29" t="s">
        <v>546</v>
      </c>
      <c r="BK238" s="29" t="s">
        <v>546</v>
      </c>
      <c r="BL238" s="29">
        <v>10</v>
      </c>
      <c r="BM238" s="29" t="s">
        <v>549</v>
      </c>
      <c r="BN238" s="29">
        <v>8</v>
      </c>
      <c r="BO238" s="29" t="s">
        <v>580</v>
      </c>
      <c r="BP238" s="29">
        <v>12</v>
      </c>
      <c r="BQ238" s="29" t="s">
        <v>580</v>
      </c>
      <c r="BR238" s="29">
        <v>8</v>
      </c>
      <c r="BS238" s="29" t="s">
        <v>580</v>
      </c>
      <c r="BT238" s="29"/>
      <c r="BU238" s="29" t="s">
        <v>547</v>
      </c>
      <c r="BV238" s="29"/>
      <c r="BW238" s="29">
        <f>(BL238*1)+(BN238*0.1)+(BP238*0.01)+(BR238*0.1)+(BT238*0.3)+(BV238*0.4)</f>
        <v>11.72</v>
      </c>
      <c r="BX238" s="29" t="s">
        <v>2220</v>
      </c>
      <c r="BY238" s="29">
        <v>2</v>
      </c>
      <c r="BZ238" s="29">
        <v>1</v>
      </c>
      <c r="CA238" s="29">
        <v>4</v>
      </c>
      <c r="CB238" s="29">
        <v>7</v>
      </c>
      <c r="CC238" s="29">
        <v>0</v>
      </c>
      <c r="CD238" s="29">
        <v>1</v>
      </c>
      <c r="CE238" s="29">
        <v>1</v>
      </c>
      <c r="CF238" s="29"/>
      <c r="CG238" s="29">
        <f>(CC238*15)+(CD238*0.8)+(CE238*0.3)+((AW238+AZ238)*15)</f>
        <v>203.6</v>
      </c>
      <c r="CH238" s="29" t="s">
        <v>2221</v>
      </c>
      <c r="CI238" s="29">
        <f>(BL238*1)+(BN238*0.1)+(BP238*0.01)+(BR238*0.1)+(BT238*0.3)+(BV238*0.4)+(CC238*15)+(CD238*0.8)+(CE238*0.3)+((AW238+AZ238)*15)</f>
        <v>215.32</v>
      </c>
      <c r="CJ238" s="29" t="s">
        <v>548</v>
      </c>
      <c r="CK238" s="29" t="s">
        <v>1217</v>
      </c>
      <c r="CL238" s="29" t="s">
        <v>548</v>
      </c>
      <c r="CM238" s="29" t="s">
        <v>793</v>
      </c>
      <c r="CN238" s="29">
        <v>1</v>
      </c>
      <c r="CO238" s="29">
        <v>11</v>
      </c>
      <c r="CP238" s="29">
        <v>0</v>
      </c>
      <c r="CQ238" s="29" t="s">
        <v>548</v>
      </c>
      <c r="CR238" s="29">
        <v>1</v>
      </c>
      <c r="CS238" s="29">
        <v>20</v>
      </c>
      <c r="CT238" s="29" t="s">
        <v>551</v>
      </c>
      <c r="CU238" s="30">
        <v>4.8</v>
      </c>
      <c r="CV238" s="29"/>
      <c r="CW238" s="29">
        <v>999</v>
      </c>
      <c r="CX238" s="29" t="s">
        <v>551</v>
      </c>
      <c r="CY238" s="62"/>
      <c r="CZ238" s="29">
        <v>1</v>
      </c>
      <c r="DA238" s="29">
        <v>1</v>
      </c>
      <c r="DB238" s="29" t="s">
        <v>551</v>
      </c>
      <c r="DC238" s="62">
        <v>0.24</v>
      </c>
      <c r="DD238" s="29" t="s">
        <v>546</v>
      </c>
      <c r="DE238" s="29" t="s">
        <v>548</v>
      </c>
      <c r="DF238" s="29" t="s">
        <v>546</v>
      </c>
      <c r="DG238" s="29" t="s">
        <v>546</v>
      </c>
      <c r="DH238" s="29" t="s">
        <v>546</v>
      </c>
      <c r="DI238" s="29">
        <v>1</v>
      </c>
      <c r="DJ238" s="29">
        <v>4</v>
      </c>
      <c r="DK238" s="29" t="s">
        <v>1218</v>
      </c>
      <c r="DL238" s="29" t="s">
        <v>1219</v>
      </c>
      <c r="DM238" s="29">
        <v>-4.3557915687561035</v>
      </c>
      <c r="DN238" s="29">
        <v>35.483161926269531</v>
      </c>
      <c r="DO238" s="29">
        <v>1687.9000244140625</v>
      </c>
      <c r="DP238" s="29">
        <v>10</v>
      </c>
      <c r="DQ238" s="29">
        <v>1705231439</v>
      </c>
      <c r="DR238" s="29" t="s">
        <v>1220</v>
      </c>
      <c r="DS238" s="31">
        <v>42923.387118055558</v>
      </c>
      <c r="DT238" s="31">
        <v>42906.432835648149</v>
      </c>
      <c r="DU238" s="31">
        <v>42923.383888888886</v>
      </c>
      <c r="DV238" s="32">
        <v>42768</v>
      </c>
      <c r="DW238" s="29"/>
      <c r="DX238" s="44">
        <v>3.9925925925925929</v>
      </c>
      <c r="DY238" s="44">
        <v>3.9925925925925929</v>
      </c>
      <c r="DZ238" s="44">
        <v>5.4618055555555562</v>
      </c>
      <c r="EA238" s="44">
        <v>3.3432870370370371</v>
      </c>
      <c r="EB238" s="29"/>
      <c r="EC238" s="29" t="str">
        <f>IF(EQ238&lt;EP238,"FALSEE",1)</f>
        <v>FALSEE</v>
      </c>
      <c r="ED238" s="29" t="s">
        <v>1543</v>
      </c>
      <c r="EE238" s="29" t="s">
        <v>2174</v>
      </c>
      <c r="EF238" s="29">
        <v>5.0304594039900001</v>
      </c>
      <c r="EG238" s="29" t="str">
        <f>IF(EF238&lt;0.5,"Depression",IF(EF238&lt;2,"Very gentle",IF(EF238&lt;5,"Gentle",IF(EF238&lt;9,"Moderate",IF(EF238&lt;15,"Strong",IF(EF238&lt;30,"Steep",IF(EF238&lt;1,"Very steep")))))))</f>
        <v>Moderate</v>
      </c>
      <c r="EH238" s="29" t="s">
        <v>2178</v>
      </c>
      <c r="EI238" s="29">
        <v>-9.0633422136300004E-2</v>
      </c>
      <c r="EJ238" s="43">
        <v>8.4956922531100005</v>
      </c>
      <c r="EK238" s="43">
        <f>VLOOKUP(D238,[1]SoilData!$G$15:$K$237,5,FALSE)</f>
        <v>19.048007545725081</v>
      </c>
      <c r="EL238" s="43">
        <f>VLOOKUP(D238,[1]SoilData!$G$245:$K$451,5,FALSE)</f>
        <v>279.83165599268091</v>
      </c>
      <c r="EM238" s="43">
        <f>VLOOKUP(D238,[1]SoilData!$G$15:$M$238,7,FALSE)</f>
        <v>1.4650000000000001</v>
      </c>
      <c r="EN238" s="43">
        <f>VLOOKUP(D238,[1]SoilData!$G$245:$M$454,7,FALSE)</f>
        <v>1.66</v>
      </c>
      <c r="EO238" s="60">
        <f>EM238-EN238</f>
        <v>-0.19499999999999984</v>
      </c>
      <c r="EP238" s="44">
        <f>AVERAGE(DZ238:EA238)</f>
        <v>4.4025462962962969</v>
      </c>
      <c r="EQ238" s="44">
        <f>AVERAGE(DX238:DY238)</f>
        <v>3.9925925925925929</v>
      </c>
      <c r="ER238" s="43">
        <f>EQ238-EP238</f>
        <v>-0.40995370370370399</v>
      </c>
      <c r="ES238" s="64">
        <f>IF(CU238&gt;0.000001,CU238*352,0)</f>
        <v>1689.6</v>
      </c>
      <c r="ET238" s="64">
        <f>IF(DC238&gt;0.0001,DC238*682,0)</f>
        <v>163.68</v>
      </c>
      <c r="EU238" s="64">
        <f>CY238*795</f>
        <v>0</v>
      </c>
      <c r="EV238" s="64">
        <f>ES238+ET238+EU238</f>
        <v>1853.28</v>
      </c>
      <c r="EW238" s="64">
        <f>IF(AA238="YES",3.5*18.2,0)</f>
        <v>63.699999999999996</v>
      </c>
      <c r="EX238" s="64">
        <f>EV238-EW238</f>
        <v>1789.58</v>
      </c>
    </row>
    <row r="239" spans="1:154" ht="15" x14ac:dyDescent="0.2">
      <c r="A239" s="29" t="s">
        <v>1182</v>
      </c>
      <c r="B239" s="29">
        <v>84</v>
      </c>
      <c r="C239" s="29" t="s">
        <v>1187</v>
      </c>
      <c r="D239" s="29" t="s">
        <v>243</v>
      </c>
      <c r="E239" s="29" t="str">
        <f>VLOOKUP(D239,Harvest_2017_Formulae!$C$2:$D$968,2,FALSE)</f>
        <v>SABILO</v>
      </c>
      <c r="F239" s="29" t="s">
        <v>1175</v>
      </c>
      <c r="G239" s="29">
        <v>0</v>
      </c>
      <c r="H239" s="61" t="str">
        <f>IF(G239&lt;0.05,"Homefield",IF(G239&lt;0.5,"Midfield","outfield"))</f>
        <v>Homefield</v>
      </c>
      <c r="I239" s="29" t="s">
        <v>557</v>
      </c>
      <c r="J239" s="61" t="s">
        <v>2233</v>
      </c>
      <c r="K239" s="61" t="s">
        <v>2233</v>
      </c>
      <c r="L239" s="67">
        <v>0</v>
      </c>
      <c r="O239" s="29" t="s">
        <v>547</v>
      </c>
      <c r="Q239" s="67">
        <v>1</v>
      </c>
      <c r="R239" s="29" t="s">
        <v>615</v>
      </c>
      <c r="S239" s="29">
        <v>6</v>
      </c>
      <c r="T239" s="29">
        <v>1.5</v>
      </c>
      <c r="U239" s="29" t="s">
        <v>560</v>
      </c>
      <c r="W239" s="29" t="s">
        <v>561</v>
      </c>
      <c r="Z239" s="29" t="s">
        <v>831</v>
      </c>
      <c r="AA239" s="61" t="s">
        <v>548</v>
      </c>
      <c r="AB239" s="29" t="s">
        <v>568</v>
      </c>
      <c r="AC239" s="67">
        <v>0</v>
      </c>
      <c r="AD239" s="29" t="s">
        <v>547</v>
      </c>
      <c r="AF239" s="29" t="s">
        <v>547</v>
      </c>
      <c r="AG239" s="29" t="s">
        <v>547</v>
      </c>
      <c r="AH239" s="29" t="s">
        <v>548</v>
      </c>
      <c r="AI239" s="29" t="s">
        <v>546</v>
      </c>
      <c r="AK239" s="67">
        <v>1</v>
      </c>
      <c r="AL239" s="29">
        <v>888</v>
      </c>
      <c r="AM239" s="29">
        <v>5</v>
      </c>
      <c r="AN239" s="29">
        <v>10</v>
      </c>
      <c r="AO239" s="29" t="s">
        <v>547</v>
      </c>
      <c r="AP239" s="29" t="s">
        <v>831</v>
      </c>
      <c r="AQ239" s="4">
        <f>Q239+AK239</f>
        <v>2</v>
      </c>
      <c r="AR239" s="4">
        <f>L239+AC239</f>
        <v>0</v>
      </c>
      <c r="AS239" t="str">
        <f>AQ239&amp;AR239</f>
        <v>20</v>
      </c>
      <c r="AT239" s="49">
        <f>AQ239-AR239</f>
        <v>2</v>
      </c>
      <c r="AU239">
        <v>3</v>
      </c>
      <c r="AV239" s="29" t="s">
        <v>548</v>
      </c>
      <c r="AW239" s="29">
        <v>0.75</v>
      </c>
      <c r="AX239" s="29" t="s">
        <v>548</v>
      </c>
      <c r="AY239" s="29">
        <v>3</v>
      </c>
      <c r="AZ239" s="29">
        <v>6.5</v>
      </c>
      <c r="BA239" s="29" t="s">
        <v>548</v>
      </c>
      <c r="BB239" s="29" t="s">
        <v>569</v>
      </c>
      <c r="BC239" s="29">
        <v>0.5</v>
      </c>
      <c r="BD239" s="29">
        <f>AW239+AZ239</f>
        <v>7.25</v>
      </c>
      <c r="BE239" s="29">
        <f>BD239+BC239</f>
        <v>7.75</v>
      </c>
      <c r="BF239" s="29" t="s">
        <v>548</v>
      </c>
      <c r="BG239" s="29" t="s">
        <v>548</v>
      </c>
      <c r="BH239" s="29" t="s">
        <v>548</v>
      </c>
      <c r="BI239" s="29" t="s">
        <v>548</v>
      </c>
      <c r="BJ239" s="29" t="s">
        <v>546</v>
      </c>
      <c r="BK239" s="29" t="s">
        <v>546</v>
      </c>
      <c r="BL239" s="29">
        <v>12</v>
      </c>
      <c r="BM239" s="29" t="s">
        <v>580</v>
      </c>
      <c r="BN239" s="29">
        <v>2</v>
      </c>
      <c r="BO239" s="29" t="s">
        <v>580</v>
      </c>
      <c r="BP239" s="29">
        <v>12</v>
      </c>
      <c r="BQ239" s="29" t="s">
        <v>580</v>
      </c>
      <c r="BR239" s="29">
        <v>6</v>
      </c>
      <c r="BS239" s="29" t="s">
        <v>580</v>
      </c>
      <c r="BU239" s="29" t="s">
        <v>547</v>
      </c>
      <c r="BW239" s="29">
        <f>(BL239*1)+(BN239*0.1)+(BP239*0.01)+(BR239*0.1)+(BT239*0.3)+(BV239*0.4)</f>
        <v>12.919999999999998</v>
      </c>
      <c r="BX239" s="29" t="s">
        <v>2220</v>
      </c>
      <c r="BY239" s="29">
        <v>2</v>
      </c>
      <c r="BZ239" s="29">
        <v>2</v>
      </c>
      <c r="CA239" s="29">
        <v>4</v>
      </c>
      <c r="CB239" s="29">
        <v>8</v>
      </c>
      <c r="CC239" s="29">
        <v>0</v>
      </c>
      <c r="CD239" s="29">
        <v>1</v>
      </c>
      <c r="CE239" s="29">
        <v>1</v>
      </c>
      <c r="CG239" s="29">
        <f>(CC239*15)+(CD239*0.8)+(CE239*0.3)+((AW239+AZ239)*15)</f>
        <v>109.85</v>
      </c>
      <c r="CH239" s="29" t="s">
        <v>2221</v>
      </c>
      <c r="CI239" s="29">
        <f>(BL239*1)+(BN239*0.1)+(BP239*0.01)+(BR239*0.1)+(BT239*0.3)+(BV239*0.4)+(CC239*15)+(CD239*0.8)+(CE239*0.3)+((AW239+AZ239)*15)</f>
        <v>122.77</v>
      </c>
      <c r="CJ239" s="29" t="s">
        <v>548</v>
      </c>
      <c r="CK239" s="29" t="s">
        <v>1188</v>
      </c>
      <c r="CL239" s="29" t="s">
        <v>548</v>
      </c>
      <c r="CM239" s="29" t="s">
        <v>550</v>
      </c>
      <c r="CN239" s="29">
        <v>1</v>
      </c>
      <c r="CO239" s="29">
        <v>4</v>
      </c>
      <c r="CP239" s="29">
        <v>0</v>
      </c>
      <c r="CQ239" s="29" t="s">
        <v>548</v>
      </c>
      <c r="CR239" s="29">
        <v>1</v>
      </c>
      <c r="CS239" s="29">
        <v>20</v>
      </c>
      <c r="CT239" s="29" t="s">
        <v>551</v>
      </c>
      <c r="CU239" s="30">
        <v>4.8</v>
      </c>
      <c r="CW239" s="29">
        <v>999</v>
      </c>
      <c r="CX239" s="29" t="s">
        <v>551</v>
      </c>
      <c r="CY239" s="62"/>
      <c r="CZ239" s="29">
        <v>1</v>
      </c>
      <c r="DA239" s="29">
        <v>9.9999997764825821E-3</v>
      </c>
      <c r="DB239" s="29" t="s">
        <v>551</v>
      </c>
      <c r="DC239" s="62">
        <v>2.3999999463558195E-3</v>
      </c>
      <c r="DD239" s="29" t="s">
        <v>546</v>
      </c>
      <c r="DE239" s="29" t="s">
        <v>546</v>
      </c>
      <c r="DF239" s="29" t="s">
        <v>548</v>
      </c>
      <c r="DG239" s="29" t="s">
        <v>548</v>
      </c>
      <c r="DH239" s="29" t="s">
        <v>548</v>
      </c>
      <c r="DI239" s="29">
        <v>3</v>
      </c>
      <c r="DJ239" s="29">
        <v>4</v>
      </c>
      <c r="DK239" s="29" t="s">
        <v>1189</v>
      </c>
      <c r="DL239" s="29" t="s">
        <v>1190</v>
      </c>
      <c r="DM239" s="29">
        <v>-4.3652324676513672</v>
      </c>
      <c r="DN239" s="29">
        <v>35.470294952392578</v>
      </c>
      <c r="DO239" s="29">
        <v>1703.4000244140625</v>
      </c>
      <c r="DP239" s="29">
        <v>15</v>
      </c>
      <c r="DQ239" s="29">
        <v>1705231439</v>
      </c>
      <c r="DR239" s="29" t="s">
        <v>1191</v>
      </c>
      <c r="DS239" s="31">
        <v>42927.345254629632</v>
      </c>
      <c r="DT239" s="31">
        <v>42894.449930555551</v>
      </c>
      <c r="DU239" s="31">
        <v>42927.344421296293</v>
      </c>
      <c r="DV239" s="32">
        <v>42890</v>
      </c>
      <c r="DW239" s="34"/>
      <c r="DX239" s="44">
        <v>2.6315789473684212</v>
      </c>
      <c r="DY239" s="44">
        <v>2.0526315789473686</v>
      </c>
      <c r="DZ239" s="44">
        <v>2.411578947368421</v>
      </c>
      <c r="EA239" s="44">
        <v>2.4392982456140353</v>
      </c>
      <c r="EC239" s="29" t="str">
        <f>IF(EQ239&lt;EP239,"FALSEE",1)</f>
        <v>FALSEE</v>
      </c>
      <c r="EE239" s="29" t="s">
        <v>2171</v>
      </c>
      <c r="EF239" s="29">
        <v>0.15447062253999999</v>
      </c>
      <c r="EG239" s="29" t="str">
        <f>IF(EF239&lt;0.5,"Depression",IF(EF239&lt;2,"Very gentle",IF(EF239&lt;5,"Gentle",IF(EF239&lt;9,"Moderate",IF(EF239&lt;15,"Strong",IF(EF239&lt;30,"Steep",IF(EF239&lt;1,"Very steep")))))))</f>
        <v>Depression</v>
      </c>
      <c r="EH239" s="29" t="s">
        <v>2173</v>
      </c>
      <c r="EI239" s="29">
        <v>-0.18127532303300001</v>
      </c>
      <c r="EJ239" s="43">
        <v>12.658034324600001</v>
      </c>
      <c r="EK239" s="43">
        <f>VLOOKUP(D239,[1]SoilData!$G$15:$K$237,5,FALSE)</f>
        <v>236.42062888236151</v>
      </c>
      <c r="EL239" s="43">
        <f>VLOOKUP(D239,[1]SoilData!$G$245:$K$451,5,FALSE)</f>
        <v>290.75363350755663</v>
      </c>
      <c r="EM239" s="43">
        <f>VLOOKUP(D239,[1]SoilData!$G$15:$M$238,7,FALSE)</f>
        <v>1.599</v>
      </c>
      <c r="EN239" s="43">
        <f>VLOOKUP(D239,[1]SoilData!$G$245:$M$454,7,FALSE)</f>
        <v>2.3410000000000002</v>
      </c>
      <c r="EO239" s="60">
        <f>EM239-EN239</f>
        <v>-0.74200000000000021</v>
      </c>
      <c r="EP239" s="44">
        <f>AVERAGE(DZ239:EA239)</f>
        <v>2.4254385964912282</v>
      </c>
      <c r="EQ239" s="44">
        <f>AVERAGE(DX239:DY239)</f>
        <v>2.3421052631578947</v>
      </c>
      <c r="ER239" s="43">
        <f>EQ239-EP239</f>
        <v>-8.3333333333333481E-2</v>
      </c>
      <c r="ES239" s="64">
        <f>IF(CU239&gt;0.000001,CU239*352,0)</f>
        <v>1689.6</v>
      </c>
      <c r="ET239" s="64">
        <f>IF(DC239&gt;0.0001,DC239*682,0)</f>
        <v>1.6367999634146688</v>
      </c>
      <c r="EU239" s="64">
        <f>CY239*795</f>
        <v>0</v>
      </c>
      <c r="EV239" s="64">
        <f>ES239+ET239+EU239</f>
        <v>1691.2367999634146</v>
      </c>
      <c r="EW239" s="64">
        <f>IF(AA239="YES",3.5*18.2,0)</f>
        <v>63.699999999999996</v>
      </c>
      <c r="EX239" s="64">
        <f>EV239-EW239</f>
        <v>1627.5367999634145</v>
      </c>
    </row>
    <row r="240" spans="1:154" ht="15" x14ac:dyDescent="0.2">
      <c r="A240" s="29" t="s">
        <v>556</v>
      </c>
      <c r="B240" s="29">
        <v>218</v>
      </c>
      <c r="C240" s="29" t="s">
        <v>1120</v>
      </c>
      <c r="D240" s="29" t="s">
        <v>371</v>
      </c>
      <c r="E240" s="29" t="str">
        <f>VLOOKUP(D240,Harvest_2017_Formulae!$C$2:$D$968,2,FALSE)</f>
        <v>ORNGADIDA</v>
      </c>
      <c r="F240" s="29" t="s">
        <v>777</v>
      </c>
      <c r="G240" s="29">
        <v>3</v>
      </c>
      <c r="H240" s="61" t="str">
        <f>IF(G240&lt;0.05,"Homefield",IF(G240&lt;0.5,"Midfield","outfield"))</f>
        <v>outfield</v>
      </c>
      <c r="I240" s="29" t="s">
        <v>557</v>
      </c>
      <c r="J240" s="61" t="s">
        <v>2233</v>
      </c>
      <c r="K240" s="61" t="s">
        <v>2233</v>
      </c>
      <c r="L240" s="67">
        <v>0</v>
      </c>
      <c r="O240" s="29" t="s">
        <v>547</v>
      </c>
      <c r="Q240" s="67">
        <v>1</v>
      </c>
      <c r="R240" s="29" t="s">
        <v>558</v>
      </c>
      <c r="S240" s="29">
        <v>16</v>
      </c>
      <c r="T240" s="29" t="s">
        <v>559</v>
      </c>
      <c r="U240" s="29" t="s">
        <v>560</v>
      </c>
      <c r="W240" s="29" t="s">
        <v>561</v>
      </c>
      <c r="Y240" s="29">
        <v>5000</v>
      </c>
      <c r="Z240" s="29" t="s">
        <v>547</v>
      </c>
      <c r="AA240" s="61" t="s">
        <v>548</v>
      </c>
      <c r="AB240" s="29" t="s">
        <v>568</v>
      </c>
      <c r="AC240" s="67">
        <v>0</v>
      </c>
      <c r="AD240" s="29" t="s">
        <v>547</v>
      </c>
      <c r="AF240" s="29" t="s">
        <v>547</v>
      </c>
      <c r="AG240" s="29" t="s">
        <v>547</v>
      </c>
      <c r="AH240" s="29" t="s">
        <v>548</v>
      </c>
      <c r="AI240" s="29" t="s">
        <v>546</v>
      </c>
      <c r="AJ240" s="29" t="s">
        <v>547</v>
      </c>
      <c r="AK240" s="67">
        <v>1</v>
      </c>
      <c r="AL240" s="29">
        <v>5</v>
      </c>
      <c r="AM240" s="29">
        <v>1</v>
      </c>
      <c r="AN240" s="29">
        <v>24</v>
      </c>
      <c r="AO240" s="29" t="s">
        <v>547</v>
      </c>
      <c r="AP240" s="29" t="s">
        <v>943</v>
      </c>
      <c r="AQ240" s="4">
        <f>Q240+AK240</f>
        <v>2</v>
      </c>
      <c r="AR240" s="4">
        <f>L240+AC240</f>
        <v>0</v>
      </c>
      <c r="AS240" t="str">
        <f>AQ240&amp;AR240</f>
        <v>20</v>
      </c>
      <c r="AT240" s="49">
        <f>AQ240-AR240</f>
        <v>2</v>
      </c>
      <c r="AU240">
        <v>3</v>
      </c>
      <c r="AV240" s="29" t="s">
        <v>548</v>
      </c>
      <c r="AW240" s="29">
        <v>1</v>
      </c>
      <c r="AX240" s="29" t="s">
        <v>548</v>
      </c>
      <c r="AY240" s="29">
        <v>6</v>
      </c>
      <c r="AZ240" s="29">
        <v>18</v>
      </c>
      <c r="BA240" s="29" t="s">
        <v>548</v>
      </c>
      <c r="BB240" s="29" t="s">
        <v>569</v>
      </c>
      <c r="BC240" s="29">
        <v>20</v>
      </c>
      <c r="BD240" s="29">
        <f>AW240+AZ240</f>
        <v>19</v>
      </c>
      <c r="BE240" s="29">
        <f>BD240+BC240</f>
        <v>39</v>
      </c>
      <c r="BF240" s="29" t="s">
        <v>548</v>
      </c>
      <c r="BG240" s="29" t="s">
        <v>548</v>
      </c>
      <c r="BH240" s="29" t="s">
        <v>548</v>
      </c>
      <c r="BI240" s="29" t="s">
        <v>548</v>
      </c>
      <c r="BJ240" s="29" t="s">
        <v>546</v>
      </c>
      <c r="BK240" s="29" t="s">
        <v>546</v>
      </c>
      <c r="BL240" s="29">
        <v>12</v>
      </c>
      <c r="BM240" s="29" t="s">
        <v>549</v>
      </c>
      <c r="BN240" s="29">
        <v>20</v>
      </c>
      <c r="BO240" s="29" t="s">
        <v>549</v>
      </c>
      <c r="BP240" s="29">
        <v>25</v>
      </c>
      <c r="BQ240" s="29" t="s">
        <v>549</v>
      </c>
      <c r="BR240" s="29">
        <v>1</v>
      </c>
      <c r="BS240" s="29" t="s">
        <v>549</v>
      </c>
      <c r="BU240" s="29" t="s">
        <v>547</v>
      </c>
      <c r="BW240" s="29">
        <f>(BL240*1)+(BN240*0.1)+(BP240*0.01)+(BR240*0.1)+(BT240*0.3)+(BV240*0.4)</f>
        <v>14.35</v>
      </c>
      <c r="BX240" s="29" t="s">
        <v>2221</v>
      </c>
      <c r="BY240" s="29">
        <v>4</v>
      </c>
      <c r="BZ240" s="29">
        <v>3</v>
      </c>
      <c r="CA240" s="29">
        <v>2</v>
      </c>
      <c r="CB240" s="29">
        <v>9</v>
      </c>
      <c r="CC240" s="29">
        <v>1</v>
      </c>
      <c r="CD240" s="29">
        <v>0</v>
      </c>
      <c r="CE240" s="29">
        <v>0</v>
      </c>
      <c r="CF240" s="29" t="s">
        <v>547</v>
      </c>
      <c r="CG240" s="29">
        <f>(CC240*15)+(CD240*0.8)+(CE240*0.3)+((AW240+AZ240)*15)</f>
        <v>300</v>
      </c>
      <c r="CH240" s="29" t="s">
        <v>2221</v>
      </c>
      <c r="CI240" s="29">
        <f>(BL240*1)+(BN240*0.1)+(BP240*0.01)+(BR240*0.1)+(BT240*0.3)+(BV240*0.4)+(CC240*15)+(CD240*0.8)+(CE240*0.3)+((AW240+AZ240)*15)</f>
        <v>314.35000000000002</v>
      </c>
      <c r="CJ240" s="29" t="s">
        <v>548</v>
      </c>
      <c r="CK240" s="29" t="s">
        <v>1121</v>
      </c>
      <c r="CL240" s="29" t="s">
        <v>548</v>
      </c>
      <c r="CM240" s="29" t="s">
        <v>550</v>
      </c>
      <c r="CN240" s="29">
        <v>0.25</v>
      </c>
      <c r="CO240" s="29">
        <v>1.75</v>
      </c>
      <c r="CQ240" s="29" t="s">
        <v>548</v>
      </c>
      <c r="CR240" s="29">
        <v>2</v>
      </c>
      <c r="CS240" s="29">
        <v>32</v>
      </c>
      <c r="CT240" s="29" t="s">
        <v>551</v>
      </c>
      <c r="CU240" s="30">
        <v>3.84</v>
      </c>
      <c r="CW240" s="29">
        <v>999</v>
      </c>
      <c r="CX240" s="29" t="s">
        <v>551</v>
      </c>
      <c r="CY240" s="62"/>
      <c r="CZ240" s="29">
        <v>2</v>
      </c>
      <c r="DA240" s="29">
        <v>6</v>
      </c>
      <c r="DB240" s="29" t="s">
        <v>551</v>
      </c>
      <c r="DC240" s="62">
        <v>0.72</v>
      </c>
      <c r="DD240" s="29" t="s">
        <v>546</v>
      </c>
      <c r="DE240" s="29" t="s">
        <v>546</v>
      </c>
      <c r="DF240" s="29" t="s">
        <v>548</v>
      </c>
      <c r="DG240" s="29" t="s">
        <v>548</v>
      </c>
      <c r="DH240" s="29" t="s">
        <v>548</v>
      </c>
      <c r="DI240" s="29">
        <v>3</v>
      </c>
      <c r="DJ240" s="29">
        <v>6</v>
      </c>
      <c r="DK240" s="29" t="s">
        <v>1122</v>
      </c>
      <c r="DL240" s="29" t="s">
        <v>1123</v>
      </c>
      <c r="DM240" s="29">
        <v>-4.2970547676086426</v>
      </c>
      <c r="DN240" s="29">
        <v>35.864608764648438</v>
      </c>
      <c r="DO240" s="29">
        <v>1259.199951171875</v>
      </c>
      <c r="DP240" s="29">
        <v>5</v>
      </c>
      <c r="DQ240" s="29">
        <v>1706031849</v>
      </c>
      <c r="DR240" s="29" t="s">
        <v>1124</v>
      </c>
      <c r="DS240" s="31">
        <v>42950.967465277776</v>
      </c>
      <c r="DT240" s="31">
        <v>42949.563067129631</v>
      </c>
      <c r="DU240" s="31">
        <v>42950.865925925929</v>
      </c>
      <c r="DV240" s="32">
        <v>42798</v>
      </c>
      <c r="DX240" s="44">
        <v>4.7406240487062403</v>
      </c>
      <c r="DY240" s="44">
        <v>4.5626484018264843</v>
      </c>
      <c r="DZ240" s="44">
        <v>4.4186449864498645</v>
      </c>
      <c r="EA240" s="44">
        <v>2.1803794037940376</v>
      </c>
      <c r="EC240" s="29">
        <f>IF(EQ240&lt;EP240,"FALSEE",1)</f>
        <v>1</v>
      </c>
      <c r="EE240" s="29" t="s">
        <v>2171</v>
      </c>
      <c r="EF240" s="29">
        <v>0.93952620029400002</v>
      </c>
      <c r="EG240" s="29" t="str">
        <f>IF(EF240&lt;0.5,"Depression",IF(EF240&lt;2,"Very gentle",IF(EF240&lt;5,"Gentle",IF(EF240&lt;9,"Moderate",IF(EF240&lt;15,"Strong",IF(EF240&lt;30,"Steep",IF(EF240&lt;1,"Very steep")))))))</f>
        <v>Very gentle</v>
      </c>
      <c r="EH240" s="29" t="s">
        <v>2173</v>
      </c>
      <c r="EI240" s="29">
        <v>0.18129228055499999</v>
      </c>
      <c r="EJ240" s="43">
        <v>10.237704277000001</v>
      </c>
      <c r="EK240" s="43">
        <f>VLOOKUP(D240,[1]SoilData!$G$15:$K$237,5,FALSE)</f>
        <v>361.88739506112773</v>
      </c>
      <c r="EL240" s="43">
        <f>VLOOKUP(D240,[1]SoilData!$G$245:$K$451,5,FALSE)</f>
        <v>490.1628511629778</v>
      </c>
      <c r="EM240" s="43">
        <f>VLOOKUP(D240,[1]SoilData!$G$15:$M$238,7,FALSE)</f>
        <v>1.5309999999999999</v>
      </c>
      <c r="EN240" s="43">
        <f>VLOOKUP(D240,[1]SoilData!$G$245:$M$454,7,FALSE)</f>
        <v>1.464</v>
      </c>
      <c r="EO240" s="60">
        <f>EM240-EN240</f>
        <v>6.6999999999999948E-2</v>
      </c>
      <c r="EP240" s="44">
        <f>AVERAGE(DZ240:EA240)</f>
        <v>3.299512195121951</v>
      </c>
      <c r="EQ240" s="44">
        <f>AVERAGE(DX240:DY240)</f>
        <v>4.6516362252663619</v>
      </c>
      <c r="ER240" s="43">
        <f>EQ240-EP240</f>
        <v>1.3521240301444108</v>
      </c>
      <c r="ES240" s="64">
        <f>IF(CU240&gt;0.000001,CU240*352,0)</f>
        <v>1351.6799999999998</v>
      </c>
      <c r="ET240" s="64">
        <f>IF(DC240&gt;0.0001,DC240*682,0)</f>
        <v>491.03999999999996</v>
      </c>
      <c r="EU240" s="64">
        <f>CY240*795</f>
        <v>0</v>
      </c>
      <c r="EV240" s="64">
        <f>ES240+ET240+EU240</f>
        <v>1842.7199999999998</v>
      </c>
      <c r="EW240" s="64">
        <f>IF(AA240="YES",3.5*18.2,0)</f>
        <v>63.699999999999996</v>
      </c>
      <c r="EX240" s="64">
        <f>EV240-EW240</f>
        <v>1779.0199999999998</v>
      </c>
    </row>
    <row r="241" spans="1:154" ht="15" x14ac:dyDescent="0.2">
      <c r="A241" s="29" t="s">
        <v>789</v>
      </c>
      <c r="B241" s="29">
        <v>59</v>
      </c>
      <c r="C241" s="29" t="s">
        <v>205</v>
      </c>
      <c r="D241" s="29" t="s">
        <v>205</v>
      </c>
      <c r="E241" s="29" t="str">
        <f>VLOOKUP(D241,Harvest_2017_Formulae!$C$2:$D$968,2,FALSE)</f>
        <v>MANDI</v>
      </c>
      <c r="F241" s="29" t="s">
        <v>1014</v>
      </c>
      <c r="G241" s="29">
        <v>2</v>
      </c>
      <c r="H241" s="61" t="str">
        <f>IF(G241&lt;0.05,"Homefield",IF(G241&lt;0.5,"Midfield","outfield"))</f>
        <v>outfield</v>
      </c>
      <c r="I241" s="29" t="s">
        <v>557</v>
      </c>
      <c r="J241" s="61" t="s">
        <v>2233</v>
      </c>
      <c r="K241" s="61" t="s">
        <v>2233</v>
      </c>
      <c r="L241" s="67">
        <v>0</v>
      </c>
      <c r="O241" s="29" t="s">
        <v>547</v>
      </c>
      <c r="Q241" s="67">
        <v>1</v>
      </c>
      <c r="R241" s="29" t="s">
        <v>791</v>
      </c>
      <c r="S241" s="29">
        <v>3</v>
      </c>
      <c r="T241" s="29">
        <v>0.10000000149011612</v>
      </c>
      <c r="U241" s="29" t="s">
        <v>560</v>
      </c>
      <c r="W241" s="29" t="s">
        <v>561</v>
      </c>
      <c r="Y241" s="29">
        <v>10000</v>
      </c>
      <c r="Z241" s="29" t="s">
        <v>547</v>
      </c>
      <c r="AA241" s="61" t="s">
        <v>548</v>
      </c>
      <c r="AB241" s="29" t="s">
        <v>568</v>
      </c>
      <c r="AC241" s="67">
        <v>0</v>
      </c>
      <c r="AD241" s="29" t="s">
        <v>547</v>
      </c>
      <c r="AF241" s="29" t="s">
        <v>547</v>
      </c>
      <c r="AG241" s="29" t="s">
        <v>547</v>
      </c>
      <c r="AH241" s="29" t="s">
        <v>548</v>
      </c>
      <c r="AI241" s="29" t="s">
        <v>546</v>
      </c>
      <c r="AK241" s="67">
        <v>1</v>
      </c>
      <c r="AL241" s="29">
        <v>2</v>
      </c>
      <c r="AM241" s="29">
        <v>1</v>
      </c>
      <c r="AN241" s="29">
        <v>10</v>
      </c>
      <c r="AO241" s="29">
        <v>10000</v>
      </c>
      <c r="AP241" s="29" t="s">
        <v>547</v>
      </c>
      <c r="AQ241" s="4">
        <f>Q241+AK241</f>
        <v>2</v>
      </c>
      <c r="AR241" s="4">
        <f>L241+AC241</f>
        <v>0</v>
      </c>
      <c r="AS241" t="str">
        <f>AQ241&amp;AR241</f>
        <v>20</v>
      </c>
      <c r="AT241" s="49">
        <f>AQ241-AR241</f>
        <v>2</v>
      </c>
      <c r="AU241">
        <v>3</v>
      </c>
      <c r="AV241" s="29" t="s">
        <v>548</v>
      </c>
      <c r="AW241" s="29">
        <v>1</v>
      </c>
      <c r="AX241" s="29" t="s">
        <v>548</v>
      </c>
      <c r="AY241" s="29">
        <v>6</v>
      </c>
      <c r="AZ241" s="29">
        <v>16</v>
      </c>
      <c r="BA241" s="29" t="s">
        <v>548</v>
      </c>
      <c r="BB241" s="29" t="s">
        <v>569</v>
      </c>
      <c r="BC241" s="29">
        <v>20</v>
      </c>
      <c r="BD241" s="29">
        <f>AW241+AZ241</f>
        <v>17</v>
      </c>
      <c r="BE241" s="29">
        <f>BD241+BC241</f>
        <v>37</v>
      </c>
      <c r="BF241" s="29" t="s">
        <v>548</v>
      </c>
      <c r="BG241" s="29" t="s">
        <v>548</v>
      </c>
      <c r="BH241" s="29" t="s">
        <v>548</v>
      </c>
      <c r="BI241" s="29" t="s">
        <v>548</v>
      </c>
      <c r="BJ241" s="29" t="s">
        <v>546</v>
      </c>
      <c r="BK241" s="29" t="s">
        <v>546</v>
      </c>
      <c r="BL241" s="29">
        <v>15</v>
      </c>
      <c r="BM241" s="29" t="s">
        <v>562</v>
      </c>
      <c r="BN241" s="29">
        <v>2</v>
      </c>
      <c r="BO241" s="29" t="s">
        <v>580</v>
      </c>
      <c r="BP241" s="29">
        <v>18</v>
      </c>
      <c r="BQ241" s="29" t="s">
        <v>580</v>
      </c>
      <c r="BR241" s="29">
        <v>3</v>
      </c>
      <c r="BS241" s="29" t="s">
        <v>580</v>
      </c>
      <c r="BU241" s="29" t="s">
        <v>547</v>
      </c>
      <c r="BW241" s="29">
        <f>(BL241*1)+(BN241*0.1)+(BP241*0.01)+(BR241*0.1)+(BT241*0.3)+(BV241*0.4)</f>
        <v>15.68</v>
      </c>
      <c r="BX241" s="29" t="s">
        <v>2221</v>
      </c>
      <c r="BY241" s="29">
        <v>3</v>
      </c>
      <c r="BZ241" s="29">
        <v>3</v>
      </c>
      <c r="CA241" s="29">
        <v>0</v>
      </c>
      <c r="CB241" s="29">
        <v>6</v>
      </c>
      <c r="CC241" s="29">
        <v>0</v>
      </c>
      <c r="CD241" s="29">
        <v>1</v>
      </c>
      <c r="CE241" s="29">
        <v>1</v>
      </c>
      <c r="CG241" s="29">
        <f>(CC241*15)+(CD241*0.8)+(CE241*0.3)+((AW241+AZ241)*15)</f>
        <v>256.10000000000002</v>
      </c>
      <c r="CH241" s="29" t="s">
        <v>2221</v>
      </c>
      <c r="CI241" s="29">
        <f>(BL241*1)+(BN241*0.1)+(BP241*0.01)+(BR241*0.1)+(BT241*0.3)+(BV241*0.4)+(CC241*15)+(CD241*0.8)+(CE241*0.3)+((AW241+AZ241)*15)</f>
        <v>271.77999999999997</v>
      </c>
      <c r="CJ241" s="29" t="s">
        <v>548</v>
      </c>
      <c r="CK241" s="29" t="s">
        <v>1054</v>
      </c>
      <c r="CL241" s="29" t="s">
        <v>548</v>
      </c>
      <c r="CM241" s="29" t="s">
        <v>793</v>
      </c>
      <c r="CN241" s="29">
        <v>0.25</v>
      </c>
      <c r="CO241" s="29">
        <v>18.75</v>
      </c>
      <c r="CP241" s="29">
        <v>0</v>
      </c>
      <c r="CQ241" s="29" t="s">
        <v>548</v>
      </c>
      <c r="CR241" s="29">
        <v>1</v>
      </c>
      <c r="CS241" s="29">
        <v>20</v>
      </c>
      <c r="CT241" s="29" t="s">
        <v>551</v>
      </c>
      <c r="CU241" s="30">
        <v>4.8</v>
      </c>
      <c r="CW241" s="29">
        <v>999</v>
      </c>
      <c r="CX241" s="29" t="s">
        <v>551</v>
      </c>
      <c r="CY241" s="62"/>
      <c r="DA241" s="29">
        <v>999</v>
      </c>
      <c r="DB241" s="29" t="s">
        <v>551</v>
      </c>
      <c r="DC241" s="62"/>
      <c r="DD241" s="29" t="s">
        <v>548</v>
      </c>
      <c r="DE241" s="29" t="s">
        <v>546</v>
      </c>
      <c r="DF241" s="29" t="s">
        <v>548</v>
      </c>
      <c r="DG241" s="29" t="s">
        <v>546</v>
      </c>
      <c r="DH241" s="29" t="s">
        <v>548</v>
      </c>
      <c r="DI241" s="29">
        <v>3</v>
      </c>
      <c r="DJ241" s="29">
        <v>4</v>
      </c>
      <c r="DK241" s="29" t="s">
        <v>1055</v>
      </c>
      <c r="DL241" s="29" t="s">
        <v>1056</v>
      </c>
      <c r="DM241" s="29">
        <v>-4.3316545486450195</v>
      </c>
      <c r="DN241" s="29">
        <v>35.45123291015625</v>
      </c>
      <c r="DO241" s="29">
        <v>1566</v>
      </c>
      <c r="DP241" s="29">
        <v>5</v>
      </c>
      <c r="DQ241" s="29">
        <v>1705231439</v>
      </c>
      <c r="DR241" s="29" t="s">
        <v>1057</v>
      </c>
      <c r="DS241" s="31">
        <v>42923.381840277776</v>
      </c>
      <c r="DT241" s="31">
        <v>42908.658020833333</v>
      </c>
      <c r="DU241" s="31">
        <v>42908.673587962963</v>
      </c>
      <c r="DV241" s="32">
        <v>42779</v>
      </c>
      <c r="DX241" s="44">
        <v>3.6366013071895424</v>
      </c>
      <c r="DY241" s="44">
        <v>2.9568627450980394</v>
      </c>
      <c r="DZ241" s="44">
        <v>2.4099999999999997</v>
      </c>
      <c r="EA241" s="44">
        <v>1.9748611111111112</v>
      </c>
      <c r="EC241" s="29">
        <f>IF(EQ241&lt;EP241,"FALSEE",1)</f>
        <v>1</v>
      </c>
      <c r="EE241" s="29" t="s">
        <v>2171</v>
      </c>
      <c r="EF241" s="29">
        <v>0</v>
      </c>
      <c r="EG241" s="29" t="str">
        <f>IF(EF241&lt;0.5,"Depression",IF(EF241&lt;2,"Very gentle",IF(EF241&lt;5,"Gentle",IF(EF241&lt;9,"Moderate",IF(EF241&lt;15,"Strong",IF(EF241&lt;30,"Steep",IF(EF241&lt;1,"Very steep")))))))</f>
        <v>Depression</v>
      </c>
      <c r="EH241" s="29" t="s">
        <v>2173</v>
      </c>
      <c r="EI241" s="29">
        <v>8.4776775111099995E-6</v>
      </c>
      <c r="EJ241" s="43">
        <v>11.4374370575</v>
      </c>
      <c r="EK241" s="43">
        <f>VLOOKUP(D241,[1]SoilData!$G$15:$K$237,5,FALSE)</f>
        <v>466.24371358405176</v>
      </c>
      <c r="EL241" s="43"/>
      <c r="EM241" s="43">
        <f>VLOOKUP(D241,[1]SoilData!$G$15:$M$238,7,FALSE)</f>
        <v>1.9</v>
      </c>
      <c r="EN241" s="43"/>
      <c r="EO241" s="60"/>
      <c r="EP241" s="44">
        <f>AVERAGE(DZ241:EA241)</f>
        <v>2.1924305555555552</v>
      </c>
      <c r="EQ241" s="44">
        <f>AVERAGE(DX241:DY241)</f>
        <v>3.2967320261437907</v>
      </c>
      <c r="ER241" s="43">
        <f>EQ241-EP241</f>
        <v>1.1043014705882355</v>
      </c>
      <c r="ES241" s="64">
        <f>IF(CU241&gt;0.000001,CU241*352,0)</f>
        <v>1689.6</v>
      </c>
      <c r="ET241" s="64">
        <f>IF(DC241&gt;0.0001,DC241*682,0)</f>
        <v>0</v>
      </c>
      <c r="EU241" s="64">
        <f>CY241*795</f>
        <v>0</v>
      </c>
      <c r="EV241" s="64">
        <f>ES241+ET241+EU241</f>
        <v>1689.6</v>
      </c>
      <c r="EW241" s="64">
        <f>IF(AA241="YES",3.5*18.2,0)</f>
        <v>63.699999999999996</v>
      </c>
      <c r="EX241" s="64">
        <f>EV241-EW241</f>
        <v>1625.8999999999999</v>
      </c>
    </row>
    <row r="242" spans="1:154" ht="15" x14ac:dyDescent="0.2">
      <c r="A242" s="29" t="s">
        <v>789</v>
      </c>
      <c r="B242" s="29">
        <v>65</v>
      </c>
      <c r="C242" s="29" t="s">
        <v>836</v>
      </c>
      <c r="D242" s="29" t="s">
        <v>144</v>
      </c>
      <c r="E242" s="29" t="str">
        <f>VLOOKUP(D242,Harvest_2017_Formulae!$C$2:$D$968,2,FALSE)</f>
        <v>Endanachan</v>
      </c>
      <c r="F242" s="29" t="s">
        <v>777</v>
      </c>
      <c r="G242" s="29">
        <v>0.5</v>
      </c>
      <c r="H242" s="61" t="str">
        <f>IF(G242&lt;0.05,"Homefield",IF(G242&lt;0.5,"Midfield","outfield"))</f>
        <v>outfield</v>
      </c>
      <c r="I242" s="29" t="s">
        <v>557</v>
      </c>
      <c r="J242" s="61" t="s">
        <v>2233</v>
      </c>
      <c r="K242" s="61" t="s">
        <v>2233</v>
      </c>
      <c r="L242" s="67">
        <v>0</v>
      </c>
      <c r="O242" s="29" t="s">
        <v>547</v>
      </c>
      <c r="Q242" s="67">
        <v>1</v>
      </c>
      <c r="R242" s="29" t="s">
        <v>837</v>
      </c>
      <c r="S242" s="29">
        <v>3</v>
      </c>
      <c r="T242" s="29">
        <v>0.10000000149011612</v>
      </c>
      <c r="U242" s="29" t="s">
        <v>560</v>
      </c>
      <c r="W242" s="29" t="s">
        <v>561</v>
      </c>
      <c r="Y242" s="29">
        <v>5000</v>
      </c>
      <c r="Z242" s="29" t="s">
        <v>547</v>
      </c>
      <c r="AA242" s="61" t="s">
        <v>548</v>
      </c>
      <c r="AB242" s="29" t="s">
        <v>568</v>
      </c>
      <c r="AC242" s="67">
        <v>0</v>
      </c>
      <c r="AD242" s="29" t="s">
        <v>547</v>
      </c>
      <c r="AF242" s="29" t="s">
        <v>547</v>
      </c>
      <c r="AG242" s="29" t="s">
        <v>547</v>
      </c>
      <c r="AH242" s="29" t="s">
        <v>548</v>
      </c>
      <c r="AI242" s="29" t="s">
        <v>546</v>
      </c>
      <c r="AK242" s="67">
        <v>1</v>
      </c>
      <c r="AL242" s="29">
        <v>2</v>
      </c>
      <c r="AM242" s="29">
        <v>1</v>
      </c>
      <c r="AN242" s="29">
        <v>1</v>
      </c>
      <c r="AO242" s="29">
        <v>40000</v>
      </c>
      <c r="AP242" s="29" t="s">
        <v>547</v>
      </c>
      <c r="AQ242" s="4">
        <f>Q242+AK242</f>
        <v>2</v>
      </c>
      <c r="AR242" s="4">
        <f>L242+AC242</f>
        <v>0</v>
      </c>
      <c r="AS242" t="str">
        <f>AQ242&amp;AR242</f>
        <v>20</v>
      </c>
      <c r="AT242" s="49">
        <f>AQ242-AR242</f>
        <v>2</v>
      </c>
      <c r="AU242">
        <v>3</v>
      </c>
      <c r="AV242" s="29" t="s">
        <v>548</v>
      </c>
      <c r="AW242" s="29">
        <v>1.5</v>
      </c>
      <c r="AX242" s="29" t="s">
        <v>548</v>
      </c>
      <c r="AY242" s="29">
        <v>2</v>
      </c>
      <c r="AZ242" s="29">
        <v>3</v>
      </c>
      <c r="BA242" s="29" t="s">
        <v>546</v>
      </c>
      <c r="BB242" s="29" t="s">
        <v>547</v>
      </c>
      <c r="BD242" s="29">
        <f>AW242+AZ242</f>
        <v>4.5</v>
      </c>
      <c r="BE242" s="29">
        <f>BD242+BC242</f>
        <v>4.5</v>
      </c>
      <c r="BF242" s="29" t="s">
        <v>548</v>
      </c>
      <c r="BG242" s="29" t="s">
        <v>548</v>
      </c>
      <c r="BH242" s="29" t="s">
        <v>548</v>
      </c>
      <c r="BI242" s="29" t="s">
        <v>546</v>
      </c>
      <c r="BJ242" s="29" t="s">
        <v>546</v>
      </c>
      <c r="BK242" s="29" t="s">
        <v>548</v>
      </c>
      <c r="BL242" s="29">
        <v>17</v>
      </c>
      <c r="BM242" s="29" t="s">
        <v>549</v>
      </c>
      <c r="BN242" s="29">
        <v>2</v>
      </c>
      <c r="BO242" s="29" t="s">
        <v>580</v>
      </c>
      <c r="BP242" s="29">
        <v>14</v>
      </c>
      <c r="BQ242" s="29" t="s">
        <v>580</v>
      </c>
      <c r="BS242" s="29" t="s">
        <v>547</v>
      </c>
      <c r="BU242" s="29" t="s">
        <v>547</v>
      </c>
      <c r="BV242" s="29">
        <v>1</v>
      </c>
      <c r="BW242" s="29">
        <f>(BL242*1)+(BN242*0.1)+(BP242*0.01)+(BR242*0.1)+(BT242*0.3)+(BV242*0.4)</f>
        <v>17.739999999999998</v>
      </c>
      <c r="BX242" s="29" t="s">
        <v>2221</v>
      </c>
      <c r="BY242" s="29">
        <v>2</v>
      </c>
      <c r="BZ242" s="29">
        <v>3</v>
      </c>
      <c r="CA242" s="29">
        <v>7</v>
      </c>
      <c r="CB242" s="29">
        <v>12</v>
      </c>
      <c r="CC242" s="29">
        <v>0</v>
      </c>
      <c r="CD242" s="29">
        <v>0</v>
      </c>
      <c r="CE242" s="29">
        <v>1</v>
      </c>
      <c r="CG242" s="29">
        <f>(CC242*15)+(CD242*0.8)+(CE242*0.3)+((AW242+AZ242)*15)</f>
        <v>67.8</v>
      </c>
      <c r="CH242" s="29" t="s">
        <v>2221</v>
      </c>
      <c r="CI242" s="29">
        <f>(BL242*1)+(BN242*0.1)+(BP242*0.01)+(BR242*0.1)+(BT242*0.3)+(BV242*0.4)+(CC242*15)+(CD242*0.8)+(CE242*0.3)+((AW242+AZ242)*15)</f>
        <v>85.539999999999992</v>
      </c>
      <c r="CJ242" s="29" t="s">
        <v>548</v>
      </c>
      <c r="CK242" s="29" t="s">
        <v>797</v>
      </c>
      <c r="CL242" s="29" t="s">
        <v>548</v>
      </c>
      <c r="CM242" s="29" t="s">
        <v>793</v>
      </c>
      <c r="CN242" s="29">
        <v>0.5</v>
      </c>
      <c r="CO242" s="29">
        <v>4</v>
      </c>
      <c r="CP242" s="29">
        <v>0</v>
      </c>
      <c r="CQ242" s="29" t="s">
        <v>546</v>
      </c>
      <c r="CR242" s="29">
        <v>1</v>
      </c>
      <c r="CS242" s="29">
        <v>15</v>
      </c>
      <c r="CT242" s="29" t="s">
        <v>551</v>
      </c>
      <c r="CU242" s="30">
        <v>3.5999999999999996</v>
      </c>
      <c r="CW242" s="29">
        <v>999</v>
      </c>
      <c r="CX242" s="29" t="s">
        <v>551</v>
      </c>
      <c r="CY242" s="62"/>
      <c r="CZ242" s="29">
        <v>1</v>
      </c>
      <c r="DA242" s="29">
        <v>4</v>
      </c>
      <c r="DB242" s="29" t="s">
        <v>551</v>
      </c>
      <c r="DC242" s="62">
        <v>0.96</v>
      </c>
      <c r="DD242" s="29" t="s">
        <v>546</v>
      </c>
      <c r="DE242" s="29" t="s">
        <v>546</v>
      </c>
      <c r="DF242" s="29" t="s">
        <v>546</v>
      </c>
      <c r="DG242" s="29" t="s">
        <v>546</v>
      </c>
      <c r="DH242" s="29" t="s">
        <v>546</v>
      </c>
      <c r="DI242" s="29">
        <v>0</v>
      </c>
      <c r="DJ242" s="29">
        <v>3</v>
      </c>
      <c r="DK242" s="29" t="s">
        <v>838</v>
      </c>
      <c r="DL242" s="29" t="s">
        <v>839</v>
      </c>
      <c r="DM242" s="29">
        <v>-4.353522777557373</v>
      </c>
      <c r="DN242" s="29">
        <v>35.700599670410156</v>
      </c>
      <c r="DO242" s="29">
        <v>1381.4000244140625</v>
      </c>
      <c r="DP242" s="29">
        <v>10</v>
      </c>
      <c r="DQ242" s="29">
        <v>1705231439</v>
      </c>
      <c r="DR242" s="29" t="s">
        <v>840</v>
      </c>
      <c r="DS242" s="31">
        <v>42923.387060185181</v>
      </c>
      <c r="DT242" s="31">
        <v>42901.656828703708</v>
      </c>
      <c r="DU242" s="31">
        <v>42923.385995370365</v>
      </c>
      <c r="DV242" s="32">
        <v>42768</v>
      </c>
      <c r="DX242" s="44">
        <v>7.3817333333333339</v>
      </c>
      <c r="DY242" s="44">
        <v>7.3497777777777769</v>
      </c>
      <c r="DZ242" s="44">
        <v>4.2549019607843137</v>
      </c>
      <c r="EA242" s="44">
        <v>6.348039215686275</v>
      </c>
      <c r="EC242" s="29">
        <f>IF(EQ242&lt;EP242,"FALSEE",1)</f>
        <v>1</v>
      </c>
      <c r="EE242" s="29" t="s">
        <v>2171</v>
      </c>
      <c r="EF242" s="29">
        <v>4.2408928871200002</v>
      </c>
      <c r="EG242" s="29" t="str">
        <f>IF(EF242&lt;0.5,"Depression",IF(EF242&lt;2,"Very gentle",IF(EF242&lt;5,"Gentle",IF(EF242&lt;9,"Moderate",IF(EF242&lt;15,"Strong",IF(EF242&lt;30,"Steep",IF(EF242&lt;1,"Very steep")))))))</f>
        <v>Gentle</v>
      </c>
      <c r="EH242" s="29" t="s">
        <v>2177</v>
      </c>
      <c r="EI242" s="29">
        <v>0.815785527229</v>
      </c>
      <c r="EJ242" s="43">
        <v>7.5383791923499999</v>
      </c>
      <c r="EK242" s="43">
        <f>VLOOKUP(D242,[1]SoilData!$G$15:$K$237,5,FALSE)</f>
        <v>38.517417055905945</v>
      </c>
      <c r="EL242" s="43">
        <f>VLOOKUP(D242,[1]SoilData!$G$245:$K$451,5,FALSE)</f>
        <v>284.93883565271835</v>
      </c>
      <c r="EM242" s="43">
        <f>VLOOKUP(D242,[1]SoilData!$G$15:$M$238,7,FALSE)</f>
        <v>1.153</v>
      </c>
      <c r="EN242" s="43">
        <f>VLOOKUP(D242,[1]SoilData!$G$245:$M$454,7,FALSE)</f>
        <v>0.95799999999999996</v>
      </c>
      <c r="EO242" s="60">
        <f>EM242-EN242</f>
        <v>0.19500000000000006</v>
      </c>
      <c r="EP242" s="44">
        <f>AVERAGE(DZ242:EA242)</f>
        <v>5.3014705882352944</v>
      </c>
      <c r="EQ242" s="44">
        <f>AVERAGE(DX242:DY242)</f>
        <v>7.3657555555555554</v>
      </c>
      <c r="ER242" s="43">
        <f>EQ242-EP242</f>
        <v>2.064284967320261</v>
      </c>
      <c r="ES242" s="64">
        <f>IF(CU242&gt;0.000001,CU242*352,0)</f>
        <v>1267.1999999999998</v>
      </c>
      <c r="ET242" s="64">
        <f>IF(DC242&gt;0.0001,DC242*682,0)</f>
        <v>654.72</v>
      </c>
      <c r="EU242" s="64">
        <f>CY242*795</f>
        <v>0</v>
      </c>
      <c r="EV242" s="64">
        <f>ES242+ET242+EU242</f>
        <v>1921.9199999999998</v>
      </c>
      <c r="EW242" s="64">
        <f>IF(AA242="YES",3.5*18.2,0)</f>
        <v>63.699999999999996</v>
      </c>
      <c r="EX242" s="64">
        <f>EV242-EW242</f>
        <v>1858.2199999999998</v>
      </c>
    </row>
    <row r="243" spans="1:154" ht="15" x14ac:dyDescent="0.2">
      <c r="A243" s="29" t="s">
        <v>544</v>
      </c>
      <c r="B243" s="29">
        <v>1</v>
      </c>
      <c r="C243" s="29" t="s">
        <v>377</v>
      </c>
      <c r="D243" s="29" t="s">
        <v>377</v>
      </c>
      <c r="E243" s="29" t="str">
        <f>VLOOKUP(D243,Harvest_2017_Formulae!$C$2:$D$968,2,FALSE)</f>
        <v>ORNGADIDA</v>
      </c>
      <c r="F243" s="29" t="s">
        <v>777</v>
      </c>
      <c r="G243" s="29">
        <v>1.25</v>
      </c>
      <c r="H243" s="61" t="str">
        <f>IF(G243&lt;0.05,"Homefield",IF(G243&lt;0.5,"Midfield","outfield"))</f>
        <v>outfield</v>
      </c>
      <c r="I243" s="29" t="s">
        <v>557</v>
      </c>
      <c r="J243" s="61" t="s">
        <v>2234</v>
      </c>
      <c r="K243" s="61" t="s">
        <v>2234</v>
      </c>
      <c r="L243" s="67">
        <v>0</v>
      </c>
      <c r="O243" s="29" t="s">
        <v>547</v>
      </c>
      <c r="Q243" s="67">
        <v>1</v>
      </c>
      <c r="R243" s="29" t="s">
        <v>615</v>
      </c>
      <c r="S243" s="29">
        <v>20</v>
      </c>
      <c r="T243" s="29">
        <v>1.5</v>
      </c>
      <c r="U243" s="29" t="s">
        <v>560</v>
      </c>
      <c r="W243" s="29" t="s">
        <v>819</v>
      </c>
      <c r="X243" s="29">
        <v>1</v>
      </c>
      <c r="Y243" s="29">
        <v>3000</v>
      </c>
      <c r="Z243" s="29" t="s">
        <v>547</v>
      </c>
      <c r="AA243" s="61" t="s">
        <v>548</v>
      </c>
      <c r="AB243" s="29" t="s">
        <v>568</v>
      </c>
      <c r="AC243" s="67">
        <v>0</v>
      </c>
      <c r="AD243" s="29" t="s">
        <v>547</v>
      </c>
      <c r="AF243" s="29" t="s">
        <v>547</v>
      </c>
      <c r="AG243" s="29" t="s">
        <v>547</v>
      </c>
      <c r="AH243" s="29" t="s">
        <v>546</v>
      </c>
      <c r="AI243" s="29" t="s">
        <v>548</v>
      </c>
      <c r="AJ243" s="29" t="s">
        <v>1167</v>
      </c>
      <c r="AK243" s="67">
        <v>1</v>
      </c>
      <c r="AL243" s="29">
        <v>5</v>
      </c>
      <c r="AM243" s="29">
        <v>1</v>
      </c>
      <c r="AN243" s="29">
        <v>10</v>
      </c>
      <c r="AO243" s="29" t="s">
        <v>547</v>
      </c>
      <c r="AP243" s="29" t="s">
        <v>825</v>
      </c>
      <c r="AQ243" s="4">
        <f>Q243+AK243</f>
        <v>2</v>
      </c>
      <c r="AR243" s="4">
        <f>L243+AC243</f>
        <v>0</v>
      </c>
      <c r="AS243" t="str">
        <f>AQ243&amp;AR243</f>
        <v>20</v>
      </c>
      <c r="AT243" s="49">
        <f>AQ243-AR243</f>
        <v>2</v>
      </c>
      <c r="AU243">
        <v>3</v>
      </c>
      <c r="AV243" s="29" t="s">
        <v>548</v>
      </c>
      <c r="AW243" s="29">
        <v>1</v>
      </c>
      <c r="AX243" s="29" t="s">
        <v>548</v>
      </c>
      <c r="AY243" s="29">
        <v>3</v>
      </c>
      <c r="AZ243" s="29">
        <v>7</v>
      </c>
      <c r="BA243" s="29" t="s">
        <v>546</v>
      </c>
      <c r="BB243" s="29" t="s">
        <v>547</v>
      </c>
      <c r="BD243" s="29">
        <f>AW243+AZ243</f>
        <v>8</v>
      </c>
      <c r="BE243" s="29">
        <f>BD243+BC243</f>
        <v>8</v>
      </c>
      <c r="BF243" s="29" t="s">
        <v>548</v>
      </c>
      <c r="BG243" s="29" t="s">
        <v>546</v>
      </c>
      <c r="BH243" s="29" t="s">
        <v>548</v>
      </c>
      <c r="BI243" s="29" t="s">
        <v>546</v>
      </c>
      <c r="BJ243" s="29" t="s">
        <v>546</v>
      </c>
      <c r="BK243" s="29" t="s">
        <v>546</v>
      </c>
      <c r="BL243" s="29">
        <v>18</v>
      </c>
      <c r="BM243" s="29" t="s">
        <v>549</v>
      </c>
      <c r="BO243" s="29" t="s">
        <v>547</v>
      </c>
      <c r="BP243" s="29">
        <v>10</v>
      </c>
      <c r="BQ243" s="29" t="s">
        <v>549</v>
      </c>
      <c r="BS243" s="29" t="s">
        <v>547</v>
      </c>
      <c r="BU243" s="29" t="s">
        <v>547</v>
      </c>
      <c r="BW243" s="29">
        <f>(BL243*1)+(BN243*0.1)+(BP243*0.01)+(BR243*0.1)+(BT243*0.3)+(BV243*0.4)</f>
        <v>18.100000000000001</v>
      </c>
      <c r="BX243" s="29" t="s">
        <v>2221</v>
      </c>
      <c r="BY243" s="29">
        <v>5</v>
      </c>
      <c r="BZ243" s="29">
        <v>1</v>
      </c>
      <c r="CA243" s="29">
        <v>1</v>
      </c>
      <c r="CB243" s="29">
        <v>7</v>
      </c>
      <c r="CC243" s="29">
        <v>0</v>
      </c>
      <c r="CD243" s="29">
        <v>1</v>
      </c>
      <c r="CE243" s="29">
        <v>12</v>
      </c>
      <c r="CF243" s="29" t="s">
        <v>547</v>
      </c>
      <c r="CG243" s="29">
        <f>(CC243*15)+(CD243*0.8)+(CE243*0.3)+((AW243+AZ243)*15)</f>
        <v>124.4</v>
      </c>
      <c r="CH243" s="29" t="s">
        <v>2221</v>
      </c>
      <c r="CI243" s="29">
        <f>(BL243*1)+(BN243*0.1)+(BP243*0.01)+(BR243*0.1)+(BT243*0.3)+(BV243*0.4)+(CC243*15)+(CD243*0.8)+(CE243*0.3)+((AW243+AZ243)*15)</f>
        <v>142.5</v>
      </c>
      <c r="CJ243" s="29" t="s">
        <v>548</v>
      </c>
      <c r="CK243" s="29" t="s">
        <v>563</v>
      </c>
      <c r="CL243" s="29" t="s">
        <v>548</v>
      </c>
      <c r="CM243" s="29" t="s">
        <v>550</v>
      </c>
      <c r="CN243" s="29">
        <v>0.25</v>
      </c>
      <c r="CP243" s="29">
        <v>1.25</v>
      </c>
      <c r="CQ243" s="29" t="s">
        <v>548</v>
      </c>
      <c r="CR243" s="29">
        <v>1</v>
      </c>
      <c r="CS243" s="29">
        <v>15</v>
      </c>
      <c r="CT243" s="29" t="s">
        <v>551</v>
      </c>
      <c r="CU243" s="30">
        <v>3.5999999999999996</v>
      </c>
      <c r="CW243" s="29">
        <v>999</v>
      </c>
      <c r="CX243" s="29" t="s">
        <v>551</v>
      </c>
      <c r="CY243" s="62"/>
      <c r="CZ243" s="29">
        <v>1</v>
      </c>
      <c r="DA243" s="29">
        <v>1</v>
      </c>
      <c r="DB243" s="29" t="s">
        <v>551</v>
      </c>
      <c r="DC243" s="62">
        <v>0.24</v>
      </c>
      <c r="DD243" s="29" t="s">
        <v>546</v>
      </c>
      <c r="DE243" s="29" t="s">
        <v>546</v>
      </c>
      <c r="DF243" s="29" t="s">
        <v>548</v>
      </c>
      <c r="DG243" s="29" t="s">
        <v>546</v>
      </c>
      <c r="DH243" s="29" t="s">
        <v>546</v>
      </c>
      <c r="DI243" s="29">
        <v>1</v>
      </c>
      <c r="DJ243" s="29">
        <v>3</v>
      </c>
      <c r="DK243" s="29" t="s">
        <v>1168</v>
      </c>
      <c r="DL243" s="29" t="s">
        <v>1169</v>
      </c>
      <c r="DM243" s="29">
        <v>-4.3029470443725586</v>
      </c>
      <c r="DN243" s="29">
        <v>35.849178314208984</v>
      </c>
      <c r="DO243" s="29">
        <v>1252.199951171875</v>
      </c>
      <c r="DP243" s="29">
        <v>5</v>
      </c>
      <c r="DQ243" s="29">
        <v>1705231439</v>
      </c>
      <c r="DR243" s="29" t="s">
        <v>1170</v>
      </c>
      <c r="DS243" s="31">
        <v>42893.595081018517</v>
      </c>
      <c r="DT243" s="31">
        <v>42891.320231481484</v>
      </c>
      <c r="DU243" s="31">
        <v>42892.492858796293</v>
      </c>
      <c r="DV243" s="32">
        <v>42439</v>
      </c>
      <c r="DX243" s="44">
        <v>8.1427350427350422</v>
      </c>
      <c r="DY243" s="44">
        <v>6.7008547008547001</v>
      </c>
      <c r="DZ243" s="44">
        <v>3.9929292929292934</v>
      </c>
      <c r="EA243" s="44">
        <v>2.4732323232323234</v>
      </c>
      <c r="EC243" s="29">
        <f>IF(EQ243&lt;EP243,"FALSEE",1)</f>
        <v>1</v>
      </c>
      <c r="EE243" s="29" t="s">
        <v>2171</v>
      </c>
      <c r="EF243" s="29">
        <v>1.00692403316</v>
      </c>
      <c r="EG243" s="29" t="str">
        <f>IF(EF243&lt;0.5,"Depression",IF(EF243&lt;2,"Very gentle",IF(EF243&lt;5,"Gentle",IF(EF243&lt;9,"Moderate",IF(EF243&lt;15,"Strong",IF(EF243&lt;30,"Steep",IF(EF243&lt;1,"Very steep")))))))</f>
        <v>Very gentle</v>
      </c>
      <c r="EH243" s="29" t="s">
        <v>2173</v>
      </c>
      <c r="EI243" s="29">
        <v>8.4776775111099995E-6</v>
      </c>
      <c r="EJ243" s="43">
        <v>9.9152717590300004</v>
      </c>
      <c r="EK243" s="43">
        <f>VLOOKUP(D243,[1]SoilData!$G$15:$K$237,5,FALSE)</f>
        <v>327.84431773984028</v>
      </c>
      <c r="EL243" s="43">
        <f>VLOOKUP(D243,[1]SoilData!$G$245:$K$451,5,FALSE)</f>
        <v>296.20187850150211</v>
      </c>
      <c r="EM243" s="43">
        <f>VLOOKUP(D243,[1]SoilData!$G$15:$M$238,7,FALSE)</f>
        <v>1.4890000000000001</v>
      </c>
      <c r="EN243" s="43">
        <f>VLOOKUP(D243,[1]SoilData!$G$245:$M$454,7,FALSE)</f>
        <v>1.421</v>
      </c>
      <c r="EO243" s="60">
        <f>EM243-EN243</f>
        <v>6.800000000000006E-2</v>
      </c>
      <c r="EP243" s="44">
        <f>AVERAGE(DZ243:EA243)</f>
        <v>3.2330808080808087</v>
      </c>
      <c r="EQ243" s="44">
        <f>AVERAGE(DX243:DY243)</f>
        <v>7.4217948717948712</v>
      </c>
      <c r="ER243" s="43">
        <f>EQ243-EP243</f>
        <v>4.1887140637140625</v>
      </c>
      <c r="ES243" s="64">
        <f>IF(CU243&gt;0.000001,CU243*352,0)</f>
        <v>1267.1999999999998</v>
      </c>
      <c r="ET243" s="64">
        <f>IF(DC243&gt;0.0001,DC243*682,0)</f>
        <v>163.68</v>
      </c>
      <c r="EU243" s="64">
        <f>CY243*795</f>
        <v>0</v>
      </c>
      <c r="EV243" s="64">
        <f>ES243+ET243+EU243</f>
        <v>1430.8799999999999</v>
      </c>
      <c r="EW243" s="64">
        <f>IF(AA243="YES",3.5*18.2,0)</f>
        <v>63.699999999999996</v>
      </c>
      <c r="EX243" s="64">
        <f>EV243-EW243</f>
        <v>1367.1799999999998</v>
      </c>
    </row>
    <row r="244" spans="1:154" ht="15" x14ac:dyDescent="0.2">
      <c r="A244" s="29" t="s">
        <v>789</v>
      </c>
      <c r="B244" s="29">
        <v>63</v>
      </c>
      <c r="C244" s="29" t="s">
        <v>140</v>
      </c>
      <c r="D244" s="29" t="s">
        <v>140</v>
      </c>
      <c r="E244" s="29" t="str">
        <f>VLOOKUP(D244,Harvest_2017_Formulae!$C$2:$D$968,2,FALSE)</f>
        <v>Endanachan</v>
      </c>
      <c r="F244" s="29" t="s">
        <v>26</v>
      </c>
      <c r="G244" s="29">
        <v>0</v>
      </c>
      <c r="H244" s="61" t="str">
        <f>IF(G244&lt;0.05,"Homefield",IF(G244&lt;0.5,"Midfield","outfield"))</f>
        <v>Homefield</v>
      </c>
      <c r="I244" s="29" t="s">
        <v>557</v>
      </c>
      <c r="J244" s="61" t="s">
        <v>2233</v>
      </c>
      <c r="K244" s="61" t="s">
        <v>2233</v>
      </c>
      <c r="L244" s="67">
        <v>0</v>
      </c>
      <c r="O244" s="29" t="s">
        <v>547</v>
      </c>
      <c r="Q244" s="67">
        <v>1</v>
      </c>
      <c r="R244" s="29" t="s">
        <v>615</v>
      </c>
      <c r="S244" s="29">
        <v>6</v>
      </c>
      <c r="T244" s="29">
        <v>1</v>
      </c>
      <c r="U244" s="29" t="s">
        <v>560</v>
      </c>
      <c r="W244" s="29" t="s">
        <v>819</v>
      </c>
      <c r="X244" s="29">
        <v>999</v>
      </c>
      <c r="Y244" s="29">
        <v>7000</v>
      </c>
      <c r="Z244" s="29" t="s">
        <v>547</v>
      </c>
      <c r="AA244" s="61" t="s">
        <v>548</v>
      </c>
      <c r="AB244" s="29" t="s">
        <v>568</v>
      </c>
      <c r="AC244" s="67">
        <v>0</v>
      </c>
      <c r="AD244" s="29" t="s">
        <v>547</v>
      </c>
      <c r="AF244" s="29" t="s">
        <v>547</v>
      </c>
      <c r="AG244" s="29" t="s">
        <v>547</v>
      </c>
      <c r="AH244" s="29" t="s">
        <v>548</v>
      </c>
      <c r="AI244" s="29" t="s">
        <v>546</v>
      </c>
      <c r="AK244" s="67">
        <v>1</v>
      </c>
      <c r="AL244" s="29">
        <v>2</v>
      </c>
      <c r="AM244" s="29">
        <v>1</v>
      </c>
      <c r="AN244" s="29">
        <v>14</v>
      </c>
      <c r="AO244" s="29">
        <v>10000</v>
      </c>
      <c r="AP244" s="29" t="s">
        <v>547</v>
      </c>
      <c r="AQ244" s="4">
        <f>Q244+AK244</f>
        <v>2</v>
      </c>
      <c r="AR244" s="4">
        <f>L244+AC244</f>
        <v>0</v>
      </c>
      <c r="AS244" t="str">
        <f>AQ244&amp;AR244</f>
        <v>20</v>
      </c>
      <c r="AT244" s="49">
        <f>AQ244-AR244</f>
        <v>2</v>
      </c>
      <c r="AU244">
        <v>3</v>
      </c>
      <c r="AV244" s="29" t="s">
        <v>548</v>
      </c>
      <c r="AW244" s="29">
        <v>7</v>
      </c>
      <c r="AX244" s="29" t="s">
        <v>548</v>
      </c>
      <c r="AY244" s="29">
        <v>2</v>
      </c>
      <c r="AZ244" s="29">
        <v>3</v>
      </c>
      <c r="BA244" s="29" t="s">
        <v>548</v>
      </c>
      <c r="BB244" s="29" t="s">
        <v>569</v>
      </c>
      <c r="BC244" s="29">
        <v>12</v>
      </c>
      <c r="BD244" s="29">
        <f>AW244+AZ244</f>
        <v>10</v>
      </c>
      <c r="BE244" s="29">
        <f>BD244+BC244</f>
        <v>22</v>
      </c>
      <c r="BF244" s="29" t="s">
        <v>548</v>
      </c>
      <c r="BG244" s="29" t="s">
        <v>548</v>
      </c>
      <c r="BH244" s="29" t="s">
        <v>548</v>
      </c>
      <c r="BI244" s="29" t="s">
        <v>548</v>
      </c>
      <c r="BJ244" s="29" t="s">
        <v>546</v>
      </c>
      <c r="BK244" s="29" t="s">
        <v>548</v>
      </c>
      <c r="BL244" s="29">
        <v>17</v>
      </c>
      <c r="BM244" s="29" t="s">
        <v>549</v>
      </c>
      <c r="BN244" s="29">
        <v>5</v>
      </c>
      <c r="BO244" s="29" t="s">
        <v>580</v>
      </c>
      <c r="BP244" s="29">
        <v>100</v>
      </c>
      <c r="BQ244" s="29" t="s">
        <v>580</v>
      </c>
      <c r="BR244" s="29">
        <v>25</v>
      </c>
      <c r="BS244" s="29" t="s">
        <v>580</v>
      </c>
      <c r="BU244" s="29" t="s">
        <v>547</v>
      </c>
      <c r="BV244" s="29">
        <v>1</v>
      </c>
      <c r="BW244" s="29">
        <f>(BL244*1)+(BN244*0.1)+(BP244*0.01)+(BR244*0.1)+(BT244*0.3)+(BV244*0.4)</f>
        <v>21.4</v>
      </c>
      <c r="BX244" s="29" t="s">
        <v>2221</v>
      </c>
      <c r="BY244" s="29">
        <v>2</v>
      </c>
      <c r="BZ244" s="29">
        <v>1</v>
      </c>
      <c r="CA244" s="29">
        <v>8</v>
      </c>
      <c r="CB244" s="29">
        <v>11</v>
      </c>
      <c r="CC244" s="29">
        <v>0</v>
      </c>
      <c r="CD244" s="29">
        <v>1</v>
      </c>
      <c r="CE244" s="29">
        <v>1</v>
      </c>
      <c r="CG244" s="29">
        <f>(CC244*15)+(CD244*0.8)+(CE244*0.3)+((AW244+AZ244)*15)</f>
        <v>151.1</v>
      </c>
      <c r="CH244" s="29" t="s">
        <v>2221</v>
      </c>
      <c r="CI244" s="29">
        <f>(BL244*1)+(BN244*0.1)+(BP244*0.01)+(BR244*0.1)+(BT244*0.3)+(BV244*0.4)+(CC244*15)+(CD244*0.8)+(CE244*0.3)+((AW244+AZ244)*15)</f>
        <v>172.5</v>
      </c>
      <c r="CJ244" s="29" t="s">
        <v>548</v>
      </c>
      <c r="CK244" s="29" t="s">
        <v>820</v>
      </c>
      <c r="CL244" s="29" t="s">
        <v>548</v>
      </c>
      <c r="CM244" s="29" t="s">
        <v>793</v>
      </c>
      <c r="CN244" s="29">
        <v>2</v>
      </c>
      <c r="CO244" s="29">
        <v>9.5</v>
      </c>
      <c r="CP244" s="29">
        <v>0</v>
      </c>
      <c r="CQ244" s="29" t="s">
        <v>548</v>
      </c>
      <c r="CR244" s="29">
        <v>1</v>
      </c>
      <c r="CS244" s="29">
        <v>22</v>
      </c>
      <c r="CT244" s="29" t="s">
        <v>551</v>
      </c>
      <c r="CU244" s="30">
        <v>5.28</v>
      </c>
      <c r="CV244" s="29">
        <v>1</v>
      </c>
      <c r="CW244" s="29">
        <v>4</v>
      </c>
      <c r="CX244" s="29" t="s">
        <v>551</v>
      </c>
      <c r="CY244" s="62">
        <v>0.96</v>
      </c>
      <c r="CZ244" s="29">
        <v>1</v>
      </c>
      <c r="DA244" s="29">
        <v>4</v>
      </c>
      <c r="DB244" s="29" t="s">
        <v>551</v>
      </c>
      <c r="DC244" s="62">
        <v>0.96</v>
      </c>
      <c r="DD244" s="29" t="s">
        <v>546</v>
      </c>
      <c r="DE244" s="29" t="s">
        <v>548</v>
      </c>
      <c r="DF244" s="29" t="s">
        <v>546</v>
      </c>
      <c r="DG244" s="29" t="s">
        <v>546</v>
      </c>
      <c r="DH244" s="29" t="s">
        <v>548</v>
      </c>
      <c r="DI244" s="29">
        <v>2</v>
      </c>
      <c r="DJ244" s="29">
        <v>3</v>
      </c>
      <c r="DK244" s="29" t="s">
        <v>821</v>
      </c>
      <c r="DL244" s="29" t="s">
        <v>822</v>
      </c>
      <c r="DM244" s="29">
        <v>-4.3305182456970215</v>
      </c>
      <c r="DN244" s="29">
        <v>35.700538635253906</v>
      </c>
      <c r="DO244" s="29">
        <v>1358.300048828125</v>
      </c>
      <c r="DP244" s="29">
        <v>10</v>
      </c>
      <c r="DQ244" s="29">
        <v>1705231439</v>
      </c>
      <c r="DR244" s="29" t="s">
        <v>823</v>
      </c>
      <c r="DS244" s="31">
        <v>42923.387048611112</v>
      </c>
      <c r="DT244" s="31">
        <v>42901.51394675926</v>
      </c>
      <c r="DU244" s="31">
        <v>42923.386296296296</v>
      </c>
      <c r="DV244" s="32">
        <v>42737</v>
      </c>
      <c r="DX244" s="44">
        <v>7.1851851851851842</v>
      </c>
      <c r="DY244" s="44">
        <v>5.5925925925925926</v>
      </c>
      <c r="DZ244" s="44">
        <v>2.7485416666666667</v>
      </c>
      <c r="EA244" s="44">
        <v>3.8618749999999999</v>
      </c>
      <c r="EC244" s="29">
        <f>IF(EQ244&lt;EP244,"FALSEE",1)</f>
        <v>1</v>
      </c>
      <c r="EE244" s="29" t="s">
        <v>2171</v>
      </c>
      <c r="EF244" s="29">
        <v>0.79513710737200005</v>
      </c>
      <c r="EG244" s="29" t="str">
        <f>IF(EF244&lt;0.5,"Depression",IF(EF244&lt;2,"Very gentle",IF(EF244&lt;5,"Gentle",IF(EF244&lt;9,"Moderate",IF(EF244&lt;15,"Strong",IF(EF244&lt;30,"Steep",IF(EF244&lt;1,"Very steep")))))))</f>
        <v>Very gentle</v>
      </c>
      <c r="EH244" s="29" t="s">
        <v>2173</v>
      </c>
      <c r="EI244" s="29">
        <v>0.27193418145199999</v>
      </c>
      <c r="EJ244" s="43">
        <v>8.5437145233200003</v>
      </c>
      <c r="EK244" s="43"/>
      <c r="EL244" s="43">
        <f>VLOOKUP(D244,[1]SoilData!$G$245:$K$451,5,FALSE)</f>
        <v>180.24165262194853</v>
      </c>
      <c r="EM244" s="43"/>
      <c r="EN244" s="43">
        <f>VLOOKUP(D244,[1]SoilData!$G$245:$M$454,7,FALSE)</f>
        <v>0.874</v>
      </c>
      <c r="EO244" s="60"/>
      <c r="EP244" s="44">
        <f>AVERAGE(DZ244:EA244)</f>
        <v>3.3052083333333333</v>
      </c>
      <c r="EQ244" s="44">
        <f>AVERAGE(DX244:DY244)</f>
        <v>6.3888888888888884</v>
      </c>
      <c r="ER244" s="43">
        <f>EQ244-EP244</f>
        <v>3.0836805555555551</v>
      </c>
      <c r="ES244" s="64">
        <f>IF(CU244&gt;0.000001,CU244*352,0)</f>
        <v>1858.5600000000002</v>
      </c>
      <c r="ET244" s="64">
        <f>IF(DC244&gt;0.0001,DC244*682,0)</f>
        <v>654.72</v>
      </c>
      <c r="EU244" s="64">
        <f>CY244*795</f>
        <v>763.19999999999993</v>
      </c>
      <c r="EV244" s="64">
        <f>ES244+ET244+EU244</f>
        <v>3276.48</v>
      </c>
      <c r="EW244" s="64">
        <f>IF(AA244="YES",3.5*18.2,0)</f>
        <v>63.699999999999996</v>
      </c>
      <c r="EX244" s="64">
        <f>EV244-EW244</f>
        <v>3212.78</v>
      </c>
    </row>
    <row r="245" spans="1:154" ht="15" x14ac:dyDescent="0.2">
      <c r="A245" s="29" t="s">
        <v>789</v>
      </c>
      <c r="B245" s="29">
        <v>46</v>
      </c>
      <c r="C245" s="29" t="s">
        <v>136</v>
      </c>
      <c r="D245" s="29" t="s">
        <v>136</v>
      </c>
      <c r="E245" s="29" t="str">
        <f>VLOOKUP(D245,Harvest_2017_Formulae!$C$2:$D$968,2,FALSE)</f>
        <v>Endanachan</v>
      </c>
      <c r="F245" s="29" t="s">
        <v>777</v>
      </c>
      <c r="G245" s="29">
        <v>0</v>
      </c>
      <c r="H245" s="61" t="str">
        <f>IF(G245&lt;0.05,"Homefield",IF(G245&lt;0.5,"Midfield","outfield"))</f>
        <v>Homefield</v>
      </c>
      <c r="I245" s="29" t="s">
        <v>557</v>
      </c>
      <c r="J245" s="61" t="s">
        <v>2233</v>
      </c>
      <c r="K245" s="61" t="s">
        <v>2233</v>
      </c>
      <c r="L245" s="67">
        <v>0</v>
      </c>
      <c r="O245" s="29" t="s">
        <v>547</v>
      </c>
      <c r="Q245" s="67">
        <v>1</v>
      </c>
      <c r="R245" s="29" t="s">
        <v>791</v>
      </c>
      <c r="S245" s="29">
        <v>3</v>
      </c>
      <c r="T245" s="29">
        <v>1.5</v>
      </c>
      <c r="U245" s="29" t="s">
        <v>560</v>
      </c>
      <c r="W245" s="29" t="s">
        <v>635</v>
      </c>
      <c r="Y245" s="29">
        <v>10000</v>
      </c>
      <c r="Z245" s="29" t="s">
        <v>547</v>
      </c>
      <c r="AA245" s="61" t="s">
        <v>548</v>
      </c>
      <c r="AB245" s="29" t="s">
        <v>568</v>
      </c>
      <c r="AC245" s="67">
        <v>0</v>
      </c>
      <c r="AD245" s="29" t="s">
        <v>547</v>
      </c>
      <c r="AF245" s="29" t="s">
        <v>547</v>
      </c>
      <c r="AG245" s="29" t="s">
        <v>547</v>
      </c>
      <c r="AH245" s="29" t="s">
        <v>548</v>
      </c>
      <c r="AI245" s="29" t="s">
        <v>546</v>
      </c>
      <c r="AK245" s="67">
        <v>1</v>
      </c>
      <c r="AL245" s="29">
        <v>2</v>
      </c>
      <c r="AM245" s="29">
        <v>1</v>
      </c>
      <c r="AN245" s="29">
        <v>43</v>
      </c>
      <c r="AO245" s="29">
        <v>3500</v>
      </c>
      <c r="AQ245" s="4">
        <f>Q245+AK245</f>
        <v>2</v>
      </c>
      <c r="AR245" s="4">
        <f>L245+AC245</f>
        <v>0</v>
      </c>
      <c r="AS245" t="str">
        <f>AQ245&amp;AR245</f>
        <v>20</v>
      </c>
      <c r="AT245" s="49">
        <f>AQ245-AR245</f>
        <v>2</v>
      </c>
      <c r="AU245">
        <v>3</v>
      </c>
      <c r="AV245" s="29" t="s">
        <v>548</v>
      </c>
      <c r="AW245" s="29">
        <v>5.25</v>
      </c>
      <c r="AX245" s="29" t="s">
        <v>548</v>
      </c>
      <c r="AY245" s="29">
        <v>3</v>
      </c>
      <c r="AZ245" s="29">
        <v>9</v>
      </c>
      <c r="BA245" s="29" t="s">
        <v>548</v>
      </c>
      <c r="BB245" s="29" t="s">
        <v>569</v>
      </c>
      <c r="BC245" s="29">
        <v>18.25</v>
      </c>
      <c r="BD245" s="29">
        <f>AW245+AZ245</f>
        <v>14.25</v>
      </c>
      <c r="BE245" s="29">
        <f>BD245+BC245</f>
        <v>32.5</v>
      </c>
      <c r="BF245" s="29" t="s">
        <v>548</v>
      </c>
      <c r="BG245" s="29" t="s">
        <v>548</v>
      </c>
      <c r="BH245" s="29" t="s">
        <v>548</v>
      </c>
      <c r="BI245" s="29" t="s">
        <v>548</v>
      </c>
      <c r="BJ245" s="29" t="s">
        <v>546</v>
      </c>
      <c r="BK245" s="29" t="s">
        <v>546</v>
      </c>
      <c r="BL245" s="29">
        <v>24</v>
      </c>
      <c r="BM245" s="29" t="s">
        <v>580</v>
      </c>
      <c r="BN245" s="29">
        <v>12</v>
      </c>
      <c r="BO245" s="29" t="s">
        <v>580</v>
      </c>
      <c r="BP245" s="29">
        <v>15</v>
      </c>
      <c r="BQ245" s="29" t="s">
        <v>580</v>
      </c>
      <c r="BR245" s="29">
        <v>11</v>
      </c>
      <c r="BS245" s="29" t="s">
        <v>580</v>
      </c>
      <c r="BU245" s="29" t="s">
        <v>547</v>
      </c>
      <c r="BW245" s="29">
        <f>(BL245*1)+(BN245*0.1)+(BP245*0.01)+(BR245*0.1)+(BT245*0.3)+(BV245*0.4)</f>
        <v>26.45</v>
      </c>
      <c r="BX245" s="29" t="s">
        <v>2221</v>
      </c>
      <c r="BY245" s="29">
        <v>1</v>
      </c>
      <c r="BZ245" s="29">
        <v>1</v>
      </c>
      <c r="CA245" s="29">
        <v>6</v>
      </c>
      <c r="CB245" s="29">
        <v>8</v>
      </c>
      <c r="CC245" s="29">
        <v>0</v>
      </c>
      <c r="CD245" s="29">
        <v>1</v>
      </c>
      <c r="CE245" s="29">
        <v>3</v>
      </c>
      <c r="CG245" s="29">
        <f>(CC245*15)+(CD245*0.8)+(CE245*0.3)+((AW245+AZ245)*15)</f>
        <v>215.45</v>
      </c>
      <c r="CH245" s="29" t="s">
        <v>2221</v>
      </c>
      <c r="CI245" s="29">
        <f>(BL245*1)+(BN245*0.1)+(BP245*0.01)+(BR245*0.1)+(BT245*0.3)+(BV245*0.4)+(CC245*15)+(CD245*0.8)+(CE245*0.3)+((AW245+AZ245)*15)</f>
        <v>241.9</v>
      </c>
      <c r="CJ245" s="29" t="s">
        <v>548</v>
      </c>
      <c r="CK245" s="29" t="s">
        <v>801</v>
      </c>
      <c r="CL245" s="29" t="s">
        <v>548</v>
      </c>
      <c r="CM245" s="29" t="s">
        <v>793</v>
      </c>
      <c r="CN245" s="29">
        <v>0.25</v>
      </c>
      <c r="CO245" s="29">
        <v>17.5</v>
      </c>
      <c r="CP245" s="29">
        <v>0</v>
      </c>
      <c r="CQ245" s="29" t="s">
        <v>548</v>
      </c>
      <c r="CR245" s="29">
        <v>1</v>
      </c>
      <c r="CS245" s="29">
        <v>8</v>
      </c>
      <c r="CT245" s="29" t="s">
        <v>551</v>
      </c>
      <c r="CU245" s="30">
        <v>1.92</v>
      </c>
      <c r="CW245" s="29">
        <v>999</v>
      </c>
      <c r="CX245" s="29" t="s">
        <v>551</v>
      </c>
      <c r="CY245" s="62"/>
      <c r="DA245" s="29">
        <v>999</v>
      </c>
      <c r="DB245" s="29" t="s">
        <v>551</v>
      </c>
      <c r="DC245" s="62"/>
      <c r="DD245" s="29" t="s">
        <v>546</v>
      </c>
      <c r="DE245" s="29" t="s">
        <v>546</v>
      </c>
      <c r="DF245" s="29" t="s">
        <v>546</v>
      </c>
      <c r="DG245" s="29" t="s">
        <v>546</v>
      </c>
      <c r="DH245" s="29" t="s">
        <v>546</v>
      </c>
      <c r="DI245" s="29">
        <v>0</v>
      </c>
      <c r="DJ245" s="29">
        <v>3</v>
      </c>
      <c r="DK245" s="29" t="s">
        <v>802</v>
      </c>
      <c r="DL245" s="29" t="s">
        <v>803</v>
      </c>
      <c r="DM245" s="29">
        <v>-4.3232874870300293</v>
      </c>
      <c r="DN245" s="29">
        <v>35.713558197021484</v>
      </c>
      <c r="DO245" s="29">
        <v>1342.4000244140625</v>
      </c>
      <c r="DP245" s="29">
        <v>10</v>
      </c>
      <c r="DQ245" s="29">
        <v>1705231439</v>
      </c>
      <c r="DR245" s="29" t="s">
        <v>804</v>
      </c>
      <c r="DS245" s="31">
        <v>42908.292708333334</v>
      </c>
      <c r="DT245" s="31">
        <v>42901.602511574078</v>
      </c>
      <c r="DU245" s="31">
        <v>42908.291458333333</v>
      </c>
      <c r="DV245" s="32">
        <v>42737</v>
      </c>
      <c r="DX245" s="44">
        <v>7.0931400966183586</v>
      </c>
      <c r="DY245" s="44">
        <v>5.734879227053141</v>
      </c>
      <c r="DZ245" s="44">
        <v>5.0914529914529911</v>
      </c>
      <c r="EA245" s="44">
        <v>5.2242735042735049</v>
      </c>
      <c r="EC245" s="29">
        <f>IF(EQ245&lt;EP245,"FALSEE",1)</f>
        <v>1</v>
      </c>
      <c r="EE245" s="29" t="s">
        <v>2171</v>
      </c>
      <c r="EF245" s="29">
        <v>0.77230823039999996</v>
      </c>
      <c r="EG245" s="29" t="str">
        <f>IF(EF245&lt;0.5,"Depression",IF(EF245&lt;2,"Very gentle",IF(EF245&lt;5,"Gentle",IF(EF245&lt;9,"Moderate",IF(EF245&lt;15,"Strong",IF(EF245&lt;30,"Steep",IF(EF245&lt;1,"Very steep")))))))</f>
        <v>Very gentle</v>
      </c>
      <c r="EH245" s="29" t="s">
        <v>2173</v>
      </c>
      <c r="EI245" s="29">
        <v>-0.362559139729</v>
      </c>
      <c r="EJ245" s="43">
        <v>10.6584386826</v>
      </c>
      <c r="EK245" s="43">
        <f>VLOOKUP(D245,[1]SoilData!$G$15:$K$237,5,FALSE)</f>
        <v>304.09075937785911</v>
      </c>
      <c r="EL245" s="43">
        <f>VLOOKUP(D245,[1]SoilData!$G$245:$K$451,5,FALSE)</f>
        <v>356.43935089324413</v>
      </c>
      <c r="EM245" s="43">
        <f>VLOOKUP(D245,[1]SoilData!$G$15:$M$238,7,FALSE)</f>
        <v>1.27</v>
      </c>
      <c r="EN245" s="43">
        <f>VLOOKUP(D245,[1]SoilData!$G$245:$M$454,7,FALSE)</f>
        <v>1.5329999999999999</v>
      </c>
      <c r="EO245" s="60">
        <f>EM245-EN245</f>
        <v>-0.2629999999999999</v>
      </c>
      <c r="EP245" s="44">
        <f>AVERAGE(DZ245:EA245)</f>
        <v>5.157863247863248</v>
      </c>
      <c r="EQ245" s="44">
        <f>AVERAGE(DX245:DY245)</f>
        <v>6.4140096618357498</v>
      </c>
      <c r="ER245" s="43">
        <f>EQ245-EP245</f>
        <v>1.2561464139725018</v>
      </c>
      <c r="ES245" s="64">
        <f>IF(CU245&gt;0.000001,CU245*352,0)</f>
        <v>675.83999999999992</v>
      </c>
      <c r="ET245" s="64">
        <f>IF(DC245&gt;0.0001,DC245*682,0)</f>
        <v>0</v>
      </c>
      <c r="EU245" s="64">
        <f>CY245*795</f>
        <v>0</v>
      </c>
      <c r="EV245" s="64">
        <f>ES245+ET245+EU245</f>
        <v>675.83999999999992</v>
      </c>
      <c r="EW245" s="64">
        <f>IF(AA245="YES",3.5*18.2,0)</f>
        <v>63.699999999999996</v>
      </c>
      <c r="EX245" s="64">
        <f>EV245-EW245</f>
        <v>612.13999999999987</v>
      </c>
    </row>
    <row r="246" spans="1:154" ht="15" x14ac:dyDescent="0.2">
      <c r="A246" s="29" t="s">
        <v>789</v>
      </c>
      <c r="B246" s="29">
        <v>36</v>
      </c>
      <c r="C246" s="29" t="s">
        <v>1497</v>
      </c>
      <c r="D246" s="29" t="s">
        <v>1497</v>
      </c>
      <c r="E246" s="29" t="e">
        <f>VLOOKUP(D246,Harvest_2017_Formulae!$C$2:$D$968,2,FALSE)</f>
        <v>#N/A</v>
      </c>
      <c r="F246" s="29" t="s">
        <v>1014</v>
      </c>
      <c r="G246" s="29">
        <v>0</v>
      </c>
      <c r="H246" s="61" t="str">
        <f>IF(G246&lt;0.05,"Homefield",IF(G246&lt;0.5,"Midfield","outfield"))</f>
        <v>Homefield</v>
      </c>
      <c r="I246" s="29" t="s">
        <v>557</v>
      </c>
      <c r="J246" s="61" t="s">
        <v>2233</v>
      </c>
      <c r="K246" s="61" t="s">
        <v>2233</v>
      </c>
      <c r="L246" s="67">
        <v>0</v>
      </c>
      <c r="O246" s="29" t="s">
        <v>547</v>
      </c>
      <c r="Q246" s="67">
        <v>1</v>
      </c>
      <c r="R246" s="29" t="s">
        <v>791</v>
      </c>
      <c r="S246" s="29">
        <v>12</v>
      </c>
      <c r="T246" s="29">
        <v>0.5</v>
      </c>
      <c r="U246" s="29" t="s">
        <v>560</v>
      </c>
      <c r="W246" s="29" t="s">
        <v>635</v>
      </c>
      <c r="Y246" s="29">
        <v>8000</v>
      </c>
      <c r="Z246" s="29" t="s">
        <v>547</v>
      </c>
      <c r="AA246" s="61" t="s">
        <v>548</v>
      </c>
      <c r="AB246" s="29" t="s">
        <v>568</v>
      </c>
      <c r="AC246" s="67">
        <v>0</v>
      </c>
      <c r="AD246" s="29" t="s">
        <v>547</v>
      </c>
      <c r="AF246" s="29" t="s">
        <v>547</v>
      </c>
      <c r="AG246" s="29" t="s">
        <v>547</v>
      </c>
      <c r="AH246" s="29" t="s">
        <v>548</v>
      </c>
      <c r="AI246" s="29" t="s">
        <v>546</v>
      </c>
      <c r="AK246" s="67">
        <v>1</v>
      </c>
      <c r="AL246" s="29">
        <v>2</v>
      </c>
      <c r="AM246" s="29">
        <v>1</v>
      </c>
      <c r="AN246" s="29">
        <v>7</v>
      </c>
      <c r="AO246" s="29">
        <v>15000</v>
      </c>
      <c r="AP246" s="29" t="s">
        <v>547</v>
      </c>
      <c r="AQ246" s="4">
        <f>Q246+AK246</f>
        <v>2</v>
      </c>
      <c r="AR246" s="4">
        <f>L246+AC246</f>
        <v>0</v>
      </c>
      <c r="AS246" t="str">
        <f>AQ246&amp;AR246</f>
        <v>20</v>
      </c>
      <c r="AT246" s="49">
        <f>AQ246-AR246</f>
        <v>2</v>
      </c>
      <c r="AU246">
        <v>3</v>
      </c>
      <c r="AV246" s="29" t="s">
        <v>548</v>
      </c>
      <c r="AW246" s="29">
        <v>1.5</v>
      </c>
      <c r="AX246" s="29" t="s">
        <v>548</v>
      </c>
      <c r="AY246" s="29">
        <v>5</v>
      </c>
      <c r="AZ246" s="29">
        <v>10</v>
      </c>
      <c r="BA246" s="29" t="s">
        <v>548</v>
      </c>
      <c r="BB246" s="29" t="s">
        <v>569</v>
      </c>
      <c r="BC246" s="29">
        <v>12</v>
      </c>
      <c r="BD246" s="29">
        <f>AW246+AZ246</f>
        <v>11.5</v>
      </c>
      <c r="BE246" s="29">
        <f>BD246+BC246</f>
        <v>23.5</v>
      </c>
      <c r="BF246" s="29" t="s">
        <v>548</v>
      </c>
      <c r="BG246" s="29" t="s">
        <v>548</v>
      </c>
      <c r="BH246" s="29" t="s">
        <v>548</v>
      </c>
      <c r="BI246" s="29" t="s">
        <v>548</v>
      </c>
      <c r="BJ246" s="29" t="s">
        <v>546</v>
      </c>
      <c r="BK246" s="29" t="s">
        <v>546</v>
      </c>
      <c r="BL246" s="29">
        <v>25</v>
      </c>
      <c r="BM246" s="29" t="s">
        <v>549</v>
      </c>
      <c r="BN246" s="29">
        <v>18</v>
      </c>
      <c r="BO246" s="29" t="s">
        <v>580</v>
      </c>
      <c r="BP246" s="29">
        <v>22</v>
      </c>
      <c r="BQ246" s="29" t="s">
        <v>580</v>
      </c>
      <c r="BR246" s="29">
        <v>9</v>
      </c>
      <c r="BS246" s="29" t="s">
        <v>580</v>
      </c>
      <c r="BU246" s="29" t="s">
        <v>547</v>
      </c>
      <c r="BW246" s="29">
        <f>(BL246*1)+(BN246*0.1)+(BP246*0.01)+(BR246*0.1)+(BT246*0.3)+(BV246*0.4)</f>
        <v>27.919999999999998</v>
      </c>
      <c r="BX246" s="29" t="s">
        <v>2221</v>
      </c>
      <c r="BY246" s="29">
        <v>3</v>
      </c>
      <c r="BZ246" s="29">
        <v>2</v>
      </c>
      <c r="CA246" s="29">
        <v>8</v>
      </c>
      <c r="CB246" s="29">
        <v>13</v>
      </c>
      <c r="CC246" s="29">
        <v>0</v>
      </c>
      <c r="CD246" s="29">
        <v>1</v>
      </c>
      <c r="CE246" s="29">
        <v>2</v>
      </c>
      <c r="CG246" s="29">
        <f>(CC246*15)+(CD246*0.8)+(CE246*0.3)+((AW246+AZ246)*15)</f>
        <v>173.9</v>
      </c>
      <c r="CH246" s="29" t="s">
        <v>2221</v>
      </c>
      <c r="CI246" s="29">
        <f>(BL246*1)+(BN246*0.1)+(BP246*0.01)+(BR246*0.1)+(BT246*0.3)+(BV246*0.4)+(CC246*15)+(CD246*0.8)+(CE246*0.3)+((AW246+AZ246)*15)</f>
        <v>201.82</v>
      </c>
      <c r="CJ246" s="29" t="s">
        <v>548</v>
      </c>
      <c r="CK246" s="29" t="s">
        <v>1498</v>
      </c>
      <c r="CL246" s="29" t="s">
        <v>548</v>
      </c>
      <c r="CM246" s="29" t="s">
        <v>550</v>
      </c>
      <c r="CN246" s="29">
        <v>1.5</v>
      </c>
      <c r="CO246" s="29">
        <v>10.5</v>
      </c>
      <c r="CP246" s="29">
        <v>0</v>
      </c>
      <c r="CQ246" s="29" t="s">
        <v>546</v>
      </c>
      <c r="CR246" s="29">
        <v>1</v>
      </c>
      <c r="CS246" s="29">
        <v>7</v>
      </c>
      <c r="CT246" s="29" t="s">
        <v>551</v>
      </c>
      <c r="CU246" s="30">
        <v>1.6800000000000002</v>
      </c>
      <c r="CV246" s="29">
        <v>1</v>
      </c>
      <c r="CW246" s="29">
        <v>1</v>
      </c>
      <c r="CX246" s="29" t="s">
        <v>551</v>
      </c>
      <c r="CY246" s="62">
        <v>0.24</v>
      </c>
      <c r="CZ246" s="29">
        <v>1</v>
      </c>
      <c r="DA246" s="29">
        <v>3</v>
      </c>
      <c r="DB246" s="29" t="s">
        <v>551</v>
      </c>
      <c r="DC246" s="62">
        <v>0.72</v>
      </c>
      <c r="DD246" s="29" t="s">
        <v>546</v>
      </c>
      <c r="DE246" s="29" t="s">
        <v>548</v>
      </c>
      <c r="DF246" s="29" t="s">
        <v>546</v>
      </c>
      <c r="DG246" s="29" t="s">
        <v>548</v>
      </c>
      <c r="DH246" s="29" t="s">
        <v>546</v>
      </c>
      <c r="DI246" s="29">
        <v>2</v>
      </c>
      <c r="DJ246" s="29">
        <v>5</v>
      </c>
      <c r="DK246" s="29" t="s">
        <v>1499</v>
      </c>
      <c r="DL246" s="29" t="s">
        <v>1500</v>
      </c>
      <c r="DM246" s="29">
        <v>-4.3025317192077637</v>
      </c>
      <c r="DN246" s="29">
        <v>35.634777069091797</v>
      </c>
      <c r="DO246" s="29">
        <v>1425.4000244140625</v>
      </c>
      <c r="DP246" s="29">
        <v>15</v>
      </c>
      <c r="DQ246" s="29">
        <v>1705231439</v>
      </c>
      <c r="DR246" s="29" t="s">
        <v>1501</v>
      </c>
      <c r="DS246" s="31">
        <v>42908.292662037042</v>
      </c>
      <c r="DT246" s="31">
        <v>42899.496157407411</v>
      </c>
      <c r="DU246" s="31">
        <v>42908.289502314816</v>
      </c>
      <c r="DV246" s="32">
        <v>42746</v>
      </c>
      <c r="EC246" s="29">
        <f>IF(EQ246&lt;EP246,"FALSEE",1)</f>
        <v>1</v>
      </c>
      <c r="EE246" s="29" t="s">
        <v>2175</v>
      </c>
      <c r="EF246" s="29">
        <v>14.098661422699999</v>
      </c>
      <c r="EG246" s="29" t="str">
        <f>IF(EF246&lt;0.5,"Depression",IF(EF246&lt;2,"Very gentle",IF(EF246&lt;5,"Gentle",IF(EF246&lt;9,"Moderate",IF(EF246&lt;15,"Strong",IF(EF246&lt;30,"Steep",IF(EF246&lt;1,"Very steep")))))))</f>
        <v>Strong</v>
      </c>
      <c r="EH246" s="29" t="s">
        <v>2176</v>
      </c>
      <c r="EI246" s="29">
        <v>-1.1783361434899999</v>
      </c>
      <c r="EJ246" s="43">
        <v>6.5800104141200002</v>
      </c>
      <c r="EK246" s="43"/>
      <c r="EL246" s="43"/>
      <c r="EM246" s="43"/>
      <c r="EN246" s="43"/>
      <c r="EO246" s="60"/>
      <c r="EP246" s="43"/>
      <c r="EQ246" s="43"/>
      <c r="ER246" s="43"/>
      <c r="ES246" s="64">
        <f>IF(CU246&gt;0.000001,CU246*352,0)</f>
        <v>591.36</v>
      </c>
      <c r="ET246" s="64">
        <f>IF(DC246&gt;0.0001,DC246*682,0)</f>
        <v>491.03999999999996</v>
      </c>
      <c r="EU246" s="64">
        <f>CY246*795</f>
        <v>190.79999999999998</v>
      </c>
      <c r="EV246" s="64">
        <f>ES246+ET246+EU246</f>
        <v>1273.2</v>
      </c>
      <c r="EW246" s="64">
        <f>IF(AA246="YES",3.5*18.2,0)</f>
        <v>63.699999999999996</v>
      </c>
      <c r="EX246" s="64">
        <f>EV246-EW246</f>
        <v>1209.5</v>
      </c>
    </row>
    <row r="247" spans="1:154" s="57" customFormat="1" ht="15" x14ac:dyDescent="0.2">
      <c r="A247" s="29" t="s">
        <v>556</v>
      </c>
      <c r="B247" s="29">
        <v>145</v>
      </c>
      <c r="C247" s="29" t="s">
        <v>323</v>
      </c>
      <c r="D247" s="29" t="s">
        <v>323</v>
      </c>
      <c r="E247" s="29" t="str">
        <f>VLOOKUP(D247,Harvest_2017_Formulae!$C$2:$D$968,2,FALSE)</f>
        <v>AYAMANGO</v>
      </c>
      <c r="F247" s="29" t="s">
        <v>196</v>
      </c>
      <c r="G247" s="29">
        <v>0</v>
      </c>
      <c r="H247" s="61" t="str">
        <f>IF(G247&lt;0.05,"Homefield",IF(G247&lt;0.5,"Midfield","outfield"))</f>
        <v>Homefield</v>
      </c>
      <c r="I247" s="29" t="s">
        <v>557</v>
      </c>
      <c r="J247" s="61" t="s">
        <v>2234</v>
      </c>
      <c r="K247" s="61" t="s">
        <v>2234</v>
      </c>
      <c r="L247" s="67">
        <v>0</v>
      </c>
      <c r="M247" s="29"/>
      <c r="N247" s="29"/>
      <c r="O247" s="29" t="s">
        <v>547</v>
      </c>
      <c r="P247" s="29"/>
      <c r="Q247" s="67">
        <v>1</v>
      </c>
      <c r="R247" s="29" t="s">
        <v>558</v>
      </c>
      <c r="S247" s="34">
        <v>160</v>
      </c>
      <c r="T247" s="29" t="s">
        <v>559</v>
      </c>
      <c r="U247" s="29" t="s">
        <v>560</v>
      </c>
      <c r="V247" s="29"/>
      <c r="W247" s="29" t="s">
        <v>561</v>
      </c>
      <c r="X247" s="29"/>
      <c r="Y247" s="29">
        <v>2500</v>
      </c>
      <c r="Z247" s="29" t="s">
        <v>547</v>
      </c>
      <c r="AA247" s="61" t="s">
        <v>548</v>
      </c>
      <c r="AB247" s="29" t="s">
        <v>568</v>
      </c>
      <c r="AC247" s="67">
        <v>0</v>
      </c>
      <c r="AD247" s="29" t="s">
        <v>547</v>
      </c>
      <c r="AE247" s="29"/>
      <c r="AF247" s="29" t="s">
        <v>547</v>
      </c>
      <c r="AG247" s="29" t="s">
        <v>547</v>
      </c>
      <c r="AH247" s="29" t="s">
        <v>548</v>
      </c>
      <c r="AI247" s="29" t="s">
        <v>546</v>
      </c>
      <c r="AJ247" s="29" t="s">
        <v>547</v>
      </c>
      <c r="AK247" s="67">
        <v>1</v>
      </c>
      <c r="AL247" s="29">
        <v>3</v>
      </c>
      <c r="AM247" s="29">
        <v>1</v>
      </c>
      <c r="AN247" s="29">
        <v>24</v>
      </c>
      <c r="AO247" s="29" t="s">
        <v>547</v>
      </c>
      <c r="AP247" s="29" t="s">
        <v>616</v>
      </c>
      <c r="AQ247" s="4">
        <f>Q247+AK247</f>
        <v>2</v>
      </c>
      <c r="AR247" s="4">
        <f>L247+AC247</f>
        <v>0</v>
      </c>
      <c r="AS247" t="str">
        <f>AQ247&amp;AR247</f>
        <v>20</v>
      </c>
      <c r="AT247" s="49">
        <f>AQ247-AR247</f>
        <v>2</v>
      </c>
      <c r="AU247">
        <v>3</v>
      </c>
      <c r="AV247" s="29" t="s">
        <v>548</v>
      </c>
      <c r="AW247" s="29">
        <v>2.5</v>
      </c>
      <c r="AX247" s="29" t="s">
        <v>548</v>
      </c>
      <c r="AY247" s="29">
        <v>5</v>
      </c>
      <c r="AZ247" s="29">
        <v>50</v>
      </c>
      <c r="BA247" s="29" t="s">
        <v>548</v>
      </c>
      <c r="BB247" s="34" t="s">
        <v>628</v>
      </c>
      <c r="BC247" s="29">
        <v>7</v>
      </c>
      <c r="BD247" s="29">
        <f>AW247+AZ247</f>
        <v>52.5</v>
      </c>
      <c r="BE247" s="29">
        <f>BD247+BC247</f>
        <v>59.5</v>
      </c>
      <c r="BF247" s="29" t="s">
        <v>548</v>
      </c>
      <c r="BG247" s="29" t="s">
        <v>548</v>
      </c>
      <c r="BH247" s="29" t="s">
        <v>548</v>
      </c>
      <c r="BI247" s="29" t="s">
        <v>548</v>
      </c>
      <c r="BJ247" s="29" t="s">
        <v>546</v>
      </c>
      <c r="BK247" s="29" t="s">
        <v>548</v>
      </c>
      <c r="BL247" s="29">
        <v>40</v>
      </c>
      <c r="BM247" s="29" t="s">
        <v>580</v>
      </c>
      <c r="BN247" s="29">
        <v>30</v>
      </c>
      <c r="BO247" s="29" t="s">
        <v>580</v>
      </c>
      <c r="BP247" s="29">
        <v>30</v>
      </c>
      <c r="BQ247" s="29" t="s">
        <v>580</v>
      </c>
      <c r="BR247" s="29">
        <v>20</v>
      </c>
      <c r="BS247" s="29" t="s">
        <v>580</v>
      </c>
      <c r="BT247" s="29"/>
      <c r="BU247" s="29" t="s">
        <v>547</v>
      </c>
      <c r="BV247" s="29">
        <v>6</v>
      </c>
      <c r="BW247" s="29">
        <f>(BL247*1)+(BN247*0.1)+(BP247*0.01)+(BR247*0.1)+(BT247*0.3)+(BV247*0.4)</f>
        <v>47.699999999999996</v>
      </c>
      <c r="BX247" s="29" t="s">
        <v>2221</v>
      </c>
      <c r="BY247" s="29">
        <v>4</v>
      </c>
      <c r="BZ247" s="29">
        <v>4</v>
      </c>
      <c r="CA247" s="29">
        <v>5</v>
      </c>
      <c r="CB247" s="29">
        <v>13</v>
      </c>
      <c r="CC247" s="29">
        <v>1</v>
      </c>
      <c r="CD247" s="29">
        <v>0</v>
      </c>
      <c r="CE247" s="29">
        <v>1</v>
      </c>
      <c r="CF247" s="29" t="s">
        <v>547</v>
      </c>
      <c r="CG247" s="29">
        <f>(CC247*15)+(CD247*0.8)+(CE247*0.3)+((AW247+AZ247)*15)</f>
        <v>802.8</v>
      </c>
      <c r="CH247" s="29" t="s">
        <v>2221</v>
      </c>
      <c r="CI247" s="29">
        <f>(BL247*1)+(BN247*0.1)+(BP247*0.01)+(BR247*0.1)+(BT247*0.3)+(BV247*0.4)+(CC247*15)+(CD247*0.8)+(CE247*0.3)+((AW247+AZ247)*15)</f>
        <v>850.5</v>
      </c>
      <c r="CJ247" s="29" t="s">
        <v>548</v>
      </c>
      <c r="CK247" s="29" t="s">
        <v>563</v>
      </c>
      <c r="CL247" s="29" t="s">
        <v>548</v>
      </c>
      <c r="CM247" s="29" t="s">
        <v>550</v>
      </c>
      <c r="CN247" s="29">
        <v>0.25</v>
      </c>
      <c r="CO247" s="29">
        <v>0.75</v>
      </c>
      <c r="CP247" s="29"/>
      <c r="CQ247" s="29" t="s">
        <v>548</v>
      </c>
      <c r="CR247" s="29">
        <v>1</v>
      </c>
      <c r="CS247" s="29">
        <v>8</v>
      </c>
      <c r="CT247" s="29" t="s">
        <v>551</v>
      </c>
      <c r="CU247" s="30">
        <v>1.92</v>
      </c>
      <c r="CV247" s="29"/>
      <c r="CW247" s="29">
        <v>999</v>
      </c>
      <c r="CX247" s="29" t="s">
        <v>551</v>
      </c>
      <c r="CY247" s="62"/>
      <c r="CZ247" s="29">
        <v>999</v>
      </c>
      <c r="DA247" s="29">
        <v>999</v>
      </c>
      <c r="DB247" s="29" t="s">
        <v>551</v>
      </c>
      <c r="DC247" s="62"/>
      <c r="DD247" s="29" t="s">
        <v>546</v>
      </c>
      <c r="DE247" s="29" t="s">
        <v>546</v>
      </c>
      <c r="DF247" s="29" t="s">
        <v>546</v>
      </c>
      <c r="DG247" s="29" t="s">
        <v>546</v>
      </c>
      <c r="DH247" s="29" t="s">
        <v>546</v>
      </c>
      <c r="DI247" s="29">
        <v>0</v>
      </c>
      <c r="DJ247" s="29">
        <v>4</v>
      </c>
      <c r="DK247" s="29" t="s">
        <v>629</v>
      </c>
      <c r="DL247" s="29" t="s">
        <v>630</v>
      </c>
      <c r="DM247" s="29">
        <v>-4.2373714447021484</v>
      </c>
      <c r="DN247" s="29">
        <v>35.906875610351562</v>
      </c>
      <c r="DO247" s="29">
        <v>1236.699951171875</v>
      </c>
      <c r="DP247" s="29">
        <v>5</v>
      </c>
      <c r="DQ247" s="29">
        <v>1706031849</v>
      </c>
      <c r="DR247" s="29" t="s">
        <v>631</v>
      </c>
      <c r="DS247" s="31">
        <v>42909.495856481481</v>
      </c>
      <c r="DT247" s="31">
        <v>42908.558611111112</v>
      </c>
      <c r="DU247" s="31">
        <v>42908.567245370374</v>
      </c>
      <c r="DV247" s="32">
        <v>42786</v>
      </c>
      <c r="DW247" s="29"/>
      <c r="DX247" s="44">
        <v>3.7526104417670694</v>
      </c>
      <c r="DY247" s="44">
        <v>3.7526104417670694</v>
      </c>
      <c r="DZ247" s="44">
        <v>2.9098039215686273</v>
      </c>
      <c r="EA247" s="44">
        <v>6.0062745098039221</v>
      </c>
      <c r="EB247" s="29"/>
      <c r="EC247" s="29" t="str">
        <f>IF(EQ247&lt;EP247,"FALSEE",1)</f>
        <v>FALSEE</v>
      </c>
      <c r="ED247" s="29"/>
      <c r="EE247" s="29" t="s">
        <v>2171</v>
      </c>
      <c r="EF247" s="29">
        <v>2.7351534366600001</v>
      </c>
      <c r="EG247" s="29" t="str">
        <f>IF(EF247&lt;0.5,"Depression",IF(EF247&lt;2,"Very gentle",IF(EF247&lt;5,"Gentle",IF(EF247&lt;9,"Moderate",IF(EF247&lt;15,"Strong",IF(EF247&lt;30,"Steep",IF(EF247&lt;1,"Very steep")))))))</f>
        <v>Gentle</v>
      </c>
      <c r="EH247" s="29" t="s">
        <v>2172</v>
      </c>
      <c r="EI247" s="29">
        <v>-0.725126743317</v>
      </c>
      <c r="EJ247" s="43">
        <v>8.2997674941999993</v>
      </c>
      <c r="EK247" s="43">
        <f>VLOOKUP(D247,[1]SoilData!$G$15:$K$237,5,FALSE)</f>
        <v>232.87391247503351</v>
      </c>
      <c r="EL247" s="43">
        <f>VLOOKUP(D247,[1]SoilData!$G$245:$K$451,5,FALSE)</f>
        <v>334.00142634333417</v>
      </c>
      <c r="EM247" s="43">
        <f>VLOOKUP(D247,[1]SoilData!$G$15:$M$238,7,FALSE)</f>
        <v>1.627</v>
      </c>
      <c r="EN247" s="43">
        <f>VLOOKUP(D247,[1]SoilData!$G$245:$M$454,7,FALSE)</f>
        <v>2.2530000000000001</v>
      </c>
      <c r="EO247" s="60">
        <f>EM247-EN247</f>
        <v>-0.62600000000000011</v>
      </c>
      <c r="EP247" s="44">
        <f>AVERAGE(DZ247:EA247)</f>
        <v>4.4580392156862745</v>
      </c>
      <c r="EQ247" s="44">
        <f>AVERAGE(DX247:DY247)</f>
        <v>3.7526104417670694</v>
      </c>
      <c r="ER247" s="43">
        <f>EQ247-EP247</f>
        <v>-0.70542877391920511</v>
      </c>
      <c r="ES247" s="64">
        <f>IF(CU247&gt;0.000001,CU247*352,0)</f>
        <v>675.83999999999992</v>
      </c>
      <c r="ET247" s="64">
        <f>IF(DC247&gt;0.0001,DC247*682,0)</f>
        <v>0</v>
      </c>
      <c r="EU247" s="64">
        <f>CY247*795</f>
        <v>0</v>
      </c>
      <c r="EV247" s="64">
        <f>ES247+ET247+EU247</f>
        <v>675.83999999999992</v>
      </c>
      <c r="EW247" s="64">
        <f>IF(AA247="YES",3.5*18.2,0)</f>
        <v>63.699999999999996</v>
      </c>
      <c r="EX247" s="64">
        <f>EV247-EW247</f>
        <v>612.13999999999987</v>
      </c>
    </row>
  </sheetData>
  <sortState xmlns:xlrd2="http://schemas.microsoft.com/office/spreadsheetml/2017/richdata2" ref="A2:EB250">
    <sortCondition ref="AA2:AA250"/>
    <sortCondition ref="AQ2:AQ250"/>
  </sortState>
  <pageMargins left="0.75" right="0.75" top="1" bottom="1" header="0.5" footer="0.5"/>
  <pageSetup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97B6A-57A2-5444-854B-E1C94582E5A7}">
  <dimension ref="A1:BW247"/>
  <sheetViews>
    <sheetView tabSelected="1" topLeftCell="AS1" zoomScale="85" zoomScaleNormal="85" workbookViewId="0">
      <selection activeCell="BO2" sqref="BO2:BP2"/>
    </sheetView>
  </sheetViews>
  <sheetFormatPr baseColWidth="10" defaultColWidth="8.83203125" defaultRowHeight="13" x14ac:dyDescent="0.15"/>
  <cols>
    <col min="1" max="1" width="30" style="29" bestFit="1" customWidth="1"/>
    <col min="2" max="2" width="8.83203125" style="29" bestFit="1" customWidth="1"/>
    <col min="3" max="3" width="37.6640625" style="29" bestFit="1" customWidth="1"/>
    <col min="4" max="4" width="25.6640625" style="29" bestFit="1" customWidth="1"/>
    <col min="5" max="5" width="12.5" style="29" bestFit="1" customWidth="1"/>
    <col min="6" max="6" width="11.33203125" style="29" bestFit="1" customWidth="1"/>
    <col min="7" max="7" width="13.1640625" style="61" bestFit="1" customWidth="1"/>
    <col min="8" max="8" width="23.5" style="29" bestFit="1" customWidth="1"/>
    <col min="9" max="9" width="10.1640625" style="29" bestFit="1" customWidth="1"/>
    <col min="10" max="10" width="12" style="29" bestFit="1" customWidth="1"/>
    <col min="11" max="11" width="13.1640625" style="29" bestFit="1" customWidth="1"/>
    <col min="12" max="12" width="14.33203125" style="29" bestFit="1" customWidth="1"/>
    <col min="13" max="13" width="15.83203125" style="29" bestFit="1" customWidth="1"/>
    <col min="14" max="14" width="15.33203125" style="29" bestFit="1" customWidth="1"/>
    <col min="15" max="15" width="16.1640625" style="29" bestFit="1" customWidth="1"/>
    <col min="16" max="17" width="12.1640625" style="29" bestFit="1" customWidth="1"/>
    <col min="18" max="18" width="11.5" style="29" bestFit="1" customWidth="1"/>
    <col min="19" max="19" width="14.33203125" style="29" bestFit="1" customWidth="1"/>
    <col min="20" max="20" width="13.6640625" style="29" bestFit="1" customWidth="1"/>
    <col min="21" max="21" width="12.5" style="29" bestFit="1" customWidth="1"/>
    <col min="22" max="22" width="13.1640625" style="29" bestFit="1" customWidth="1"/>
    <col min="23" max="23" width="13.5" style="30" bestFit="1" customWidth="1"/>
    <col min="24" max="24" width="14.1640625" style="29" bestFit="1" customWidth="1"/>
    <col min="25" max="25" width="12.83203125" style="29" bestFit="1" customWidth="1"/>
    <col min="26" max="26" width="13.5" style="29" bestFit="1" customWidth="1"/>
    <col min="27" max="27" width="9" style="30" bestFit="1" customWidth="1"/>
    <col min="28" max="28" width="15.33203125" style="29" bestFit="1" customWidth="1"/>
    <col min="29" max="29" width="14.1640625" style="29" bestFit="1" customWidth="1"/>
    <col min="30" max="30" width="14.6640625" style="29" bestFit="1" customWidth="1"/>
    <col min="31" max="31" width="12.83203125" style="29" bestFit="1" customWidth="1"/>
    <col min="32" max="32" width="22.33203125" style="29" bestFit="1" customWidth="1"/>
    <col min="33" max="36" width="24.5" style="29" bestFit="1" customWidth="1"/>
    <col min="37" max="37" width="11.1640625" style="29" bestFit="1" customWidth="1"/>
    <col min="38" max="38" width="13.6640625" style="29" bestFit="1" customWidth="1"/>
    <col min="39" max="40" width="48.1640625" style="29" bestFit="1" customWidth="1"/>
    <col min="41" max="41" width="12.6640625" style="29" bestFit="1" customWidth="1"/>
    <col min="42" max="43" width="12.1640625" style="29" bestFit="1" customWidth="1"/>
    <col min="44" max="44" width="21.6640625" style="29" bestFit="1" customWidth="1"/>
    <col min="45" max="45" width="28" style="29" bestFit="1" customWidth="1"/>
    <col min="46" max="46" width="40" style="29" bestFit="1" customWidth="1"/>
    <col min="47" max="47" width="20.5" style="29" bestFit="1" customWidth="1"/>
    <col min="48" max="49" width="12.5" style="29" bestFit="1" customWidth="1"/>
    <col min="50" max="50" width="10.5" style="29" bestFit="1" customWidth="1"/>
    <col min="51" max="51" width="11.6640625" style="29" bestFit="1" customWidth="1"/>
    <col min="52" max="53" width="7" style="29" bestFit="1" customWidth="1"/>
    <col min="54" max="55" width="7.5" style="29" bestFit="1" customWidth="1"/>
    <col min="56" max="56" width="17" style="29" bestFit="1" customWidth="1"/>
    <col min="57" max="57" width="12.5" style="29" bestFit="1" customWidth="1"/>
    <col min="58" max="58" width="10.5" style="29" bestFit="1" customWidth="1"/>
    <col min="59" max="59" width="12" style="29" bestFit="1" customWidth="1"/>
    <col min="60" max="60" width="12.6640625" style="29" bestFit="1" customWidth="1"/>
    <col min="61" max="61" width="6.5" style="29" bestFit="1" customWidth="1"/>
    <col min="62" max="62" width="13.6640625" style="29" bestFit="1" customWidth="1"/>
    <col min="63" max="63" width="13.33203125" style="29" bestFit="1" customWidth="1"/>
    <col min="64" max="64" width="9.5" style="29" bestFit="1" customWidth="1"/>
    <col min="65" max="65" width="9.1640625" style="29" bestFit="1" customWidth="1"/>
    <col min="66" max="66" width="8" style="29" bestFit="1" customWidth="1"/>
    <col min="67" max="67" width="9.5" style="29" bestFit="1" customWidth="1"/>
    <col min="68" max="68" width="8.83203125" style="29"/>
    <col min="69" max="69" width="9.5" style="29" bestFit="1" customWidth="1"/>
    <col min="70" max="71" width="10.33203125" style="29" bestFit="1" customWidth="1"/>
    <col min="72" max="72" width="12.1640625" style="29" bestFit="1" customWidth="1"/>
    <col min="73" max="73" width="14.5" style="29" bestFit="1" customWidth="1"/>
    <col min="74" max="74" width="13.33203125" style="29" bestFit="1" customWidth="1"/>
    <col min="75" max="75" width="17.83203125" style="29" bestFit="1" customWidth="1"/>
    <col min="76" max="180" width="8.83203125" style="29"/>
    <col min="181" max="181" width="5.5" style="29" bestFit="1" customWidth="1"/>
    <col min="182" max="184" width="30.6640625" style="29" customWidth="1"/>
    <col min="185" max="185" width="13.5" style="29" bestFit="1" customWidth="1"/>
    <col min="186" max="186" width="8.83203125" style="29"/>
    <col min="187" max="187" width="13" style="29" bestFit="1" customWidth="1"/>
    <col min="188" max="188" width="10.5" style="29" bestFit="1" customWidth="1"/>
    <col min="189" max="194" width="8.83203125" style="29"/>
    <col min="195" max="195" width="16.1640625" style="29" bestFit="1" customWidth="1"/>
    <col min="196" max="197" width="8.83203125" style="29"/>
    <col min="198" max="198" width="38.33203125" style="29" bestFit="1" customWidth="1"/>
    <col min="199" max="202" width="8.83203125" style="29"/>
    <col min="203" max="203" width="11" style="29" bestFit="1" customWidth="1"/>
    <col min="204" max="204" width="8.83203125" style="29"/>
    <col min="205" max="205" width="13.5" style="29" customWidth="1"/>
    <col min="206" max="225" width="8.83203125" style="29"/>
    <col min="226" max="226" width="17.6640625" style="29" bestFit="1" customWidth="1"/>
    <col min="227" max="234" width="8.83203125" style="29"/>
    <col min="235" max="235" width="11.1640625" style="29" customWidth="1"/>
    <col min="236" max="255" width="8.83203125" style="29"/>
    <col min="256" max="256" width="13.5" style="29" bestFit="1" customWidth="1"/>
    <col min="257" max="280" width="8.83203125" style="29"/>
    <col min="281" max="281" width="48.5" style="29" bestFit="1" customWidth="1"/>
    <col min="282" max="287" width="8.83203125" style="29"/>
    <col min="288" max="288" width="18" style="29" bestFit="1" customWidth="1"/>
    <col min="289" max="290" width="14.5" style="29" bestFit="1" customWidth="1"/>
    <col min="291" max="436" width="8.83203125" style="29"/>
    <col min="437" max="437" width="5.5" style="29" bestFit="1" customWidth="1"/>
    <col min="438" max="440" width="30.6640625" style="29" customWidth="1"/>
    <col min="441" max="441" width="13.5" style="29" bestFit="1" customWidth="1"/>
    <col min="442" max="442" width="8.83203125" style="29"/>
    <col min="443" max="443" width="13" style="29" bestFit="1" customWidth="1"/>
    <col min="444" max="444" width="10.5" style="29" bestFit="1" customWidth="1"/>
    <col min="445" max="450" width="8.83203125" style="29"/>
    <col min="451" max="451" width="16.1640625" style="29" bestFit="1" customWidth="1"/>
    <col min="452" max="453" width="8.83203125" style="29"/>
    <col min="454" max="454" width="38.33203125" style="29" bestFit="1" customWidth="1"/>
    <col min="455" max="458" width="8.83203125" style="29"/>
    <col min="459" max="459" width="11" style="29" bestFit="1" customWidth="1"/>
    <col min="460" max="460" width="8.83203125" style="29"/>
    <col min="461" max="461" width="13.5" style="29" customWidth="1"/>
    <col min="462" max="481" width="8.83203125" style="29"/>
    <col min="482" max="482" width="17.6640625" style="29" bestFit="1" customWidth="1"/>
    <col min="483" max="490" width="8.83203125" style="29"/>
    <col min="491" max="491" width="11.1640625" style="29" customWidth="1"/>
    <col min="492" max="511" width="8.83203125" style="29"/>
    <col min="512" max="512" width="13.5" style="29" bestFit="1" customWidth="1"/>
    <col min="513" max="536" width="8.83203125" style="29"/>
    <col min="537" max="537" width="48.5" style="29" bestFit="1" customWidth="1"/>
    <col min="538" max="543" width="8.83203125" style="29"/>
    <col min="544" max="544" width="18" style="29" bestFit="1" customWidth="1"/>
    <col min="545" max="546" width="14.5" style="29" bestFit="1" customWidth="1"/>
    <col min="547" max="692" width="8.83203125" style="29"/>
    <col min="693" max="693" width="5.5" style="29" bestFit="1" customWidth="1"/>
    <col min="694" max="696" width="30.6640625" style="29" customWidth="1"/>
    <col min="697" max="697" width="13.5" style="29" bestFit="1" customWidth="1"/>
    <col min="698" max="698" width="8.83203125" style="29"/>
    <col min="699" max="699" width="13" style="29" bestFit="1" customWidth="1"/>
    <col min="700" max="700" width="10.5" style="29" bestFit="1" customWidth="1"/>
    <col min="701" max="706" width="8.83203125" style="29"/>
    <col min="707" max="707" width="16.1640625" style="29" bestFit="1" customWidth="1"/>
    <col min="708" max="709" width="8.83203125" style="29"/>
    <col min="710" max="710" width="38.33203125" style="29" bestFit="1" customWidth="1"/>
    <col min="711" max="714" width="8.83203125" style="29"/>
    <col min="715" max="715" width="11" style="29" bestFit="1" customWidth="1"/>
    <col min="716" max="716" width="8.83203125" style="29"/>
    <col min="717" max="717" width="13.5" style="29" customWidth="1"/>
    <col min="718" max="737" width="8.83203125" style="29"/>
    <col min="738" max="738" width="17.6640625" style="29" bestFit="1" customWidth="1"/>
    <col min="739" max="746" width="8.83203125" style="29"/>
    <col min="747" max="747" width="11.1640625" style="29" customWidth="1"/>
    <col min="748" max="767" width="8.83203125" style="29"/>
    <col min="768" max="768" width="13.5" style="29" bestFit="1" customWidth="1"/>
    <col min="769" max="792" width="8.83203125" style="29"/>
    <col min="793" max="793" width="48.5" style="29" bestFit="1" customWidth="1"/>
    <col min="794" max="799" width="8.83203125" style="29"/>
    <col min="800" max="800" width="18" style="29" bestFit="1" customWidth="1"/>
    <col min="801" max="802" width="14.5" style="29" bestFit="1" customWidth="1"/>
    <col min="803" max="948" width="8.83203125" style="29"/>
    <col min="949" max="949" width="5.5" style="29" bestFit="1" customWidth="1"/>
    <col min="950" max="952" width="30.6640625" style="29" customWidth="1"/>
    <col min="953" max="953" width="13.5" style="29" bestFit="1" customWidth="1"/>
    <col min="954" max="954" width="8.83203125" style="29"/>
    <col min="955" max="955" width="13" style="29" bestFit="1" customWidth="1"/>
    <col min="956" max="956" width="10.5" style="29" bestFit="1" customWidth="1"/>
    <col min="957" max="962" width="8.83203125" style="29"/>
    <col min="963" max="963" width="16.1640625" style="29" bestFit="1" customWidth="1"/>
    <col min="964" max="965" width="8.83203125" style="29"/>
    <col min="966" max="966" width="38.33203125" style="29" bestFit="1" customWidth="1"/>
    <col min="967" max="970" width="8.83203125" style="29"/>
    <col min="971" max="971" width="11" style="29" bestFit="1" customWidth="1"/>
    <col min="972" max="972" width="8.83203125" style="29"/>
    <col min="973" max="973" width="13.5" style="29" customWidth="1"/>
    <col min="974" max="993" width="8.83203125" style="29"/>
    <col min="994" max="994" width="17.6640625" style="29" bestFit="1" customWidth="1"/>
    <col min="995" max="1002" width="8.83203125" style="29"/>
    <col min="1003" max="1003" width="11.1640625" style="29" customWidth="1"/>
    <col min="1004" max="1023" width="8.83203125" style="29"/>
    <col min="1024" max="1024" width="13.5" style="29" bestFit="1" customWidth="1"/>
    <col min="1025" max="1048" width="8.83203125" style="29"/>
    <col min="1049" max="1049" width="48.5" style="29" bestFit="1" customWidth="1"/>
    <col min="1050" max="1055" width="8.83203125" style="29"/>
    <col min="1056" max="1056" width="18" style="29" bestFit="1" customWidth="1"/>
    <col min="1057" max="1058" width="14.5" style="29" bestFit="1" customWidth="1"/>
    <col min="1059" max="1204" width="8.83203125" style="29"/>
    <col min="1205" max="1205" width="5.5" style="29" bestFit="1" customWidth="1"/>
    <col min="1206" max="1208" width="30.6640625" style="29" customWidth="1"/>
    <col min="1209" max="1209" width="13.5" style="29" bestFit="1" customWidth="1"/>
    <col min="1210" max="1210" width="8.83203125" style="29"/>
    <col min="1211" max="1211" width="13" style="29" bestFit="1" customWidth="1"/>
    <col min="1212" max="1212" width="10.5" style="29" bestFit="1" customWidth="1"/>
    <col min="1213" max="1218" width="8.83203125" style="29"/>
    <col min="1219" max="1219" width="16.1640625" style="29" bestFit="1" customWidth="1"/>
    <col min="1220" max="1221" width="8.83203125" style="29"/>
    <col min="1222" max="1222" width="38.33203125" style="29" bestFit="1" customWidth="1"/>
    <col min="1223" max="1226" width="8.83203125" style="29"/>
    <col min="1227" max="1227" width="11" style="29" bestFit="1" customWidth="1"/>
    <col min="1228" max="1228" width="8.83203125" style="29"/>
    <col min="1229" max="1229" width="13.5" style="29" customWidth="1"/>
    <col min="1230" max="1249" width="8.83203125" style="29"/>
    <col min="1250" max="1250" width="17.6640625" style="29" bestFit="1" customWidth="1"/>
    <col min="1251" max="1258" width="8.83203125" style="29"/>
    <col min="1259" max="1259" width="11.1640625" style="29" customWidth="1"/>
    <col min="1260" max="1279" width="8.83203125" style="29"/>
    <col min="1280" max="1280" width="13.5" style="29" bestFit="1" customWidth="1"/>
    <col min="1281" max="1304" width="8.83203125" style="29"/>
    <col min="1305" max="1305" width="48.5" style="29" bestFit="1" customWidth="1"/>
    <col min="1306" max="1311" width="8.83203125" style="29"/>
    <col min="1312" max="1312" width="18" style="29" bestFit="1" customWidth="1"/>
    <col min="1313" max="1314" width="14.5" style="29" bestFit="1" customWidth="1"/>
    <col min="1315" max="1460" width="8.83203125" style="29"/>
    <col min="1461" max="1461" width="5.5" style="29" bestFit="1" customWidth="1"/>
    <col min="1462" max="1464" width="30.6640625" style="29" customWidth="1"/>
    <col min="1465" max="1465" width="13.5" style="29" bestFit="1" customWidth="1"/>
    <col min="1466" max="1466" width="8.83203125" style="29"/>
    <col min="1467" max="1467" width="13" style="29" bestFit="1" customWidth="1"/>
    <col min="1468" max="1468" width="10.5" style="29" bestFit="1" customWidth="1"/>
    <col min="1469" max="1474" width="8.83203125" style="29"/>
    <col min="1475" max="1475" width="16.1640625" style="29" bestFit="1" customWidth="1"/>
    <col min="1476" max="1477" width="8.83203125" style="29"/>
    <col min="1478" max="1478" width="38.33203125" style="29" bestFit="1" customWidth="1"/>
    <col min="1479" max="1482" width="8.83203125" style="29"/>
    <col min="1483" max="1483" width="11" style="29" bestFit="1" customWidth="1"/>
    <col min="1484" max="1484" width="8.83203125" style="29"/>
    <col min="1485" max="1485" width="13.5" style="29" customWidth="1"/>
    <col min="1486" max="1505" width="8.83203125" style="29"/>
    <col min="1506" max="1506" width="17.6640625" style="29" bestFit="1" customWidth="1"/>
    <col min="1507" max="1514" width="8.83203125" style="29"/>
    <col min="1515" max="1515" width="11.1640625" style="29" customWidth="1"/>
    <col min="1516" max="1535" width="8.83203125" style="29"/>
    <col min="1536" max="1536" width="13.5" style="29" bestFit="1" customWidth="1"/>
    <col min="1537" max="1560" width="8.83203125" style="29"/>
    <col min="1561" max="1561" width="48.5" style="29" bestFit="1" customWidth="1"/>
    <col min="1562" max="1567" width="8.83203125" style="29"/>
    <col min="1568" max="1568" width="18" style="29" bestFit="1" customWidth="1"/>
    <col min="1569" max="1570" width="14.5" style="29" bestFit="1" customWidth="1"/>
    <col min="1571" max="1716" width="8.83203125" style="29"/>
    <col min="1717" max="1717" width="5.5" style="29" bestFit="1" customWidth="1"/>
    <col min="1718" max="1720" width="30.6640625" style="29" customWidth="1"/>
    <col min="1721" max="1721" width="13.5" style="29" bestFit="1" customWidth="1"/>
    <col min="1722" max="1722" width="8.83203125" style="29"/>
    <col min="1723" max="1723" width="13" style="29" bestFit="1" customWidth="1"/>
    <col min="1724" max="1724" width="10.5" style="29" bestFit="1" customWidth="1"/>
    <col min="1725" max="1730" width="8.83203125" style="29"/>
    <col min="1731" max="1731" width="16.1640625" style="29" bestFit="1" customWidth="1"/>
    <col min="1732" max="1733" width="8.83203125" style="29"/>
    <col min="1734" max="1734" width="38.33203125" style="29" bestFit="1" customWidth="1"/>
    <col min="1735" max="1738" width="8.83203125" style="29"/>
    <col min="1739" max="1739" width="11" style="29" bestFit="1" customWidth="1"/>
    <col min="1740" max="1740" width="8.83203125" style="29"/>
    <col min="1741" max="1741" width="13.5" style="29" customWidth="1"/>
    <col min="1742" max="1761" width="8.83203125" style="29"/>
    <col min="1762" max="1762" width="17.6640625" style="29" bestFit="1" customWidth="1"/>
    <col min="1763" max="1770" width="8.83203125" style="29"/>
    <col min="1771" max="1771" width="11.1640625" style="29" customWidth="1"/>
    <col min="1772" max="1791" width="8.83203125" style="29"/>
    <col min="1792" max="1792" width="13.5" style="29" bestFit="1" customWidth="1"/>
    <col min="1793" max="1816" width="8.83203125" style="29"/>
    <col min="1817" max="1817" width="48.5" style="29" bestFit="1" customWidth="1"/>
    <col min="1818" max="1823" width="8.83203125" style="29"/>
    <col min="1824" max="1824" width="18" style="29" bestFit="1" customWidth="1"/>
    <col min="1825" max="1826" width="14.5" style="29" bestFit="1" customWidth="1"/>
    <col min="1827" max="1972" width="8.83203125" style="29"/>
    <col min="1973" max="1973" width="5.5" style="29" bestFit="1" customWidth="1"/>
    <col min="1974" max="1976" width="30.6640625" style="29" customWidth="1"/>
    <col min="1977" max="1977" width="13.5" style="29" bestFit="1" customWidth="1"/>
    <col min="1978" max="1978" width="8.83203125" style="29"/>
    <col min="1979" max="1979" width="13" style="29" bestFit="1" customWidth="1"/>
    <col min="1980" max="1980" width="10.5" style="29" bestFit="1" customWidth="1"/>
    <col min="1981" max="1986" width="8.83203125" style="29"/>
    <col min="1987" max="1987" width="16.1640625" style="29" bestFit="1" customWidth="1"/>
    <col min="1988" max="1989" width="8.83203125" style="29"/>
    <col min="1990" max="1990" width="38.33203125" style="29" bestFit="1" customWidth="1"/>
    <col min="1991" max="1994" width="8.83203125" style="29"/>
    <col min="1995" max="1995" width="11" style="29" bestFit="1" customWidth="1"/>
    <col min="1996" max="1996" width="8.83203125" style="29"/>
    <col min="1997" max="1997" width="13.5" style="29" customWidth="1"/>
    <col min="1998" max="2017" width="8.83203125" style="29"/>
    <col min="2018" max="2018" width="17.6640625" style="29" bestFit="1" customWidth="1"/>
    <col min="2019" max="2026" width="8.83203125" style="29"/>
    <col min="2027" max="2027" width="11.1640625" style="29" customWidth="1"/>
    <col min="2028" max="2047" width="8.83203125" style="29"/>
    <col min="2048" max="2048" width="13.5" style="29" bestFit="1" customWidth="1"/>
    <col min="2049" max="2072" width="8.83203125" style="29"/>
    <col min="2073" max="2073" width="48.5" style="29" bestFit="1" customWidth="1"/>
    <col min="2074" max="2079" width="8.83203125" style="29"/>
    <col min="2080" max="2080" width="18" style="29" bestFit="1" customWidth="1"/>
    <col min="2081" max="2082" width="14.5" style="29" bestFit="1" customWidth="1"/>
    <col min="2083" max="2228" width="8.83203125" style="29"/>
    <col min="2229" max="2229" width="5.5" style="29" bestFit="1" customWidth="1"/>
    <col min="2230" max="2232" width="30.6640625" style="29" customWidth="1"/>
    <col min="2233" max="2233" width="13.5" style="29" bestFit="1" customWidth="1"/>
    <col min="2234" max="2234" width="8.83203125" style="29"/>
    <col min="2235" max="2235" width="13" style="29" bestFit="1" customWidth="1"/>
    <col min="2236" max="2236" width="10.5" style="29" bestFit="1" customWidth="1"/>
    <col min="2237" max="2242" width="8.83203125" style="29"/>
    <col min="2243" max="2243" width="16.1640625" style="29" bestFit="1" customWidth="1"/>
    <col min="2244" max="2245" width="8.83203125" style="29"/>
    <col min="2246" max="2246" width="38.33203125" style="29" bestFit="1" customWidth="1"/>
    <col min="2247" max="2250" width="8.83203125" style="29"/>
    <col min="2251" max="2251" width="11" style="29" bestFit="1" customWidth="1"/>
    <col min="2252" max="2252" width="8.83203125" style="29"/>
    <col min="2253" max="2253" width="13.5" style="29" customWidth="1"/>
    <col min="2254" max="2273" width="8.83203125" style="29"/>
    <col min="2274" max="2274" width="17.6640625" style="29" bestFit="1" customWidth="1"/>
    <col min="2275" max="2282" width="8.83203125" style="29"/>
    <col min="2283" max="2283" width="11.1640625" style="29" customWidth="1"/>
    <col min="2284" max="2303" width="8.83203125" style="29"/>
    <col min="2304" max="2304" width="13.5" style="29" bestFit="1" customWidth="1"/>
    <col min="2305" max="2328" width="8.83203125" style="29"/>
    <col min="2329" max="2329" width="48.5" style="29" bestFit="1" customWidth="1"/>
    <col min="2330" max="2335" width="8.83203125" style="29"/>
    <col min="2336" max="2336" width="18" style="29" bestFit="1" customWidth="1"/>
    <col min="2337" max="2338" width="14.5" style="29" bestFit="1" customWidth="1"/>
    <col min="2339" max="2484" width="8.83203125" style="29"/>
    <col min="2485" max="2485" width="5.5" style="29" bestFit="1" customWidth="1"/>
    <col min="2486" max="2488" width="30.6640625" style="29" customWidth="1"/>
    <col min="2489" max="2489" width="13.5" style="29" bestFit="1" customWidth="1"/>
    <col min="2490" max="2490" width="8.83203125" style="29"/>
    <col min="2491" max="2491" width="13" style="29" bestFit="1" customWidth="1"/>
    <col min="2492" max="2492" width="10.5" style="29" bestFit="1" customWidth="1"/>
    <col min="2493" max="2498" width="8.83203125" style="29"/>
    <col min="2499" max="2499" width="16.1640625" style="29" bestFit="1" customWidth="1"/>
    <col min="2500" max="2501" width="8.83203125" style="29"/>
    <col min="2502" max="2502" width="38.33203125" style="29" bestFit="1" customWidth="1"/>
    <col min="2503" max="2506" width="8.83203125" style="29"/>
    <col min="2507" max="2507" width="11" style="29" bestFit="1" customWidth="1"/>
    <col min="2508" max="2508" width="8.83203125" style="29"/>
    <col min="2509" max="2509" width="13.5" style="29" customWidth="1"/>
    <col min="2510" max="2529" width="8.83203125" style="29"/>
    <col min="2530" max="2530" width="17.6640625" style="29" bestFit="1" customWidth="1"/>
    <col min="2531" max="2538" width="8.83203125" style="29"/>
    <col min="2539" max="2539" width="11.1640625" style="29" customWidth="1"/>
    <col min="2540" max="2559" width="8.83203125" style="29"/>
    <col min="2560" max="2560" width="13.5" style="29" bestFit="1" customWidth="1"/>
    <col min="2561" max="2584" width="8.83203125" style="29"/>
    <col min="2585" max="2585" width="48.5" style="29" bestFit="1" customWidth="1"/>
    <col min="2586" max="2591" width="8.83203125" style="29"/>
    <col min="2592" max="2592" width="18" style="29" bestFit="1" customWidth="1"/>
    <col min="2593" max="2594" width="14.5" style="29" bestFit="1" customWidth="1"/>
    <col min="2595" max="2740" width="8.83203125" style="29"/>
    <col min="2741" max="2741" width="5.5" style="29" bestFit="1" customWidth="1"/>
    <col min="2742" max="2744" width="30.6640625" style="29" customWidth="1"/>
    <col min="2745" max="2745" width="13.5" style="29" bestFit="1" customWidth="1"/>
    <col min="2746" max="2746" width="8.83203125" style="29"/>
    <col min="2747" max="2747" width="13" style="29" bestFit="1" customWidth="1"/>
    <col min="2748" max="2748" width="10.5" style="29" bestFit="1" customWidth="1"/>
    <col min="2749" max="2754" width="8.83203125" style="29"/>
    <col min="2755" max="2755" width="16.1640625" style="29" bestFit="1" customWidth="1"/>
    <col min="2756" max="2757" width="8.83203125" style="29"/>
    <col min="2758" max="2758" width="38.33203125" style="29" bestFit="1" customWidth="1"/>
    <col min="2759" max="2762" width="8.83203125" style="29"/>
    <col min="2763" max="2763" width="11" style="29" bestFit="1" customWidth="1"/>
    <col min="2764" max="2764" width="8.83203125" style="29"/>
    <col min="2765" max="2765" width="13.5" style="29" customWidth="1"/>
    <col min="2766" max="2785" width="8.83203125" style="29"/>
    <col min="2786" max="2786" width="17.6640625" style="29" bestFit="1" customWidth="1"/>
    <col min="2787" max="2794" width="8.83203125" style="29"/>
    <col min="2795" max="2795" width="11.1640625" style="29" customWidth="1"/>
    <col min="2796" max="2815" width="8.83203125" style="29"/>
    <col min="2816" max="2816" width="13.5" style="29" bestFit="1" customWidth="1"/>
    <col min="2817" max="2840" width="8.83203125" style="29"/>
    <col min="2841" max="2841" width="48.5" style="29" bestFit="1" customWidth="1"/>
    <col min="2842" max="2847" width="8.83203125" style="29"/>
    <col min="2848" max="2848" width="18" style="29" bestFit="1" customWidth="1"/>
    <col min="2849" max="2850" width="14.5" style="29" bestFit="1" customWidth="1"/>
    <col min="2851" max="2996" width="8.83203125" style="29"/>
    <col min="2997" max="2997" width="5.5" style="29" bestFit="1" customWidth="1"/>
    <col min="2998" max="3000" width="30.6640625" style="29" customWidth="1"/>
    <col min="3001" max="3001" width="13.5" style="29" bestFit="1" customWidth="1"/>
    <col min="3002" max="3002" width="8.83203125" style="29"/>
    <col min="3003" max="3003" width="13" style="29" bestFit="1" customWidth="1"/>
    <col min="3004" max="3004" width="10.5" style="29" bestFit="1" customWidth="1"/>
    <col min="3005" max="3010" width="8.83203125" style="29"/>
    <col min="3011" max="3011" width="16.1640625" style="29" bestFit="1" customWidth="1"/>
    <col min="3012" max="3013" width="8.83203125" style="29"/>
    <col min="3014" max="3014" width="38.33203125" style="29" bestFit="1" customWidth="1"/>
    <col min="3015" max="3018" width="8.83203125" style="29"/>
    <col min="3019" max="3019" width="11" style="29" bestFit="1" customWidth="1"/>
    <col min="3020" max="3020" width="8.83203125" style="29"/>
    <col min="3021" max="3021" width="13.5" style="29" customWidth="1"/>
    <col min="3022" max="3041" width="8.83203125" style="29"/>
    <col min="3042" max="3042" width="17.6640625" style="29" bestFit="1" customWidth="1"/>
    <col min="3043" max="3050" width="8.83203125" style="29"/>
    <col min="3051" max="3051" width="11.1640625" style="29" customWidth="1"/>
    <col min="3052" max="3071" width="8.83203125" style="29"/>
    <col min="3072" max="3072" width="13.5" style="29" bestFit="1" customWidth="1"/>
    <col min="3073" max="3096" width="8.83203125" style="29"/>
    <col min="3097" max="3097" width="48.5" style="29" bestFit="1" customWidth="1"/>
    <col min="3098" max="3103" width="8.83203125" style="29"/>
    <col min="3104" max="3104" width="18" style="29" bestFit="1" customWidth="1"/>
    <col min="3105" max="3106" width="14.5" style="29" bestFit="1" customWidth="1"/>
    <col min="3107" max="3252" width="8.83203125" style="29"/>
    <col min="3253" max="3253" width="5.5" style="29" bestFit="1" customWidth="1"/>
    <col min="3254" max="3256" width="30.6640625" style="29" customWidth="1"/>
    <col min="3257" max="3257" width="13.5" style="29" bestFit="1" customWidth="1"/>
    <col min="3258" max="3258" width="8.83203125" style="29"/>
    <col min="3259" max="3259" width="13" style="29" bestFit="1" customWidth="1"/>
    <col min="3260" max="3260" width="10.5" style="29" bestFit="1" customWidth="1"/>
    <col min="3261" max="3266" width="8.83203125" style="29"/>
    <col min="3267" max="3267" width="16.1640625" style="29" bestFit="1" customWidth="1"/>
    <col min="3268" max="3269" width="8.83203125" style="29"/>
    <col min="3270" max="3270" width="38.33203125" style="29" bestFit="1" customWidth="1"/>
    <col min="3271" max="3274" width="8.83203125" style="29"/>
    <col min="3275" max="3275" width="11" style="29" bestFit="1" customWidth="1"/>
    <col min="3276" max="3276" width="8.83203125" style="29"/>
    <col min="3277" max="3277" width="13.5" style="29" customWidth="1"/>
    <col min="3278" max="3297" width="8.83203125" style="29"/>
    <col min="3298" max="3298" width="17.6640625" style="29" bestFit="1" customWidth="1"/>
    <col min="3299" max="3306" width="8.83203125" style="29"/>
    <col min="3307" max="3307" width="11.1640625" style="29" customWidth="1"/>
    <col min="3308" max="3327" width="8.83203125" style="29"/>
    <col min="3328" max="3328" width="13.5" style="29" bestFit="1" customWidth="1"/>
    <col min="3329" max="3352" width="8.83203125" style="29"/>
    <col min="3353" max="3353" width="48.5" style="29" bestFit="1" customWidth="1"/>
    <col min="3354" max="3359" width="8.83203125" style="29"/>
    <col min="3360" max="3360" width="18" style="29" bestFit="1" customWidth="1"/>
    <col min="3361" max="3362" width="14.5" style="29" bestFit="1" customWidth="1"/>
    <col min="3363" max="3508" width="8.83203125" style="29"/>
    <col min="3509" max="3509" width="5.5" style="29" bestFit="1" customWidth="1"/>
    <col min="3510" max="3512" width="30.6640625" style="29" customWidth="1"/>
    <col min="3513" max="3513" width="13.5" style="29" bestFit="1" customWidth="1"/>
    <col min="3514" max="3514" width="8.83203125" style="29"/>
    <col min="3515" max="3515" width="13" style="29" bestFit="1" customWidth="1"/>
    <col min="3516" max="3516" width="10.5" style="29" bestFit="1" customWidth="1"/>
    <col min="3517" max="3522" width="8.83203125" style="29"/>
    <col min="3523" max="3523" width="16.1640625" style="29" bestFit="1" customWidth="1"/>
    <col min="3524" max="3525" width="8.83203125" style="29"/>
    <col min="3526" max="3526" width="38.33203125" style="29" bestFit="1" customWidth="1"/>
    <col min="3527" max="3530" width="8.83203125" style="29"/>
    <col min="3531" max="3531" width="11" style="29" bestFit="1" customWidth="1"/>
    <col min="3532" max="3532" width="8.83203125" style="29"/>
    <col min="3533" max="3533" width="13.5" style="29" customWidth="1"/>
    <col min="3534" max="3553" width="8.83203125" style="29"/>
    <col min="3554" max="3554" width="17.6640625" style="29" bestFit="1" customWidth="1"/>
    <col min="3555" max="3562" width="8.83203125" style="29"/>
    <col min="3563" max="3563" width="11.1640625" style="29" customWidth="1"/>
    <col min="3564" max="3583" width="8.83203125" style="29"/>
    <col min="3584" max="3584" width="13.5" style="29" bestFit="1" customWidth="1"/>
    <col min="3585" max="3608" width="8.83203125" style="29"/>
    <col min="3609" max="3609" width="48.5" style="29" bestFit="1" customWidth="1"/>
    <col min="3610" max="3615" width="8.83203125" style="29"/>
    <col min="3616" max="3616" width="18" style="29" bestFit="1" customWidth="1"/>
    <col min="3617" max="3618" width="14.5" style="29" bestFit="1" customWidth="1"/>
    <col min="3619" max="3764" width="8.83203125" style="29"/>
    <col min="3765" max="3765" width="5.5" style="29" bestFit="1" customWidth="1"/>
    <col min="3766" max="3768" width="30.6640625" style="29" customWidth="1"/>
    <col min="3769" max="3769" width="13.5" style="29" bestFit="1" customWidth="1"/>
    <col min="3770" max="3770" width="8.83203125" style="29"/>
    <col min="3771" max="3771" width="13" style="29" bestFit="1" customWidth="1"/>
    <col min="3772" max="3772" width="10.5" style="29" bestFit="1" customWidth="1"/>
    <col min="3773" max="3778" width="8.83203125" style="29"/>
    <col min="3779" max="3779" width="16.1640625" style="29" bestFit="1" customWidth="1"/>
    <col min="3780" max="3781" width="8.83203125" style="29"/>
    <col min="3782" max="3782" width="38.33203125" style="29" bestFit="1" customWidth="1"/>
    <col min="3783" max="3786" width="8.83203125" style="29"/>
    <col min="3787" max="3787" width="11" style="29" bestFit="1" customWidth="1"/>
    <col min="3788" max="3788" width="8.83203125" style="29"/>
    <col min="3789" max="3789" width="13.5" style="29" customWidth="1"/>
    <col min="3790" max="3809" width="8.83203125" style="29"/>
    <col min="3810" max="3810" width="17.6640625" style="29" bestFit="1" customWidth="1"/>
    <col min="3811" max="3818" width="8.83203125" style="29"/>
    <col min="3819" max="3819" width="11.1640625" style="29" customWidth="1"/>
    <col min="3820" max="3839" width="8.83203125" style="29"/>
    <col min="3840" max="3840" width="13.5" style="29" bestFit="1" customWidth="1"/>
    <col min="3841" max="3864" width="8.83203125" style="29"/>
    <col min="3865" max="3865" width="48.5" style="29" bestFit="1" customWidth="1"/>
    <col min="3866" max="3871" width="8.83203125" style="29"/>
    <col min="3872" max="3872" width="18" style="29" bestFit="1" customWidth="1"/>
    <col min="3873" max="3874" width="14.5" style="29" bestFit="1" customWidth="1"/>
    <col min="3875" max="4020" width="8.83203125" style="29"/>
    <col min="4021" max="4021" width="5.5" style="29" bestFit="1" customWidth="1"/>
    <col min="4022" max="4024" width="30.6640625" style="29" customWidth="1"/>
    <col min="4025" max="4025" width="13.5" style="29" bestFit="1" customWidth="1"/>
    <col min="4026" max="4026" width="8.83203125" style="29"/>
    <col min="4027" max="4027" width="13" style="29" bestFit="1" customWidth="1"/>
    <col min="4028" max="4028" width="10.5" style="29" bestFit="1" customWidth="1"/>
    <col min="4029" max="4034" width="8.83203125" style="29"/>
    <col min="4035" max="4035" width="16.1640625" style="29" bestFit="1" customWidth="1"/>
    <col min="4036" max="4037" width="8.83203125" style="29"/>
    <col min="4038" max="4038" width="38.33203125" style="29" bestFit="1" customWidth="1"/>
    <col min="4039" max="4042" width="8.83203125" style="29"/>
    <col min="4043" max="4043" width="11" style="29" bestFit="1" customWidth="1"/>
    <col min="4044" max="4044" width="8.83203125" style="29"/>
    <col min="4045" max="4045" width="13.5" style="29" customWidth="1"/>
    <col min="4046" max="4065" width="8.83203125" style="29"/>
    <col min="4066" max="4066" width="17.6640625" style="29" bestFit="1" customWidth="1"/>
    <col min="4067" max="4074" width="8.83203125" style="29"/>
    <col min="4075" max="4075" width="11.1640625" style="29" customWidth="1"/>
    <col min="4076" max="4095" width="8.83203125" style="29"/>
    <col min="4096" max="4096" width="13.5" style="29" bestFit="1" customWidth="1"/>
    <col min="4097" max="4120" width="8.83203125" style="29"/>
    <col min="4121" max="4121" width="48.5" style="29" bestFit="1" customWidth="1"/>
    <col min="4122" max="4127" width="8.83203125" style="29"/>
    <col min="4128" max="4128" width="18" style="29" bestFit="1" customWidth="1"/>
    <col min="4129" max="4130" width="14.5" style="29" bestFit="1" customWidth="1"/>
    <col min="4131" max="4276" width="8.83203125" style="29"/>
    <col min="4277" max="4277" width="5.5" style="29" bestFit="1" customWidth="1"/>
    <col min="4278" max="4280" width="30.6640625" style="29" customWidth="1"/>
    <col min="4281" max="4281" width="13.5" style="29" bestFit="1" customWidth="1"/>
    <col min="4282" max="4282" width="8.83203125" style="29"/>
    <col min="4283" max="4283" width="13" style="29" bestFit="1" customWidth="1"/>
    <col min="4284" max="4284" width="10.5" style="29" bestFit="1" customWidth="1"/>
    <col min="4285" max="4290" width="8.83203125" style="29"/>
    <col min="4291" max="4291" width="16.1640625" style="29" bestFit="1" customWidth="1"/>
    <col min="4292" max="4293" width="8.83203125" style="29"/>
    <col min="4294" max="4294" width="38.33203125" style="29" bestFit="1" customWidth="1"/>
    <col min="4295" max="4298" width="8.83203125" style="29"/>
    <col min="4299" max="4299" width="11" style="29" bestFit="1" customWidth="1"/>
    <col min="4300" max="4300" width="8.83203125" style="29"/>
    <col min="4301" max="4301" width="13.5" style="29" customWidth="1"/>
    <col min="4302" max="4321" width="8.83203125" style="29"/>
    <col min="4322" max="4322" width="17.6640625" style="29" bestFit="1" customWidth="1"/>
    <col min="4323" max="4330" width="8.83203125" style="29"/>
    <col min="4331" max="4331" width="11.1640625" style="29" customWidth="1"/>
    <col min="4332" max="4351" width="8.83203125" style="29"/>
    <col min="4352" max="4352" width="13.5" style="29" bestFit="1" customWidth="1"/>
    <col min="4353" max="4376" width="8.83203125" style="29"/>
    <col min="4377" max="4377" width="48.5" style="29" bestFit="1" customWidth="1"/>
    <col min="4378" max="4383" width="8.83203125" style="29"/>
    <col min="4384" max="4384" width="18" style="29" bestFit="1" customWidth="1"/>
    <col min="4385" max="4386" width="14.5" style="29" bestFit="1" customWidth="1"/>
    <col min="4387" max="4532" width="8.83203125" style="29"/>
    <col min="4533" max="4533" width="5.5" style="29" bestFit="1" customWidth="1"/>
    <col min="4534" max="4536" width="30.6640625" style="29" customWidth="1"/>
    <col min="4537" max="4537" width="13.5" style="29" bestFit="1" customWidth="1"/>
    <col min="4538" max="4538" width="8.83203125" style="29"/>
    <col min="4539" max="4539" width="13" style="29" bestFit="1" customWidth="1"/>
    <col min="4540" max="4540" width="10.5" style="29" bestFit="1" customWidth="1"/>
    <col min="4541" max="4546" width="8.83203125" style="29"/>
    <col min="4547" max="4547" width="16.1640625" style="29" bestFit="1" customWidth="1"/>
    <col min="4548" max="4549" width="8.83203125" style="29"/>
    <col min="4550" max="4550" width="38.33203125" style="29" bestFit="1" customWidth="1"/>
    <col min="4551" max="4554" width="8.83203125" style="29"/>
    <col min="4555" max="4555" width="11" style="29" bestFit="1" customWidth="1"/>
    <col min="4556" max="4556" width="8.83203125" style="29"/>
    <col min="4557" max="4557" width="13.5" style="29" customWidth="1"/>
    <col min="4558" max="4577" width="8.83203125" style="29"/>
    <col min="4578" max="4578" width="17.6640625" style="29" bestFit="1" customWidth="1"/>
    <col min="4579" max="4586" width="8.83203125" style="29"/>
    <col min="4587" max="4587" width="11.1640625" style="29" customWidth="1"/>
    <col min="4588" max="4607" width="8.83203125" style="29"/>
    <col min="4608" max="4608" width="13.5" style="29" bestFit="1" customWidth="1"/>
    <col min="4609" max="4632" width="8.83203125" style="29"/>
    <col min="4633" max="4633" width="48.5" style="29" bestFit="1" customWidth="1"/>
    <col min="4634" max="4639" width="8.83203125" style="29"/>
    <col min="4640" max="4640" width="18" style="29" bestFit="1" customWidth="1"/>
    <col min="4641" max="4642" width="14.5" style="29" bestFit="1" customWidth="1"/>
    <col min="4643" max="4788" width="8.83203125" style="29"/>
    <col min="4789" max="4789" width="5.5" style="29" bestFit="1" customWidth="1"/>
    <col min="4790" max="4792" width="30.6640625" style="29" customWidth="1"/>
    <col min="4793" max="4793" width="13.5" style="29" bestFit="1" customWidth="1"/>
    <col min="4794" max="4794" width="8.83203125" style="29"/>
    <col min="4795" max="4795" width="13" style="29" bestFit="1" customWidth="1"/>
    <col min="4796" max="4796" width="10.5" style="29" bestFit="1" customWidth="1"/>
    <col min="4797" max="4802" width="8.83203125" style="29"/>
    <col min="4803" max="4803" width="16.1640625" style="29" bestFit="1" customWidth="1"/>
    <col min="4804" max="4805" width="8.83203125" style="29"/>
    <col min="4806" max="4806" width="38.33203125" style="29" bestFit="1" customWidth="1"/>
    <col min="4807" max="4810" width="8.83203125" style="29"/>
    <col min="4811" max="4811" width="11" style="29" bestFit="1" customWidth="1"/>
    <col min="4812" max="4812" width="8.83203125" style="29"/>
    <col min="4813" max="4813" width="13.5" style="29" customWidth="1"/>
    <col min="4814" max="4833" width="8.83203125" style="29"/>
    <col min="4834" max="4834" width="17.6640625" style="29" bestFit="1" customWidth="1"/>
    <col min="4835" max="4842" width="8.83203125" style="29"/>
    <col min="4843" max="4843" width="11.1640625" style="29" customWidth="1"/>
    <col min="4844" max="4863" width="8.83203125" style="29"/>
    <col min="4864" max="4864" width="13.5" style="29" bestFit="1" customWidth="1"/>
    <col min="4865" max="4888" width="8.83203125" style="29"/>
    <col min="4889" max="4889" width="48.5" style="29" bestFit="1" customWidth="1"/>
    <col min="4890" max="4895" width="8.83203125" style="29"/>
    <col min="4896" max="4896" width="18" style="29" bestFit="1" customWidth="1"/>
    <col min="4897" max="4898" width="14.5" style="29" bestFit="1" customWidth="1"/>
    <col min="4899" max="5044" width="8.83203125" style="29"/>
    <col min="5045" max="5045" width="5.5" style="29" bestFit="1" customWidth="1"/>
    <col min="5046" max="5048" width="30.6640625" style="29" customWidth="1"/>
    <col min="5049" max="5049" width="13.5" style="29" bestFit="1" customWidth="1"/>
    <col min="5050" max="5050" width="8.83203125" style="29"/>
    <col min="5051" max="5051" width="13" style="29" bestFit="1" customWidth="1"/>
    <col min="5052" max="5052" width="10.5" style="29" bestFit="1" customWidth="1"/>
    <col min="5053" max="5058" width="8.83203125" style="29"/>
    <col min="5059" max="5059" width="16.1640625" style="29" bestFit="1" customWidth="1"/>
    <col min="5060" max="5061" width="8.83203125" style="29"/>
    <col min="5062" max="5062" width="38.33203125" style="29" bestFit="1" customWidth="1"/>
    <col min="5063" max="5066" width="8.83203125" style="29"/>
    <col min="5067" max="5067" width="11" style="29" bestFit="1" customWidth="1"/>
    <col min="5068" max="5068" width="8.83203125" style="29"/>
    <col min="5069" max="5069" width="13.5" style="29" customWidth="1"/>
    <col min="5070" max="5089" width="8.83203125" style="29"/>
    <col min="5090" max="5090" width="17.6640625" style="29" bestFit="1" customWidth="1"/>
    <col min="5091" max="5098" width="8.83203125" style="29"/>
    <col min="5099" max="5099" width="11.1640625" style="29" customWidth="1"/>
    <col min="5100" max="5119" width="8.83203125" style="29"/>
    <col min="5120" max="5120" width="13.5" style="29" bestFit="1" customWidth="1"/>
    <col min="5121" max="5144" width="8.83203125" style="29"/>
    <col min="5145" max="5145" width="48.5" style="29" bestFit="1" customWidth="1"/>
    <col min="5146" max="5151" width="8.83203125" style="29"/>
    <col min="5152" max="5152" width="18" style="29" bestFit="1" customWidth="1"/>
    <col min="5153" max="5154" width="14.5" style="29" bestFit="1" customWidth="1"/>
    <col min="5155" max="5300" width="8.83203125" style="29"/>
    <col min="5301" max="5301" width="5.5" style="29" bestFit="1" customWidth="1"/>
    <col min="5302" max="5304" width="30.6640625" style="29" customWidth="1"/>
    <col min="5305" max="5305" width="13.5" style="29" bestFit="1" customWidth="1"/>
    <col min="5306" max="5306" width="8.83203125" style="29"/>
    <col min="5307" max="5307" width="13" style="29" bestFit="1" customWidth="1"/>
    <col min="5308" max="5308" width="10.5" style="29" bestFit="1" customWidth="1"/>
    <col min="5309" max="5314" width="8.83203125" style="29"/>
    <col min="5315" max="5315" width="16.1640625" style="29" bestFit="1" customWidth="1"/>
    <col min="5316" max="5317" width="8.83203125" style="29"/>
    <col min="5318" max="5318" width="38.33203125" style="29" bestFit="1" customWidth="1"/>
    <col min="5319" max="5322" width="8.83203125" style="29"/>
    <col min="5323" max="5323" width="11" style="29" bestFit="1" customWidth="1"/>
    <col min="5324" max="5324" width="8.83203125" style="29"/>
    <col min="5325" max="5325" width="13.5" style="29" customWidth="1"/>
    <col min="5326" max="5345" width="8.83203125" style="29"/>
    <col min="5346" max="5346" width="17.6640625" style="29" bestFit="1" customWidth="1"/>
    <col min="5347" max="5354" width="8.83203125" style="29"/>
    <col min="5355" max="5355" width="11.1640625" style="29" customWidth="1"/>
    <col min="5356" max="5375" width="8.83203125" style="29"/>
    <col min="5376" max="5376" width="13.5" style="29" bestFit="1" customWidth="1"/>
    <col min="5377" max="5400" width="8.83203125" style="29"/>
    <col min="5401" max="5401" width="48.5" style="29" bestFit="1" customWidth="1"/>
    <col min="5402" max="5407" width="8.83203125" style="29"/>
    <col min="5408" max="5408" width="18" style="29" bestFit="1" customWidth="1"/>
    <col min="5409" max="5410" width="14.5" style="29" bestFit="1" customWidth="1"/>
    <col min="5411" max="5556" width="8.83203125" style="29"/>
    <col min="5557" max="5557" width="5.5" style="29" bestFit="1" customWidth="1"/>
    <col min="5558" max="5560" width="30.6640625" style="29" customWidth="1"/>
    <col min="5561" max="5561" width="13.5" style="29" bestFit="1" customWidth="1"/>
    <col min="5562" max="5562" width="8.83203125" style="29"/>
    <col min="5563" max="5563" width="13" style="29" bestFit="1" customWidth="1"/>
    <col min="5564" max="5564" width="10.5" style="29" bestFit="1" customWidth="1"/>
    <col min="5565" max="5570" width="8.83203125" style="29"/>
    <col min="5571" max="5571" width="16.1640625" style="29" bestFit="1" customWidth="1"/>
    <col min="5572" max="5573" width="8.83203125" style="29"/>
    <col min="5574" max="5574" width="38.33203125" style="29" bestFit="1" customWidth="1"/>
    <col min="5575" max="5578" width="8.83203125" style="29"/>
    <col min="5579" max="5579" width="11" style="29" bestFit="1" customWidth="1"/>
    <col min="5580" max="5580" width="8.83203125" style="29"/>
    <col min="5581" max="5581" width="13.5" style="29" customWidth="1"/>
    <col min="5582" max="5601" width="8.83203125" style="29"/>
    <col min="5602" max="5602" width="17.6640625" style="29" bestFit="1" customWidth="1"/>
    <col min="5603" max="5610" width="8.83203125" style="29"/>
    <col min="5611" max="5611" width="11.1640625" style="29" customWidth="1"/>
    <col min="5612" max="5631" width="8.83203125" style="29"/>
    <col min="5632" max="5632" width="13.5" style="29" bestFit="1" customWidth="1"/>
    <col min="5633" max="5656" width="8.83203125" style="29"/>
    <col min="5657" max="5657" width="48.5" style="29" bestFit="1" customWidth="1"/>
    <col min="5658" max="5663" width="8.83203125" style="29"/>
    <col min="5664" max="5664" width="18" style="29" bestFit="1" customWidth="1"/>
    <col min="5665" max="5666" width="14.5" style="29" bestFit="1" customWidth="1"/>
    <col min="5667" max="5812" width="8.83203125" style="29"/>
    <col min="5813" max="5813" width="5.5" style="29" bestFit="1" customWidth="1"/>
    <col min="5814" max="5816" width="30.6640625" style="29" customWidth="1"/>
    <col min="5817" max="5817" width="13.5" style="29" bestFit="1" customWidth="1"/>
    <col min="5818" max="5818" width="8.83203125" style="29"/>
    <col min="5819" max="5819" width="13" style="29" bestFit="1" customWidth="1"/>
    <col min="5820" max="5820" width="10.5" style="29" bestFit="1" customWidth="1"/>
    <col min="5821" max="5826" width="8.83203125" style="29"/>
    <col min="5827" max="5827" width="16.1640625" style="29" bestFit="1" customWidth="1"/>
    <col min="5828" max="5829" width="8.83203125" style="29"/>
    <col min="5830" max="5830" width="38.33203125" style="29" bestFit="1" customWidth="1"/>
    <col min="5831" max="5834" width="8.83203125" style="29"/>
    <col min="5835" max="5835" width="11" style="29" bestFit="1" customWidth="1"/>
    <col min="5836" max="5836" width="8.83203125" style="29"/>
    <col min="5837" max="5837" width="13.5" style="29" customWidth="1"/>
    <col min="5838" max="5857" width="8.83203125" style="29"/>
    <col min="5858" max="5858" width="17.6640625" style="29" bestFit="1" customWidth="1"/>
    <col min="5859" max="5866" width="8.83203125" style="29"/>
    <col min="5867" max="5867" width="11.1640625" style="29" customWidth="1"/>
    <col min="5868" max="5887" width="8.83203125" style="29"/>
    <col min="5888" max="5888" width="13.5" style="29" bestFit="1" customWidth="1"/>
    <col min="5889" max="5912" width="8.83203125" style="29"/>
    <col min="5913" max="5913" width="48.5" style="29" bestFit="1" customWidth="1"/>
    <col min="5914" max="5919" width="8.83203125" style="29"/>
    <col min="5920" max="5920" width="18" style="29" bestFit="1" customWidth="1"/>
    <col min="5921" max="5922" width="14.5" style="29" bestFit="1" customWidth="1"/>
    <col min="5923" max="6068" width="8.83203125" style="29"/>
    <col min="6069" max="6069" width="5.5" style="29" bestFit="1" customWidth="1"/>
    <col min="6070" max="6072" width="30.6640625" style="29" customWidth="1"/>
    <col min="6073" max="6073" width="13.5" style="29" bestFit="1" customWidth="1"/>
    <col min="6074" max="6074" width="8.83203125" style="29"/>
    <col min="6075" max="6075" width="13" style="29" bestFit="1" customWidth="1"/>
    <col min="6076" max="6076" width="10.5" style="29" bestFit="1" customWidth="1"/>
    <col min="6077" max="6082" width="8.83203125" style="29"/>
    <col min="6083" max="6083" width="16.1640625" style="29" bestFit="1" customWidth="1"/>
    <col min="6084" max="6085" width="8.83203125" style="29"/>
    <col min="6086" max="6086" width="38.33203125" style="29" bestFit="1" customWidth="1"/>
    <col min="6087" max="6090" width="8.83203125" style="29"/>
    <col min="6091" max="6091" width="11" style="29" bestFit="1" customWidth="1"/>
    <col min="6092" max="6092" width="8.83203125" style="29"/>
    <col min="6093" max="6093" width="13.5" style="29" customWidth="1"/>
    <col min="6094" max="6113" width="8.83203125" style="29"/>
    <col min="6114" max="6114" width="17.6640625" style="29" bestFit="1" customWidth="1"/>
    <col min="6115" max="6122" width="8.83203125" style="29"/>
    <col min="6123" max="6123" width="11.1640625" style="29" customWidth="1"/>
    <col min="6124" max="6143" width="8.83203125" style="29"/>
    <col min="6144" max="6144" width="13.5" style="29" bestFit="1" customWidth="1"/>
    <col min="6145" max="6168" width="8.83203125" style="29"/>
    <col min="6169" max="6169" width="48.5" style="29" bestFit="1" customWidth="1"/>
    <col min="6170" max="6175" width="8.83203125" style="29"/>
    <col min="6176" max="6176" width="18" style="29" bestFit="1" customWidth="1"/>
    <col min="6177" max="6178" width="14.5" style="29" bestFit="1" customWidth="1"/>
    <col min="6179" max="6324" width="8.83203125" style="29"/>
    <col min="6325" max="6325" width="5.5" style="29" bestFit="1" customWidth="1"/>
    <col min="6326" max="6328" width="30.6640625" style="29" customWidth="1"/>
    <col min="6329" max="6329" width="13.5" style="29" bestFit="1" customWidth="1"/>
    <col min="6330" max="6330" width="8.83203125" style="29"/>
    <col min="6331" max="6331" width="13" style="29" bestFit="1" customWidth="1"/>
    <col min="6332" max="6332" width="10.5" style="29" bestFit="1" customWidth="1"/>
    <col min="6333" max="6338" width="8.83203125" style="29"/>
    <col min="6339" max="6339" width="16.1640625" style="29" bestFit="1" customWidth="1"/>
    <col min="6340" max="6341" width="8.83203125" style="29"/>
    <col min="6342" max="6342" width="38.33203125" style="29" bestFit="1" customWidth="1"/>
    <col min="6343" max="6346" width="8.83203125" style="29"/>
    <col min="6347" max="6347" width="11" style="29" bestFit="1" customWidth="1"/>
    <col min="6348" max="6348" width="8.83203125" style="29"/>
    <col min="6349" max="6349" width="13.5" style="29" customWidth="1"/>
    <col min="6350" max="6369" width="8.83203125" style="29"/>
    <col min="6370" max="6370" width="17.6640625" style="29" bestFit="1" customWidth="1"/>
    <col min="6371" max="6378" width="8.83203125" style="29"/>
    <col min="6379" max="6379" width="11.1640625" style="29" customWidth="1"/>
    <col min="6380" max="6399" width="8.83203125" style="29"/>
    <col min="6400" max="6400" width="13.5" style="29" bestFit="1" customWidth="1"/>
    <col min="6401" max="6424" width="8.83203125" style="29"/>
    <col min="6425" max="6425" width="48.5" style="29" bestFit="1" customWidth="1"/>
    <col min="6426" max="6431" width="8.83203125" style="29"/>
    <col min="6432" max="6432" width="18" style="29" bestFit="1" customWidth="1"/>
    <col min="6433" max="6434" width="14.5" style="29" bestFit="1" customWidth="1"/>
    <col min="6435" max="6580" width="8.83203125" style="29"/>
    <col min="6581" max="6581" width="5.5" style="29" bestFit="1" customWidth="1"/>
    <col min="6582" max="6584" width="30.6640625" style="29" customWidth="1"/>
    <col min="6585" max="6585" width="13.5" style="29" bestFit="1" customWidth="1"/>
    <col min="6586" max="6586" width="8.83203125" style="29"/>
    <col min="6587" max="6587" width="13" style="29" bestFit="1" customWidth="1"/>
    <col min="6588" max="6588" width="10.5" style="29" bestFit="1" customWidth="1"/>
    <col min="6589" max="6594" width="8.83203125" style="29"/>
    <col min="6595" max="6595" width="16.1640625" style="29" bestFit="1" customWidth="1"/>
    <col min="6596" max="6597" width="8.83203125" style="29"/>
    <col min="6598" max="6598" width="38.33203125" style="29" bestFit="1" customWidth="1"/>
    <col min="6599" max="6602" width="8.83203125" style="29"/>
    <col min="6603" max="6603" width="11" style="29" bestFit="1" customWidth="1"/>
    <col min="6604" max="6604" width="8.83203125" style="29"/>
    <col min="6605" max="6605" width="13.5" style="29" customWidth="1"/>
    <col min="6606" max="6625" width="8.83203125" style="29"/>
    <col min="6626" max="6626" width="17.6640625" style="29" bestFit="1" customWidth="1"/>
    <col min="6627" max="6634" width="8.83203125" style="29"/>
    <col min="6635" max="6635" width="11.1640625" style="29" customWidth="1"/>
    <col min="6636" max="6655" width="8.83203125" style="29"/>
    <col min="6656" max="6656" width="13.5" style="29" bestFit="1" customWidth="1"/>
    <col min="6657" max="6680" width="8.83203125" style="29"/>
    <col min="6681" max="6681" width="48.5" style="29" bestFit="1" customWidth="1"/>
    <col min="6682" max="6687" width="8.83203125" style="29"/>
    <col min="6688" max="6688" width="18" style="29" bestFit="1" customWidth="1"/>
    <col min="6689" max="6690" width="14.5" style="29" bestFit="1" customWidth="1"/>
    <col min="6691" max="6836" width="8.83203125" style="29"/>
    <col min="6837" max="6837" width="5.5" style="29" bestFit="1" customWidth="1"/>
    <col min="6838" max="6840" width="30.6640625" style="29" customWidth="1"/>
    <col min="6841" max="6841" width="13.5" style="29" bestFit="1" customWidth="1"/>
    <col min="6842" max="6842" width="8.83203125" style="29"/>
    <col min="6843" max="6843" width="13" style="29" bestFit="1" customWidth="1"/>
    <col min="6844" max="6844" width="10.5" style="29" bestFit="1" customWidth="1"/>
    <col min="6845" max="6850" width="8.83203125" style="29"/>
    <col min="6851" max="6851" width="16.1640625" style="29" bestFit="1" customWidth="1"/>
    <col min="6852" max="6853" width="8.83203125" style="29"/>
    <col min="6854" max="6854" width="38.33203125" style="29" bestFit="1" customWidth="1"/>
    <col min="6855" max="6858" width="8.83203125" style="29"/>
    <col min="6859" max="6859" width="11" style="29" bestFit="1" customWidth="1"/>
    <col min="6860" max="6860" width="8.83203125" style="29"/>
    <col min="6861" max="6861" width="13.5" style="29" customWidth="1"/>
    <col min="6862" max="6881" width="8.83203125" style="29"/>
    <col min="6882" max="6882" width="17.6640625" style="29" bestFit="1" customWidth="1"/>
    <col min="6883" max="6890" width="8.83203125" style="29"/>
    <col min="6891" max="6891" width="11.1640625" style="29" customWidth="1"/>
    <col min="6892" max="6911" width="8.83203125" style="29"/>
    <col min="6912" max="6912" width="13.5" style="29" bestFit="1" customWidth="1"/>
    <col min="6913" max="6936" width="8.83203125" style="29"/>
    <col min="6937" max="6937" width="48.5" style="29" bestFit="1" customWidth="1"/>
    <col min="6938" max="6943" width="8.83203125" style="29"/>
    <col min="6944" max="6944" width="18" style="29" bestFit="1" customWidth="1"/>
    <col min="6945" max="6946" width="14.5" style="29" bestFit="1" customWidth="1"/>
    <col min="6947" max="7092" width="8.83203125" style="29"/>
    <col min="7093" max="7093" width="5.5" style="29" bestFit="1" customWidth="1"/>
    <col min="7094" max="7096" width="30.6640625" style="29" customWidth="1"/>
    <col min="7097" max="7097" width="13.5" style="29" bestFit="1" customWidth="1"/>
    <col min="7098" max="7098" width="8.83203125" style="29"/>
    <col min="7099" max="7099" width="13" style="29" bestFit="1" customWidth="1"/>
    <col min="7100" max="7100" width="10.5" style="29" bestFit="1" customWidth="1"/>
    <col min="7101" max="7106" width="8.83203125" style="29"/>
    <col min="7107" max="7107" width="16.1640625" style="29" bestFit="1" customWidth="1"/>
    <col min="7108" max="7109" width="8.83203125" style="29"/>
    <col min="7110" max="7110" width="38.33203125" style="29" bestFit="1" customWidth="1"/>
    <col min="7111" max="7114" width="8.83203125" style="29"/>
    <col min="7115" max="7115" width="11" style="29" bestFit="1" customWidth="1"/>
    <col min="7116" max="7116" width="8.83203125" style="29"/>
    <col min="7117" max="7117" width="13.5" style="29" customWidth="1"/>
    <col min="7118" max="7137" width="8.83203125" style="29"/>
    <col min="7138" max="7138" width="17.6640625" style="29" bestFit="1" customWidth="1"/>
    <col min="7139" max="7146" width="8.83203125" style="29"/>
    <col min="7147" max="7147" width="11.1640625" style="29" customWidth="1"/>
    <col min="7148" max="7167" width="8.83203125" style="29"/>
    <col min="7168" max="7168" width="13.5" style="29" bestFit="1" customWidth="1"/>
    <col min="7169" max="7192" width="8.83203125" style="29"/>
    <col min="7193" max="7193" width="48.5" style="29" bestFit="1" customWidth="1"/>
    <col min="7194" max="7199" width="8.83203125" style="29"/>
    <col min="7200" max="7200" width="18" style="29" bestFit="1" customWidth="1"/>
    <col min="7201" max="7202" width="14.5" style="29" bestFit="1" customWidth="1"/>
    <col min="7203" max="7348" width="8.83203125" style="29"/>
    <col min="7349" max="7349" width="5.5" style="29" bestFit="1" customWidth="1"/>
    <col min="7350" max="7352" width="30.6640625" style="29" customWidth="1"/>
    <col min="7353" max="7353" width="13.5" style="29" bestFit="1" customWidth="1"/>
    <col min="7354" max="7354" width="8.83203125" style="29"/>
    <col min="7355" max="7355" width="13" style="29" bestFit="1" customWidth="1"/>
    <col min="7356" max="7356" width="10.5" style="29" bestFit="1" customWidth="1"/>
    <col min="7357" max="7362" width="8.83203125" style="29"/>
    <col min="7363" max="7363" width="16.1640625" style="29" bestFit="1" customWidth="1"/>
    <col min="7364" max="7365" width="8.83203125" style="29"/>
    <col min="7366" max="7366" width="38.33203125" style="29" bestFit="1" customWidth="1"/>
    <col min="7367" max="7370" width="8.83203125" style="29"/>
    <col min="7371" max="7371" width="11" style="29" bestFit="1" customWidth="1"/>
    <col min="7372" max="7372" width="8.83203125" style="29"/>
    <col min="7373" max="7373" width="13.5" style="29" customWidth="1"/>
    <col min="7374" max="7393" width="8.83203125" style="29"/>
    <col min="7394" max="7394" width="17.6640625" style="29" bestFit="1" customWidth="1"/>
    <col min="7395" max="7402" width="8.83203125" style="29"/>
    <col min="7403" max="7403" width="11.1640625" style="29" customWidth="1"/>
    <col min="7404" max="7423" width="8.83203125" style="29"/>
    <col min="7424" max="7424" width="13.5" style="29" bestFit="1" customWidth="1"/>
    <col min="7425" max="7448" width="8.83203125" style="29"/>
    <col min="7449" max="7449" width="48.5" style="29" bestFit="1" customWidth="1"/>
    <col min="7450" max="7455" width="8.83203125" style="29"/>
    <col min="7456" max="7456" width="18" style="29" bestFit="1" customWidth="1"/>
    <col min="7457" max="7458" width="14.5" style="29" bestFit="1" customWidth="1"/>
    <col min="7459" max="7604" width="8.83203125" style="29"/>
    <col min="7605" max="7605" width="5.5" style="29" bestFit="1" customWidth="1"/>
    <col min="7606" max="7608" width="30.6640625" style="29" customWidth="1"/>
    <col min="7609" max="7609" width="13.5" style="29" bestFit="1" customWidth="1"/>
    <col min="7610" max="7610" width="8.83203125" style="29"/>
    <col min="7611" max="7611" width="13" style="29" bestFit="1" customWidth="1"/>
    <col min="7612" max="7612" width="10.5" style="29" bestFit="1" customWidth="1"/>
    <col min="7613" max="7618" width="8.83203125" style="29"/>
    <col min="7619" max="7619" width="16.1640625" style="29" bestFit="1" customWidth="1"/>
    <col min="7620" max="7621" width="8.83203125" style="29"/>
    <col min="7622" max="7622" width="38.33203125" style="29" bestFit="1" customWidth="1"/>
    <col min="7623" max="7626" width="8.83203125" style="29"/>
    <col min="7627" max="7627" width="11" style="29" bestFit="1" customWidth="1"/>
    <col min="7628" max="7628" width="8.83203125" style="29"/>
    <col min="7629" max="7629" width="13.5" style="29" customWidth="1"/>
    <col min="7630" max="7649" width="8.83203125" style="29"/>
    <col min="7650" max="7650" width="17.6640625" style="29" bestFit="1" customWidth="1"/>
    <col min="7651" max="7658" width="8.83203125" style="29"/>
    <col min="7659" max="7659" width="11.1640625" style="29" customWidth="1"/>
    <col min="7660" max="7679" width="8.83203125" style="29"/>
    <col min="7680" max="7680" width="13.5" style="29" bestFit="1" customWidth="1"/>
    <col min="7681" max="7704" width="8.83203125" style="29"/>
    <col min="7705" max="7705" width="48.5" style="29" bestFit="1" customWidth="1"/>
    <col min="7706" max="7711" width="8.83203125" style="29"/>
    <col min="7712" max="7712" width="18" style="29" bestFit="1" customWidth="1"/>
    <col min="7713" max="7714" width="14.5" style="29" bestFit="1" customWidth="1"/>
    <col min="7715" max="7860" width="8.83203125" style="29"/>
    <col min="7861" max="7861" width="5.5" style="29" bestFit="1" customWidth="1"/>
    <col min="7862" max="7864" width="30.6640625" style="29" customWidth="1"/>
    <col min="7865" max="7865" width="13.5" style="29" bestFit="1" customWidth="1"/>
    <col min="7866" max="7866" width="8.83203125" style="29"/>
    <col min="7867" max="7867" width="13" style="29" bestFit="1" customWidth="1"/>
    <col min="7868" max="7868" width="10.5" style="29" bestFit="1" customWidth="1"/>
    <col min="7869" max="7874" width="8.83203125" style="29"/>
    <col min="7875" max="7875" width="16.1640625" style="29" bestFit="1" customWidth="1"/>
    <col min="7876" max="7877" width="8.83203125" style="29"/>
    <col min="7878" max="7878" width="38.33203125" style="29" bestFit="1" customWidth="1"/>
    <col min="7879" max="7882" width="8.83203125" style="29"/>
    <col min="7883" max="7883" width="11" style="29" bestFit="1" customWidth="1"/>
    <col min="7884" max="7884" width="8.83203125" style="29"/>
    <col min="7885" max="7885" width="13.5" style="29" customWidth="1"/>
    <col min="7886" max="7905" width="8.83203125" style="29"/>
    <col min="7906" max="7906" width="17.6640625" style="29" bestFit="1" customWidth="1"/>
    <col min="7907" max="7914" width="8.83203125" style="29"/>
    <col min="7915" max="7915" width="11.1640625" style="29" customWidth="1"/>
    <col min="7916" max="7935" width="8.83203125" style="29"/>
    <col min="7936" max="7936" width="13.5" style="29" bestFit="1" customWidth="1"/>
    <col min="7937" max="7960" width="8.83203125" style="29"/>
    <col min="7961" max="7961" width="48.5" style="29" bestFit="1" customWidth="1"/>
    <col min="7962" max="7967" width="8.83203125" style="29"/>
    <col min="7968" max="7968" width="18" style="29" bestFit="1" customWidth="1"/>
    <col min="7969" max="7970" width="14.5" style="29" bestFit="1" customWidth="1"/>
    <col min="7971" max="8116" width="8.83203125" style="29"/>
    <col min="8117" max="8117" width="5.5" style="29" bestFit="1" customWidth="1"/>
    <col min="8118" max="8120" width="30.6640625" style="29" customWidth="1"/>
    <col min="8121" max="8121" width="13.5" style="29" bestFit="1" customWidth="1"/>
    <col min="8122" max="8122" width="8.83203125" style="29"/>
    <col min="8123" max="8123" width="13" style="29" bestFit="1" customWidth="1"/>
    <col min="8124" max="8124" width="10.5" style="29" bestFit="1" customWidth="1"/>
    <col min="8125" max="8130" width="8.83203125" style="29"/>
    <col min="8131" max="8131" width="16.1640625" style="29" bestFit="1" customWidth="1"/>
    <col min="8132" max="8133" width="8.83203125" style="29"/>
    <col min="8134" max="8134" width="38.33203125" style="29" bestFit="1" customWidth="1"/>
    <col min="8135" max="8138" width="8.83203125" style="29"/>
    <col min="8139" max="8139" width="11" style="29" bestFit="1" customWidth="1"/>
    <col min="8140" max="8140" width="8.83203125" style="29"/>
    <col min="8141" max="8141" width="13.5" style="29" customWidth="1"/>
    <col min="8142" max="8161" width="8.83203125" style="29"/>
    <col min="8162" max="8162" width="17.6640625" style="29" bestFit="1" customWidth="1"/>
    <col min="8163" max="8170" width="8.83203125" style="29"/>
    <col min="8171" max="8171" width="11.1640625" style="29" customWidth="1"/>
    <col min="8172" max="8191" width="8.83203125" style="29"/>
    <col min="8192" max="8192" width="13.5" style="29" bestFit="1" customWidth="1"/>
    <col min="8193" max="8216" width="8.83203125" style="29"/>
    <col min="8217" max="8217" width="48.5" style="29" bestFit="1" customWidth="1"/>
    <col min="8218" max="8223" width="8.83203125" style="29"/>
    <col min="8224" max="8224" width="18" style="29" bestFit="1" customWidth="1"/>
    <col min="8225" max="8226" width="14.5" style="29" bestFit="1" customWidth="1"/>
    <col min="8227" max="8372" width="8.83203125" style="29"/>
    <col min="8373" max="8373" width="5.5" style="29" bestFit="1" customWidth="1"/>
    <col min="8374" max="8376" width="30.6640625" style="29" customWidth="1"/>
    <col min="8377" max="8377" width="13.5" style="29" bestFit="1" customWidth="1"/>
    <col min="8378" max="8378" width="8.83203125" style="29"/>
    <col min="8379" max="8379" width="13" style="29" bestFit="1" customWidth="1"/>
    <col min="8380" max="8380" width="10.5" style="29" bestFit="1" customWidth="1"/>
    <col min="8381" max="8386" width="8.83203125" style="29"/>
    <col min="8387" max="8387" width="16.1640625" style="29" bestFit="1" customWidth="1"/>
    <col min="8388" max="8389" width="8.83203125" style="29"/>
    <col min="8390" max="8390" width="38.33203125" style="29" bestFit="1" customWidth="1"/>
    <col min="8391" max="8394" width="8.83203125" style="29"/>
    <col min="8395" max="8395" width="11" style="29" bestFit="1" customWidth="1"/>
    <col min="8396" max="8396" width="8.83203125" style="29"/>
    <col min="8397" max="8397" width="13.5" style="29" customWidth="1"/>
    <col min="8398" max="8417" width="8.83203125" style="29"/>
    <col min="8418" max="8418" width="17.6640625" style="29" bestFit="1" customWidth="1"/>
    <col min="8419" max="8426" width="8.83203125" style="29"/>
    <col min="8427" max="8427" width="11.1640625" style="29" customWidth="1"/>
    <col min="8428" max="8447" width="8.83203125" style="29"/>
    <col min="8448" max="8448" width="13.5" style="29" bestFit="1" customWidth="1"/>
    <col min="8449" max="8472" width="8.83203125" style="29"/>
    <col min="8473" max="8473" width="48.5" style="29" bestFit="1" customWidth="1"/>
    <col min="8474" max="8479" width="8.83203125" style="29"/>
    <col min="8480" max="8480" width="18" style="29" bestFit="1" customWidth="1"/>
    <col min="8481" max="8482" width="14.5" style="29" bestFit="1" customWidth="1"/>
    <col min="8483" max="8628" width="8.83203125" style="29"/>
    <col min="8629" max="8629" width="5.5" style="29" bestFit="1" customWidth="1"/>
    <col min="8630" max="8632" width="30.6640625" style="29" customWidth="1"/>
    <col min="8633" max="8633" width="13.5" style="29" bestFit="1" customWidth="1"/>
    <col min="8634" max="8634" width="8.83203125" style="29"/>
    <col min="8635" max="8635" width="13" style="29" bestFit="1" customWidth="1"/>
    <col min="8636" max="8636" width="10.5" style="29" bestFit="1" customWidth="1"/>
    <col min="8637" max="8642" width="8.83203125" style="29"/>
    <col min="8643" max="8643" width="16.1640625" style="29" bestFit="1" customWidth="1"/>
    <col min="8644" max="8645" width="8.83203125" style="29"/>
    <col min="8646" max="8646" width="38.33203125" style="29" bestFit="1" customWidth="1"/>
    <col min="8647" max="8650" width="8.83203125" style="29"/>
    <col min="8651" max="8651" width="11" style="29" bestFit="1" customWidth="1"/>
    <col min="8652" max="8652" width="8.83203125" style="29"/>
    <col min="8653" max="8653" width="13.5" style="29" customWidth="1"/>
    <col min="8654" max="8673" width="8.83203125" style="29"/>
    <col min="8674" max="8674" width="17.6640625" style="29" bestFit="1" customWidth="1"/>
    <col min="8675" max="8682" width="8.83203125" style="29"/>
    <col min="8683" max="8683" width="11.1640625" style="29" customWidth="1"/>
    <col min="8684" max="8703" width="8.83203125" style="29"/>
    <col min="8704" max="8704" width="13.5" style="29" bestFit="1" customWidth="1"/>
    <col min="8705" max="8728" width="8.83203125" style="29"/>
    <col min="8729" max="8729" width="48.5" style="29" bestFit="1" customWidth="1"/>
    <col min="8730" max="8735" width="8.83203125" style="29"/>
    <col min="8736" max="8736" width="18" style="29" bestFit="1" customWidth="1"/>
    <col min="8737" max="8738" width="14.5" style="29" bestFit="1" customWidth="1"/>
    <col min="8739" max="8884" width="8.83203125" style="29"/>
    <col min="8885" max="8885" width="5.5" style="29" bestFit="1" customWidth="1"/>
    <col min="8886" max="8888" width="30.6640625" style="29" customWidth="1"/>
    <col min="8889" max="8889" width="13.5" style="29" bestFit="1" customWidth="1"/>
    <col min="8890" max="8890" width="8.83203125" style="29"/>
    <col min="8891" max="8891" width="13" style="29" bestFit="1" customWidth="1"/>
    <col min="8892" max="8892" width="10.5" style="29" bestFit="1" customWidth="1"/>
    <col min="8893" max="8898" width="8.83203125" style="29"/>
    <col min="8899" max="8899" width="16.1640625" style="29" bestFit="1" customWidth="1"/>
    <col min="8900" max="8901" width="8.83203125" style="29"/>
    <col min="8902" max="8902" width="38.33203125" style="29" bestFit="1" customWidth="1"/>
    <col min="8903" max="8906" width="8.83203125" style="29"/>
    <col min="8907" max="8907" width="11" style="29" bestFit="1" customWidth="1"/>
    <col min="8908" max="8908" width="8.83203125" style="29"/>
    <col min="8909" max="8909" width="13.5" style="29" customWidth="1"/>
    <col min="8910" max="8929" width="8.83203125" style="29"/>
    <col min="8930" max="8930" width="17.6640625" style="29" bestFit="1" customWidth="1"/>
    <col min="8931" max="8938" width="8.83203125" style="29"/>
    <col min="8939" max="8939" width="11.1640625" style="29" customWidth="1"/>
    <col min="8940" max="8959" width="8.83203125" style="29"/>
    <col min="8960" max="8960" width="13.5" style="29" bestFit="1" customWidth="1"/>
    <col min="8961" max="8984" width="8.83203125" style="29"/>
    <col min="8985" max="8985" width="48.5" style="29" bestFit="1" customWidth="1"/>
    <col min="8986" max="8991" width="8.83203125" style="29"/>
    <col min="8992" max="8992" width="18" style="29" bestFit="1" customWidth="1"/>
    <col min="8993" max="8994" width="14.5" style="29" bestFit="1" customWidth="1"/>
    <col min="8995" max="9140" width="8.83203125" style="29"/>
    <col min="9141" max="9141" width="5.5" style="29" bestFit="1" customWidth="1"/>
    <col min="9142" max="9144" width="30.6640625" style="29" customWidth="1"/>
    <col min="9145" max="9145" width="13.5" style="29" bestFit="1" customWidth="1"/>
    <col min="9146" max="9146" width="8.83203125" style="29"/>
    <col min="9147" max="9147" width="13" style="29" bestFit="1" customWidth="1"/>
    <col min="9148" max="9148" width="10.5" style="29" bestFit="1" customWidth="1"/>
    <col min="9149" max="9154" width="8.83203125" style="29"/>
    <col min="9155" max="9155" width="16.1640625" style="29" bestFit="1" customWidth="1"/>
    <col min="9156" max="9157" width="8.83203125" style="29"/>
    <col min="9158" max="9158" width="38.33203125" style="29" bestFit="1" customWidth="1"/>
    <col min="9159" max="9162" width="8.83203125" style="29"/>
    <col min="9163" max="9163" width="11" style="29" bestFit="1" customWidth="1"/>
    <col min="9164" max="9164" width="8.83203125" style="29"/>
    <col min="9165" max="9165" width="13.5" style="29" customWidth="1"/>
    <col min="9166" max="9185" width="8.83203125" style="29"/>
    <col min="9186" max="9186" width="17.6640625" style="29" bestFit="1" customWidth="1"/>
    <col min="9187" max="9194" width="8.83203125" style="29"/>
    <col min="9195" max="9195" width="11.1640625" style="29" customWidth="1"/>
    <col min="9196" max="9215" width="8.83203125" style="29"/>
    <col min="9216" max="9216" width="13.5" style="29" bestFit="1" customWidth="1"/>
    <col min="9217" max="9240" width="8.83203125" style="29"/>
    <col min="9241" max="9241" width="48.5" style="29" bestFit="1" customWidth="1"/>
    <col min="9242" max="9247" width="8.83203125" style="29"/>
    <col min="9248" max="9248" width="18" style="29" bestFit="1" customWidth="1"/>
    <col min="9249" max="9250" width="14.5" style="29" bestFit="1" customWidth="1"/>
    <col min="9251" max="9396" width="8.83203125" style="29"/>
    <col min="9397" max="9397" width="5.5" style="29" bestFit="1" customWidth="1"/>
    <col min="9398" max="9400" width="30.6640625" style="29" customWidth="1"/>
    <col min="9401" max="9401" width="13.5" style="29" bestFit="1" customWidth="1"/>
    <col min="9402" max="9402" width="8.83203125" style="29"/>
    <col min="9403" max="9403" width="13" style="29" bestFit="1" customWidth="1"/>
    <col min="9404" max="9404" width="10.5" style="29" bestFit="1" customWidth="1"/>
    <col min="9405" max="9410" width="8.83203125" style="29"/>
    <col min="9411" max="9411" width="16.1640625" style="29" bestFit="1" customWidth="1"/>
    <col min="9412" max="9413" width="8.83203125" style="29"/>
    <col min="9414" max="9414" width="38.33203125" style="29" bestFit="1" customWidth="1"/>
    <col min="9415" max="9418" width="8.83203125" style="29"/>
    <col min="9419" max="9419" width="11" style="29" bestFit="1" customWidth="1"/>
    <col min="9420" max="9420" width="8.83203125" style="29"/>
    <col min="9421" max="9421" width="13.5" style="29" customWidth="1"/>
    <col min="9422" max="9441" width="8.83203125" style="29"/>
    <col min="9442" max="9442" width="17.6640625" style="29" bestFit="1" customWidth="1"/>
    <col min="9443" max="9450" width="8.83203125" style="29"/>
    <col min="9451" max="9451" width="11.1640625" style="29" customWidth="1"/>
    <col min="9452" max="9471" width="8.83203125" style="29"/>
    <col min="9472" max="9472" width="13.5" style="29" bestFit="1" customWidth="1"/>
    <col min="9473" max="9496" width="8.83203125" style="29"/>
    <col min="9497" max="9497" width="48.5" style="29" bestFit="1" customWidth="1"/>
    <col min="9498" max="9503" width="8.83203125" style="29"/>
    <col min="9504" max="9504" width="18" style="29" bestFit="1" customWidth="1"/>
    <col min="9505" max="9506" width="14.5" style="29" bestFit="1" customWidth="1"/>
    <col min="9507" max="9652" width="8.83203125" style="29"/>
    <col min="9653" max="9653" width="5.5" style="29" bestFit="1" customWidth="1"/>
    <col min="9654" max="9656" width="30.6640625" style="29" customWidth="1"/>
    <col min="9657" max="9657" width="13.5" style="29" bestFit="1" customWidth="1"/>
    <col min="9658" max="9658" width="8.83203125" style="29"/>
    <col min="9659" max="9659" width="13" style="29" bestFit="1" customWidth="1"/>
    <col min="9660" max="9660" width="10.5" style="29" bestFit="1" customWidth="1"/>
    <col min="9661" max="9666" width="8.83203125" style="29"/>
    <col min="9667" max="9667" width="16.1640625" style="29" bestFit="1" customWidth="1"/>
    <col min="9668" max="9669" width="8.83203125" style="29"/>
    <col min="9670" max="9670" width="38.33203125" style="29" bestFit="1" customWidth="1"/>
    <col min="9671" max="9674" width="8.83203125" style="29"/>
    <col min="9675" max="9675" width="11" style="29" bestFit="1" customWidth="1"/>
    <col min="9676" max="9676" width="8.83203125" style="29"/>
    <col min="9677" max="9677" width="13.5" style="29" customWidth="1"/>
    <col min="9678" max="9697" width="8.83203125" style="29"/>
    <col min="9698" max="9698" width="17.6640625" style="29" bestFit="1" customWidth="1"/>
    <col min="9699" max="9706" width="8.83203125" style="29"/>
    <col min="9707" max="9707" width="11.1640625" style="29" customWidth="1"/>
    <col min="9708" max="9727" width="8.83203125" style="29"/>
    <col min="9728" max="9728" width="13.5" style="29" bestFit="1" customWidth="1"/>
    <col min="9729" max="9752" width="8.83203125" style="29"/>
    <col min="9753" max="9753" width="48.5" style="29" bestFit="1" customWidth="1"/>
    <col min="9754" max="9759" width="8.83203125" style="29"/>
    <col min="9760" max="9760" width="18" style="29" bestFit="1" customWidth="1"/>
    <col min="9761" max="9762" width="14.5" style="29" bestFit="1" customWidth="1"/>
    <col min="9763" max="9908" width="8.83203125" style="29"/>
    <col min="9909" max="9909" width="5.5" style="29" bestFit="1" customWidth="1"/>
    <col min="9910" max="9912" width="30.6640625" style="29" customWidth="1"/>
    <col min="9913" max="9913" width="13.5" style="29" bestFit="1" customWidth="1"/>
    <col min="9914" max="9914" width="8.83203125" style="29"/>
    <col min="9915" max="9915" width="13" style="29" bestFit="1" customWidth="1"/>
    <col min="9916" max="9916" width="10.5" style="29" bestFit="1" customWidth="1"/>
    <col min="9917" max="9922" width="8.83203125" style="29"/>
    <col min="9923" max="9923" width="16.1640625" style="29" bestFit="1" customWidth="1"/>
    <col min="9924" max="9925" width="8.83203125" style="29"/>
    <col min="9926" max="9926" width="38.33203125" style="29" bestFit="1" customWidth="1"/>
    <col min="9927" max="9930" width="8.83203125" style="29"/>
    <col min="9931" max="9931" width="11" style="29" bestFit="1" customWidth="1"/>
    <col min="9932" max="9932" width="8.83203125" style="29"/>
    <col min="9933" max="9933" width="13.5" style="29" customWidth="1"/>
    <col min="9934" max="9953" width="8.83203125" style="29"/>
    <col min="9954" max="9954" width="17.6640625" style="29" bestFit="1" customWidth="1"/>
    <col min="9955" max="9962" width="8.83203125" style="29"/>
    <col min="9963" max="9963" width="11.1640625" style="29" customWidth="1"/>
    <col min="9964" max="9983" width="8.83203125" style="29"/>
    <col min="9984" max="9984" width="13.5" style="29" bestFit="1" customWidth="1"/>
    <col min="9985" max="10008" width="8.83203125" style="29"/>
    <col min="10009" max="10009" width="48.5" style="29" bestFit="1" customWidth="1"/>
    <col min="10010" max="10015" width="8.83203125" style="29"/>
    <col min="10016" max="10016" width="18" style="29" bestFit="1" customWidth="1"/>
    <col min="10017" max="10018" width="14.5" style="29" bestFit="1" customWidth="1"/>
    <col min="10019" max="10164" width="8.83203125" style="29"/>
    <col min="10165" max="10165" width="5.5" style="29" bestFit="1" customWidth="1"/>
    <col min="10166" max="10168" width="30.6640625" style="29" customWidth="1"/>
    <col min="10169" max="10169" width="13.5" style="29" bestFit="1" customWidth="1"/>
    <col min="10170" max="10170" width="8.83203125" style="29"/>
    <col min="10171" max="10171" width="13" style="29" bestFit="1" customWidth="1"/>
    <col min="10172" max="10172" width="10.5" style="29" bestFit="1" customWidth="1"/>
    <col min="10173" max="10178" width="8.83203125" style="29"/>
    <col min="10179" max="10179" width="16.1640625" style="29" bestFit="1" customWidth="1"/>
    <col min="10180" max="10181" width="8.83203125" style="29"/>
    <col min="10182" max="10182" width="38.33203125" style="29" bestFit="1" customWidth="1"/>
    <col min="10183" max="10186" width="8.83203125" style="29"/>
    <col min="10187" max="10187" width="11" style="29" bestFit="1" customWidth="1"/>
    <col min="10188" max="10188" width="8.83203125" style="29"/>
    <col min="10189" max="10189" width="13.5" style="29" customWidth="1"/>
    <col min="10190" max="10209" width="8.83203125" style="29"/>
    <col min="10210" max="10210" width="17.6640625" style="29" bestFit="1" customWidth="1"/>
    <col min="10211" max="10218" width="8.83203125" style="29"/>
    <col min="10219" max="10219" width="11.1640625" style="29" customWidth="1"/>
    <col min="10220" max="10239" width="8.83203125" style="29"/>
    <col min="10240" max="10240" width="13.5" style="29" bestFit="1" customWidth="1"/>
    <col min="10241" max="10264" width="8.83203125" style="29"/>
    <col min="10265" max="10265" width="48.5" style="29" bestFit="1" customWidth="1"/>
    <col min="10266" max="10271" width="8.83203125" style="29"/>
    <col min="10272" max="10272" width="18" style="29" bestFit="1" customWidth="1"/>
    <col min="10273" max="10274" width="14.5" style="29" bestFit="1" customWidth="1"/>
    <col min="10275" max="10420" width="8.83203125" style="29"/>
    <col min="10421" max="10421" width="5.5" style="29" bestFit="1" customWidth="1"/>
    <col min="10422" max="10424" width="30.6640625" style="29" customWidth="1"/>
    <col min="10425" max="10425" width="13.5" style="29" bestFit="1" customWidth="1"/>
    <col min="10426" max="10426" width="8.83203125" style="29"/>
    <col min="10427" max="10427" width="13" style="29" bestFit="1" customWidth="1"/>
    <col min="10428" max="10428" width="10.5" style="29" bestFit="1" customWidth="1"/>
    <col min="10429" max="10434" width="8.83203125" style="29"/>
    <col min="10435" max="10435" width="16.1640625" style="29" bestFit="1" customWidth="1"/>
    <col min="10436" max="10437" width="8.83203125" style="29"/>
    <col min="10438" max="10438" width="38.33203125" style="29" bestFit="1" customWidth="1"/>
    <col min="10439" max="10442" width="8.83203125" style="29"/>
    <col min="10443" max="10443" width="11" style="29" bestFit="1" customWidth="1"/>
    <col min="10444" max="10444" width="8.83203125" style="29"/>
    <col min="10445" max="10445" width="13.5" style="29" customWidth="1"/>
    <col min="10446" max="10465" width="8.83203125" style="29"/>
    <col min="10466" max="10466" width="17.6640625" style="29" bestFit="1" customWidth="1"/>
    <col min="10467" max="10474" width="8.83203125" style="29"/>
    <col min="10475" max="10475" width="11.1640625" style="29" customWidth="1"/>
    <col min="10476" max="10495" width="8.83203125" style="29"/>
    <col min="10496" max="10496" width="13.5" style="29" bestFit="1" customWidth="1"/>
    <col min="10497" max="10520" width="8.83203125" style="29"/>
    <col min="10521" max="10521" width="48.5" style="29" bestFit="1" customWidth="1"/>
    <col min="10522" max="10527" width="8.83203125" style="29"/>
    <col min="10528" max="10528" width="18" style="29" bestFit="1" customWidth="1"/>
    <col min="10529" max="10530" width="14.5" style="29" bestFit="1" customWidth="1"/>
    <col min="10531" max="10676" width="8.83203125" style="29"/>
    <col min="10677" max="10677" width="5.5" style="29" bestFit="1" customWidth="1"/>
    <col min="10678" max="10680" width="30.6640625" style="29" customWidth="1"/>
    <col min="10681" max="10681" width="13.5" style="29" bestFit="1" customWidth="1"/>
    <col min="10682" max="10682" width="8.83203125" style="29"/>
    <col min="10683" max="10683" width="13" style="29" bestFit="1" customWidth="1"/>
    <col min="10684" max="10684" width="10.5" style="29" bestFit="1" customWidth="1"/>
    <col min="10685" max="10690" width="8.83203125" style="29"/>
    <col min="10691" max="10691" width="16.1640625" style="29" bestFit="1" customWidth="1"/>
    <col min="10692" max="10693" width="8.83203125" style="29"/>
    <col min="10694" max="10694" width="38.33203125" style="29" bestFit="1" customWidth="1"/>
    <col min="10695" max="10698" width="8.83203125" style="29"/>
    <col min="10699" max="10699" width="11" style="29" bestFit="1" customWidth="1"/>
    <col min="10700" max="10700" width="8.83203125" style="29"/>
    <col min="10701" max="10701" width="13.5" style="29" customWidth="1"/>
    <col min="10702" max="10721" width="8.83203125" style="29"/>
    <col min="10722" max="10722" width="17.6640625" style="29" bestFit="1" customWidth="1"/>
    <col min="10723" max="10730" width="8.83203125" style="29"/>
    <col min="10731" max="10731" width="11.1640625" style="29" customWidth="1"/>
    <col min="10732" max="10751" width="8.83203125" style="29"/>
    <col min="10752" max="10752" width="13.5" style="29" bestFit="1" customWidth="1"/>
    <col min="10753" max="10776" width="8.83203125" style="29"/>
    <col min="10777" max="10777" width="48.5" style="29" bestFit="1" customWidth="1"/>
    <col min="10778" max="10783" width="8.83203125" style="29"/>
    <col min="10784" max="10784" width="18" style="29" bestFit="1" customWidth="1"/>
    <col min="10785" max="10786" width="14.5" style="29" bestFit="1" customWidth="1"/>
    <col min="10787" max="10932" width="8.83203125" style="29"/>
    <col min="10933" max="10933" width="5.5" style="29" bestFit="1" customWidth="1"/>
    <col min="10934" max="10936" width="30.6640625" style="29" customWidth="1"/>
    <col min="10937" max="10937" width="13.5" style="29" bestFit="1" customWidth="1"/>
    <col min="10938" max="10938" width="8.83203125" style="29"/>
    <col min="10939" max="10939" width="13" style="29" bestFit="1" customWidth="1"/>
    <col min="10940" max="10940" width="10.5" style="29" bestFit="1" customWidth="1"/>
    <col min="10941" max="10946" width="8.83203125" style="29"/>
    <col min="10947" max="10947" width="16.1640625" style="29" bestFit="1" customWidth="1"/>
    <col min="10948" max="10949" width="8.83203125" style="29"/>
    <col min="10950" max="10950" width="38.33203125" style="29" bestFit="1" customWidth="1"/>
    <col min="10951" max="10954" width="8.83203125" style="29"/>
    <col min="10955" max="10955" width="11" style="29" bestFit="1" customWidth="1"/>
    <col min="10956" max="10956" width="8.83203125" style="29"/>
    <col min="10957" max="10957" width="13.5" style="29" customWidth="1"/>
    <col min="10958" max="10977" width="8.83203125" style="29"/>
    <col min="10978" max="10978" width="17.6640625" style="29" bestFit="1" customWidth="1"/>
    <col min="10979" max="10986" width="8.83203125" style="29"/>
    <col min="10987" max="10987" width="11.1640625" style="29" customWidth="1"/>
    <col min="10988" max="11007" width="8.83203125" style="29"/>
    <col min="11008" max="11008" width="13.5" style="29" bestFit="1" customWidth="1"/>
    <col min="11009" max="11032" width="8.83203125" style="29"/>
    <col min="11033" max="11033" width="48.5" style="29" bestFit="1" customWidth="1"/>
    <col min="11034" max="11039" width="8.83203125" style="29"/>
    <col min="11040" max="11040" width="18" style="29" bestFit="1" customWidth="1"/>
    <col min="11041" max="11042" width="14.5" style="29" bestFit="1" customWidth="1"/>
    <col min="11043" max="11188" width="8.83203125" style="29"/>
    <col min="11189" max="11189" width="5.5" style="29" bestFit="1" customWidth="1"/>
    <col min="11190" max="11192" width="30.6640625" style="29" customWidth="1"/>
    <col min="11193" max="11193" width="13.5" style="29" bestFit="1" customWidth="1"/>
    <col min="11194" max="11194" width="8.83203125" style="29"/>
    <col min="11195" max="11195" width="13" style="29" bestFit="1" customWidth="1"/>
    <col min="11196" max="11196" width="10.5" style="29" bestFit="1" customWidth="1"/>
    <col min="11197" max="11202" width="8.83203125" style="29"/>
    <col min="11203" max="11203" width="16.1640625" style="29" bestFit="1" customWidth="1"/>
    <col min="11204" max="11205" width="8.83203125" style="29"/>
    <col min="11206" max="11206" width="38.33203125" style="29" bestFit="1" customWidth="1"/>
    <col min="11207" max="11210" width="8.83203125" style="29"/>
    <col min="11211" max="11211" width="11" style="29" bestFit="1" customWidth="1"/>
    <col min="11212" max="11212" width="8.83203125" style="29"/>
    <col min="11213" max="11213" width="13.5" style="29" customWidth="1"/>
    <col min="11214" max="11233" width="8.83203125" style="29"/>
    <col min="11234" max="11234" width="17.6640625" style="29" bestFit="1" customWidth="1"/>
    <col min="11235" max="11242" width="8.83203125" style="29"/>
    <col min="11243" max="11243" width="11.1640625" style="29" customWidth="1"/>
    <col min="11244" max="11263" width="8.83203125" style="29"/>
    <col min="11264" max="11264" width="13.5" style="29" bestFit="1" customWidth="1"/>
    <col min="11265" max="11288" width="8.83203125" style="29"/>
    <col min="11289" max="11289" width="48.5" style="29" bestFit="1" customWidth="1"/>
    <col min="11290" max="11295" width="8.83203125" style="29"/>
    <col min="11296" max="11296" width="18" style="29" bestFit="1" customWidth="1"/>
    <col min="11297" max="11298" width="14.5" style="29" bestFit="1" customWidth="1"/>
    <col min="11299" max="11444" width="8.83203125" style="29"/>
    <col min="11445" max="11445" width="5.5" style="29" bestFit="1" customWidth="1"/>
    <col min="11446" max="11448" width="30.6640625" style="29" customWidth="1"/>
    <col min="11449" max="11449" width="13.5" style="29" bestFit="1" customWidth="1"/>
    <col min="11450" max="11450" width="8.83203125" style="29"/>
    <col min="11451" max="11451" width="13" style="29" bestFit="1" customWidth="1"/>
    <col min="11452" max="11452" width="10.5" style="29" bestFit="1" customWidth="1"/>
    <col min="11453" max="11458" width="8.83203125" style="29"/>
    <col min="11459" max="11459" width="16.1640625" style="29" bestFit="1" customWidth="1"/>
    <col min="11460" max="11461" width="8.83203125" style="29"/>
    <col min="11462" max="11462" width="38.33203125" style="29" bestFit="1" customWidth="1"/>
    <col min="11463" max="11466" width="8.83203125" style="29"/>
    <col min="11467" max="11467" width="11" style="29" bestFit="1" customWidth="1"/>
    <col min="11468" max="11468" width="8.83203125" style="29"/>
    <col min="11469" max="11469" width="13.5" style="29" customWidth="1"/>
    <col min="11470" max="11489" width="8.83203125" style="29"/>
    <col min="11490" max="11490" width="17.6640625" style="29" bestFit="1" customWidth="1"/>
    <col min="11491" max="11498" width="8.83203125" style="29"/>
    <col min="11499" max="11499" width="11.1640625" style="29" customWidth="1"/>
    <col min="11500" max="11519" width="8.83203125" style="29"/>
    <col min="11520" max="11520" width="13.5" style="29" bestFit="1" customWidth="1"/>
    <col min="11521" max="11544" width="8.83203125" style="29"/>
    <col min="11545" max="11545" width="48.5" style="29" bestFit="1" customWidth="1"/>
    <col min="11546" max="11551" width="8.83203125" style="29"/>
    <col min="11552" max="11552" width="18" style="29" bestFit="1" customWidth="1"/>
    <col min="11553" max="11554" width="14.5" style="29" bestFit="1" customWidth="1"/>
    <col min="11555" max="11700" width="8.83203125" style="29"/>
    <col min="11701" max="11701" width="5.5" style="29" bestFit="1" customWidth="1"/>
    <col min="11702" max="11704" width="30.6640625" style="29" customWidth="1"/>
    <col min="11705" max="11705" width="13.5" style="29" bestFit="1" customWidth="1"/>
    <col min="11706" max="11706" width="8.83203125" style="29"/>
    <col min="11707" max="11707" width="13" style="29" bestFit="1" customWidth="1"/>
    <col min="11708" max="11708" width="10.5" style="29" bestFit="1" customWidth="1"/>
    <col min="11709" max="11714" width="8.83203125" style="29"/>
    <col min="11715" max="11715" width="16.1640625" style="29" bestFit="1" customWidth="1"/>
    <col min="11716" max="11717" width="8.83203125" style="29"/>
    <col min="11718" max="11718" width="38.33203125" style="29" bestFit="1" customWidth="1"/>
    <col min="11719" max="11722" width="8.83203125" style="29"/>
    <col min="11723" max="11723" width="11" style="29" bestFit="1" customWidth="1"/>
    <col min="11724" max="11724" width="8.83203125" style="29"/>
    <col min="11725" max="11725" width="13.5" style="29" customWidth="1"/>
    <col min="11726" max="11745" width="8.83203125" style="29"/>
    <col min="11746" max="11746" width="17.6640625" style="29" bestFit="1" customWidth="1"/>
    <col min="11747" max="11754" width="8.83203125" style="29"/>
    <col min="11755" max="11755" width="11.1640625" style="29" customWidth="1"/>
    <col min="11756" max="11775" width="8.83203125" style="29"/>
    <col min="11776" max="11776" width="13.5" style="29" bestFit="1" customWidth="1"/>
    <col min="11777" max="11800" width="8.83203125" style="29"/>
    <col min="11801" max="11801" width="48.5" style="29" bestFit="1" customWidth="1"/>
    <col min="11802" max="11807" width="8.83203125" style="29"/>
    <col min="11808" max="11808" width="18" style="29" bestFit="1" customWidth="1"/>
    <col min="11809" max="11810" width="14.5" style="29" bestFit="1" customWidth="1"/>
    <col min="11811" max="11956" width="8.83203125" style="29"/>
    <col min="11957" max="11957" width="5.5" style="29" bestFit="1" customWidth="1"/>
    <col min="11958" max="11960" width="30.6640625" style="29" customWidth="1"/>
    <col min="11961" max="11961" width="13.5" style="29" bestFit="1" customWidth="1"/>
    <col min="11962" max="11962" width="8.83203125" style="29"/>
    <col min="11963" max="11963" width="13" style="29" bestFit="1" customWidth="1"/>
    <col min="11964" max="11964" width="10.5" style="29" bestFit="1" customWidth="1"/>
    <col min="11965" max="11970" width="8.83203125" style="29"/>
    <col min="11971" max="11971" width="16.1640625" style="29" bestFit="1" customWidth="1"/>
    <col min="11972" max="11973" width="8.83203125" style="29"/>
    <col min="11974" max="11974" width="38.33203125" style="29" bestFit="1" customWidth="1"/>
    <col min="11975" max="11978" width="8.83203125" style="29"/>
    <col min="11979" max="11979" width="11" style="29" bestFit="1" customWidth="1"/>
    <col min="11980" max="11980" width="8.83203125" style="29"/>
    <col min="11981" max="11981" width="13.5" style="29" customWidth="1"/>
    <col min="11982" max="12001" width="8.83203125" style="29"/>
    <col min="12002" max="12002" width="17.6640625" style="29" bestFit="1" customWidth="1"/>
    <col min="12003" max="12010" width="8.83203125" style="29"/>
    <col min="12011" max="12011" width="11.1640625" style="29" customWidth="1"/>
    <col min="12012" max="12031" width="8.83203125" style="29"/>
    <col min="12032" max="12032" width="13.5" style="29" bestFit="1" customWidth="1"/>
    <col min="12033" max="12056" width="8.83203125" style="29"/>
    <col min="12057" max="12057" width="48.5" style="29" bestFit="1" customWidth="1"/>
    <col min="12058" max="12063" width="8.83203125" style="29"/>
    <col min="12064" max="12064" width="18" style="29" bestFit="1" customWidth="1"/>
    <col min="12065" max="12066" width="14.5" style="29" bestFit="1" customWidth="1"/>
    <col min="12067" max="12212" width="8.83203125" style="29"/>
    <col min="12213" max="12213" width="5.5" style="29" bestFit="1" customWidth="1"/>
    <col min="12214" max="12216" width="30.6640625" style="29" customWidth="1"/>
    <col min="12217" max="12217" width="13.5" style="29" bestFit="1" customWidth="1"/>
    <col min="12218" max="12218" width="8.83203125" style="29"/>
    <col min="12219" max="12219" width="13" style="29" bestFit="1" customWidth="1"/>
    <col min="12220" max="12220" width="10.5" style="29" bestFit="1" customWidth="1"/>
    <col min="12221" max="12226" width="8.83203125" style="29"/>
    <col min="12227" max="12227" width="16.1640625" style="29" bestFit="1" customWidth="1"/>
    <col min="12228" max="12229" width="8.83203125" style="29"/>
    <col min="12230" max="12230" width="38.33203125" style="29" bestFit="1" customWidth="1"/>
    <col min="12231" max="12234" width="8.83203125" style="29"/>
    <col min="12235" max="12235" width="11" style="29" bestFit="1" customWidth="1"/>
    <col min="12236" max="12236" width="8.83203125" style="29"/>
    <col min="12237" max="12237" width="13.5" style="29" customWidth="1"/>
    <col min="12238" max="12257" width="8.83203125" style="29"/>
    <col min="12258" max="12258" width="17.6640625" style="29" bestFit="1" customWidth="1"/>
    <col min="12259" max="12266" width="8.83203125" style="29"/>
    <col min="12267" max="12267" width="11.1640625" style="29" customWidth="1"/>
    <col min="12268" max="12287" width="8.83203125" style="29"/>
    <col min="12288" max="12288" width="13.5" style="29" bestFit="1" customWidth="1"/>
    <col min="12289" max="12312" width="8.83203125" style="29"/>
    <col min="12313" max="12313" width="48.5" style="29" bestFit="1" customWidth="1"/>
    <col min="12314" max="12319" width="8.83203125" style="29"/>
    <col min="12320" max="12320" width="18" style="29" bestFit="1" customWidth="1"/>
    <col min="12321" max="12322" width="14.5" style="29" bestFit="1" customWidth="1"/>
    <col min="12323" max="12468" width="8.83203125" style="29"/>
    <col min="12469" max="12469" width="5.5" style="29" bestFit="1" customWidth="1"/>
    <col min="12470" max="12472" width="30.6640625" style="29" customWidth="1"/>
    <col min="12473" max="12473" width="13.5" style="29" bestFit="1" customWidth="1"/>
    <col min="12474" max="12474" width="8.83203125" style="29"/>
    <col min="12475" max="12475" width="13" style="29" bestFit="1" customWidth="1"/>
    <col min="12476" max="12476" width="10.5" style="29" bestFit="1" customWidth="1"/>
    <col min="12477" max="12482" width="8.83203125" style="29"/>
    <col min="12483" max="12483" width="16.1640625" style="29" bestFit="1" customWidth="1"/>
    <col min="12484" max="12485" width="8.83203125" style="29"/>
    <col min="12486" max="12486" width="38.33203125" style="29" bestFit="1" customWidth="1"/>
    <col min="12487" max="12490" width="8.83203125" style="29"/>
    <col min="12491" max="12491" width="11" style="29" bestFit="1" customWidth="1"/>
    <col min="12492" max="12492" width="8.83203125" style="29"/>
    <col min="12493" max="12493" width="13.5" style="29" customWidth="1"/>
    <col min="12494" max="12513" width="8.83203125" style="29"/>
    <col min="12514" max="12514" width="17.6640625" style="29" bestFit="1" customWidth="1"/>
    <col min="12515" max="12522" width="8.83203125" style="29"/>
    <col min="12523" max="12523" width="11.1640625" style="29" customWidth="1"/>
    <col min="12524" max="12543" width="8.83203125" style="29"/>
    <col min="12544" max="12544" width="13.5" style="29" bestFit="1" customWidth="1"/>
    <col min="12545" max="12568" width="8.83203125" style="29"/>
    <col min="12569" max="12569" width="48.5" style="29" bestFit="1" customWidth="1"/>
    <col min="12570" max="12575" width="8.83203125" style="29"/>
    <col min="12576" max="12576" width="18" style="29" bestFit="1" customWidth="1"/>
    <col min="12577" max="12578" width="14.5" style="29" bestFit="1" customWidth="1"/>
    <col min="12579" max="12724" width="8.83203125" style="29"/>
    <col min="12725" max="12725" width="5.5" style="29" bestFit="1" customWidth="1"/>
    <col min="12726" max="12728" width="30.6640625" style="29" customWidth="1"/>
    <col min="12729" max="12729" width="13.5" style="29" bestFit="1" customWidth="1"/>
    <col min="12730" max="12730" width="8.83203125" style="29"/>
    <col min="12731" max="12731" width="13" style="29" bestFit="1" customWidth="1"/>
    <col min="12732" max="12732" width="10.5" style="29" bestFit="1" customWidth="1"/>
    <col min="12733" max="12738" width="8.83203125" style="29"/>
    <col min="12739" max="12739" width="16.1640625" style="29" bestFit="1" customWidth="1"/>
    <col min="12740" max="12741" width="8.83203125" style="29"/>
    <col min="12742" max="12742" width="38.33203125" style="29" bestFit="1" customWidth="1"/>
    <col min="12743" max="12746" width="8.83203125" style="29"/>
    <col min="12747" max="12747" width="11" style="29" bestFit="1" customWidth="1"/>
    <col min="12748" max="12748" width="8.83203125" style="29"/>
    <col min="12749" max="12749" width="13.5" style="29" customWidth="1"/>
    <col min="12750" max="12769" width="8.83203125" style="29"/>
    <col min="12770" max="12770" width="17.6640625" style="29" bestFit="1" customWidth="1"/>
    <col min="12771" max="12778" width="8.83203125" style="29"/>
    <col min="12779" max="12779" width="11.1640625" style="29" customWidth="1"/>
    <col min="12780" max="12799" width="8.83203125" style="29"/>
    <col min="12800" max="12800" width="13.5" style="29" bestFit="1" customWidth="1"/>
    <col min="12801" max="12824" width="8.83203125" style="29"/>
    <col min="12825" max="12825" width="48.5" style="29" bestFit="1" customWidth="1"/>
    <col min="12826" max="12831" width="8.83203125" style="29"/>
    <col min="12832" max="12832" width="18" style="29" bestFit="1" customWidth="1"/>
    <col min="12833" max="12834" width="14.5" style="29" bestFit="1" customWidth="1"/>
    <col min="12835" max="12980" width="8.83203125" style="29"/>
    <col min="12981" max="12981" width="5.5" style="29" bestFit="1" customWidth="1"/>
    <col min="12982" max="12984" width="30.6640625" style="29" customWidth="1"/>
    <col min="12985" max="12985" width="13.5" style="29" bestFit="1" customWidth="1"/>
    <col min="12986" max="12986" width="8.83203125" style="29"/>
    <col min="12987" max="12987" width="13" style="29" bestFit="1" customWidth="1"/>
    <col min="12988" max="12988" width="10.5" style="29" bestFit="1" customWidth="1"/>
    <col min="12989" max="12994" width="8.83203125" style="29"/>
    <col min="12995" max="12995" width="16.1640625" style="29" bestFit="1" customWidth="1"/>
    <col min="12996" max="12997" width="8.83203125" style="29"/>
    <col min="12998" max="12998" width="38.33203125" style="29" bestFit="1" customWidth="1"/>
    <col min="12999" max="13002" width="8.83203125" style="29"/>
    <col min="13003" max="13003" width="11" style="29" bestFit="1" customWidth="1"/>
    <col min="13004" max="13004" width="8.83203125" style="29"/>
    <col min="13005" max="13005" width="13.5" style="29" customWidth="1"/>
    <col min="13006" max="13025" width="8.83203125" style="29"/>
    <col min="13026" max="13026" width="17.6640625" style="29" bestFit="1" customWidth="1"/>
    <col min="13027" max="13034" width="8.83203125" style="29"/>
    <col min="13035" max="13035" width="11.1640625" style="29" customWidth="1"/>
    <col min="13036" max="13055" width="8.83203125" style="29"/>
    <col min="13056" max="13056" width="13.5" style="29" bestFit="1" customWidth="1"/>
    <col min="13057" max="13080" width="8.83203125" style="29"/>
    <col min="13081" max="13081" width="48.5" style="29" bestFit="1" customWidth="1"/>
    <col min="13082" max="13087" width="8.83203125" style="29"/>
    <col min="13088" max="13088" width="18" style="29" bestFit="1" customWidth="1"/>
    <col min="13089" max="13090" width="14.5" style="29" bestFit="1" customWidth="1"/>
    <col min="13091" max="13236" width="8.83203125" style="29"/>
    <col min="13237" max="13237" width="5.5" style="29" bestFit="1" customWidth="1"/>
    <col min="13238" max="13240" width="30.6640625" style="29" customWidth="1"/>
    <col min="13241" max="13241" width="13.5" style="29" bestFit="1" customWidth="1"/>
    <col min="13242" max="13242" width="8.83203125" style="29"/>
    <col min="13243" max="13243" width="13" style="29" bestFit="1" customWidth="1"/>
    <col min="13244" max="13244" width="10.5" style="29" bestFit="1" customWidth="1"/>
    <col min="13245" max="13250" width="8.83203125" style="29"/>
    <col min="13251" max="13251" width="16.1640625" style="29" bestFit="1" customWidth="1"/>
    <col min="13252" max="13253" width="8.83203125" style="29"/>
    <col min="13254" max="13254" width="38.33203125" style="29" bestFit="1" customWidth="1"/>
    <col min="13255" max="13258" width="8.83203125" style="29"/>
    <col min="13259" max="13259" width="11" style="29" bestFit="1" customWidth="1"/>
    <col min="13260" max="13260" width="8.83203125" style="29"/>
    <col min="13261" max="13261" width="13.5" style="29" customWidth="1"/>
    <col min="13262" max="13281" width="8.83203125" style="29"/>
    <col min="13282" max="13282" width="17.6640625" style="29" bestFit="1" customWidth="1"/>
    <col min="13283" max="13290" width="8.83203125" style="29"/>
    <col min="13291" max="13291" width="11.1640625" style="29" customWidth="1"/>
    <col min="13292" max="13311" width="8.83203125" style="29"/>
    <col min="13312" max="13312" width="13.5" style="29" bestFit="1" customWidth="1"/>
    <col min="13313" max="13336" width="8.83203125" style="29"/>
    <col min="13337" max="13337" width="48.5" style="29" bestFit="1" customWidth="1"/>
    <col min="13338" max="13343" width="8.83203125" style="29"/>
    <col min="13344" max="13344" width="18" style="29" bestFit="1" customWidth="1"/>
    <col min="13345" max="13346" width="14.5" style="29" bestFit="1" customWidth="1"/>
    <col min="13347" max="13492" width="8.83203125" style="29"/>
    <col min="13493" max="13493" width="5.5" style="29" bestFit="1" customWidth="1"/>
    <col min="13494" max="13496" width="30.6640625" style="29" customWidth="1"/>
    <col min="13497" max="13497" width="13.5" style="29" bestFit="1" customWidth="1"/>
    <col min="13498" max="13498" width="8.83203125" style="29"/>
    <col min="13499" max="13499" width="13" style="29" bestFit="1" customWidth="1"/>
    <col min="13500" max="13500" width="10.5" style="29" bestFit="1" customWidth="1"/>
    <col min="13501" max="13506" width="8.83203125" style="29"/>
    <col min="13507" max="13507" width="16.1640625" style="29" bestFit="1" customWidth="1"/>
    <col min="13508" max="13509" width="8.83203125" style="29"/>
    <col min="13510" max="13510" width="38.33203125" style="29" bestFit="1" customWidth="1"/>
    <col min="13511" max="13514" width="8.83203125" style="29"/>
    <col min="13515" max="13515" width="11" style="29" bestFit="1" customWidth="1"/>
    <col min="13516" max="13516" width="8.83203125" style="29"/>
    <col min="13517" max="13517" width="13.5" style="29" customWidth="1"/>
    <col min="13518" max="13537" width="8.83203125" style="29"/>
    <col min="13538" max="13538" width="17.6640625" style="29" bestFit="1" customWidth="1"/>
    <col min="13539" max="13546" width="8.83203125" style="29"/>
    <col min="13547" max="13547" width="11.1640625" style="29" customWidth="1"/>
    <col min="13548" max="13567" width="8.83203125" style="29"/>
    <col min="13568" max="13568" width="13.5" style="29" bestFit="1" customWidth="1"/>
    <col min="13569" max="13592" width="8.83203125" style="29"/>
    <col min="13593" max="13593" width="48.5" style="29" bestFit="1" customWidth="1"/>
    <col min="13594" max="13599" width="8.83203125" style="29"/>
    <col min="13600" max="13600" width="18" style="29" bestFit="1" customWidth="1"/>
    <col min="13601" max="13602" width="14.5" style="29" bestFit="1" customWidth="1"/>
    <col min="13603" max="13748" width="8.83203125" style="29"/>
    <col min="13749" max="13749" width="5.5" style="29" bestFit="1" customWidth="1"/>
    <col min="13750" max="13752" width="30.6640625" style="29" customWidth="1"/>
    <col min="13753" max="13753" width="13.5" style="29" bestFit="1" customWidth="1"/>
    <col min="13754" max="13754" width="8.83203125" style="29"/>
    <col min="13755" max="13755" width="13" style="29" bestFit="1" customWidth="1"/>
    <col min="13756" max="13756" width="10.5" style="29" bestFit="1" customWidth="1"/>
    <col min="13757" max="13762" width="8.83203125" style="29"/>
    <col min="13763" max="13763" width="16.1640625" style="29" bestFit="1" customWidth="1"/>
    <col min="13764" max="13765" width="8.83203125" style="29"/>
    <col min="13766" max="13766" width="38.33203125" style="29" bestFit="1" customWidth="1"/>
    <col min="13767" max="13770" width="8.83203125" style="29"/>
    <col min="13771" max="13771" width="11" style="29" bestFit="1" customWidth="1"/>
    <col min="13772" max="13772" width="8.83203125" style="29"/>
    <col min="13773" max="13773" width="13.5" style="29" customWidth="1"/>
    <col min="13774" max="13793" width="8.83203125" style="29"/>
    <col min="13794" max="13794" width="17.6640625" style="29" bestFit="1" customWidth="1"/>
    <col min="13795" max="13802" width="8.83203125" style="29"/>
    <col min="13803" max="13803" width="11.1640625" style="29" customWidth="1"/>
    <col min="13804" max="13823" width="8.83203125" style="29"/>
    <col min="13824" max="13824" width="13.5" style="29" bestFit="1" customWidth="1"/>
    <col min="13825" max="13848" width="8.83203125" style="29"/>
    <col min="13849" max="13849" width="48.5" style="29" bestFit="1" customWidth="1"/>
    <col min="13850" max="13855" width="8.83203125" style="29"/>
    <col min="13856" max="13856" width="18" style="29" bestFit="1" customWidth="1"/>
    <col min="13857" max="13858" width="14.5" style="29" bestFit="1" customWidth="1"/>
    <col min="13859" max="14004" width="8.83203125" style="29"/>
    <col min="14005" max="14005" width="5.5" style="29" bestFit="1" customWidth="1"/>
    <col min="14006" max="14008" width="30.6640625" style="29" customWidth="1"/>
    <col min="14009" max="14009" width="13.5" style="29" bestFit="1" customWidth="1"/>
    <col min="14010" max="14010" width="8.83203125" style="29"/>
    <col min="14011" max="14011" width="13" style="29" bestFit="1" customWidth="1"/>
    <col min="14012" max="14012" width="10.5" style="29" bestFit="1" customWidth="1"/>
    <col min="14013" max="14018" width="8.83203125" style="29"/>
    <col min="14019" max="14019" width="16.1640625" style="29" bestFit="1" customWidth="1"/>
    <col min="14020" max="14021" width="8.83203125" style="29"/>
    <col min="14022" max="14022" width="38.33203125" style="29" bestFit="1" customWidth="1"/>
    <col min="14023" max="14026" width="8.83203125" style="29"/>
    <col min="14027" max="14027" width="11" style="29" bestFit="1" customWidth="1"/>
    <col min="14028" max="14028" width="8.83203125" style="29"/>
    <col min="14029" max="14029" width="13.5" style="29" customWidth="1"/>
    <col min="14030" max="14049" width="8.83203125" style="29"/>
    <col min="14050" max="14050" width="17.6640625" style="29" bestFit="1" customWidth="1"/>
    <col min="14051" max="14058" width="8.83203125" style="29"/>
    <col min="14059" max="14059" width="11.1640625" style="29" customWidth="1"/>
    <col min="14060" max="14079" width="8.83203125" style="29"/>
    <col min="14080" max="14080" width="13.5" style="29" bestFit="1" customWidth="1"/>
    <col min="14081" max="14104" width="8.83203125" style="29"/>
    <col min="14105" max="14105" width="48.5" style="29" bestFit="1" customWidth="1"/>
    <col min="14106" max="14111" width="8.83203125" style="29"/>
    <col min="14112" max="14112" width="18" style="29" bestFit="1" customWidth="1"/>
    <col min="14113" max="14114" width="14.5" style="29" bestFit="1" customWidth="1"/>
    <col min="14115" max="14260" width="8.83203125" style="29"/>
    <col min="14261" max="14261" width="5.5" style="29" bestFit="1" customWidth="1"/>
    <col min="14262" max="14264" width="30.6640625" style="29" customWidth="1"/>
    <col min="14265" max="14265" width="13.5" style="29" bestFit="1" customWidth="1"/>
    <col min="14266" max="14266" width="8.83203125" style="29"/>
    <col min="14267" max="14267" width="13" style="29" bestFit="1" customWidth="1"/>
    <col min="14268" max="14268" width="10.5" style="29" bestFit="1" customWidth="1"/>
    <col min="14269" max="14274" width="8.83203125" style="29"/>
    <col min="14275" max="14275" width="16.1640625" style="29" bestFit="1" customWidth="1"/>
    <col min="14276" max="14277" width="8.83203125" style="29"/>
    <col min="14278" max="14278" width="38.33203125" style="29" bestFit="1" customWidth="1"/>
    <col min="14279" max="14282" width="8.83203125" style="29"/>
    <col min="14283" max="14283" width="11" style="29" bestFit="1" customWidth="1"/>
    <col min="14284" max="14284" width="8.83203125" style="29"/>
    <col min="14285" max="14285" width="13.5" style="29" customWidth="1"/>
    <col min="14286" max="14305" width="8.83203125" style="29"/>
    <col min="14306" max="14306" width="17.6640625" style="29" bestFit="1" customWidth="1"/>
    <col min="14307" max="14314" width="8.83203125" style="29"/>
    <col min="14315" max="14315" width="11.1640625" style="29" customWidth="1"/>
    <col min="14316" max="14335" width="8.83203125" style="29"/>
    <col min="14336" max="14336" width="13.5" style="29" bestFit="1" customWidth="1"/>
    <col min="14337" max="14360" width="8.83203125" style="29"/>
    <col min="14361" max="14361" width="48.5" style="29" bestFit="1" customWidth="1"/>
    <col min="14362" max="14367" width="8.83203125" style="29"/>
    <col min="14368" max="14368" width="18" style="29" bestFit="1" customWidth="1"/>
    <col min="14369" max="14370" width="14.5" style="29" bestFit="1" customWidth="1"/>
    <col min="14371" max="14516" width="8.83203125" style="29"/>
    <col min="14517" max="14517" width="5.5" style="29" bestFit="1" customWidth="1"/>
    <col min="14518" max="14520" width="30.6640625" style="29" customWidth="1"/>
    <col min="14521" max="14521" width="13.5" style="29" bestFit="1" customWidth="1"/>
    <col min="14522" max="14522" width="8.83203125" style="29"/>
    <col min="14523" max="14523" width="13" style="29" bestFit="1" customWidth="1"/>
    <col min="14524" max="14524" width="10.5" style="29" bestFit="1" customWidth="1"/>
    <col min="14525" max="14530" width="8.83203125" style="29"/>
    <col min="14531" max="14531" width="16.1640625" style="29" bestFit="1" customWidth="1"/>
    <col min="14532" max="14533" width="8.83203125" style="29"/>
    <col min="14534" max="14534" width="38.33203125" style="29" bestFit="1" customWidth="1"/>
    <col min="14535" max="14538" width="8.83203125" style="29"/>
    <col min="14539" max="14539" width="11" style="29" bestFit="1" customWidth="1"/>
    <col min="14540" max="14540" width="8.83203125" style="29"/>
    <col min="14541" max="14541" width="13.5" style="29" customWidth="1"/>
    <col min="14542" max="14561" width="8.83203125" style="29"/>
    <col min="14562" max="14562" width="17.6640625" style="29" bestFit="1" customWidth="1"/>
    <col min="14563" max="14570" width="8.83203125" style="29"/>
    <col min="14571" max="14571" width="11.1640625" style="29" customWidth="1"/>
    <col min="14572" max="14591" width="8.83203125" style="29"/>
    <col min="14592" max="14592" width="13.5" style="29" bestFit="1" customWidth="1"/>
    <col min="14593" max="14616" width="8.83203125" style="29"/>
    <col min="14617" max="14617" width="48.5" style="29" bestFit="1" customWidth="1"/>
    <col min="14618" max="14623" width="8.83203125" style="29"/>
    <col min="14624" max="14624" width="18" style="29" bestFit="1" customWidth="1"/>
    <col min="14625" max="14626" width="14.5" style="29" bestFit="1" customWidth="1"/>
    <col min="14627" max="14772" width="8.83203125" style="29"/>
    <col min="14773" max="14773" width="5.5" style="29" bestFit="1" customWidth="1"/>
    <col min="14774" max="14776" width="30.6640625" style="29" customWidth="1"/>
    <col min="14777" max="14777" width="13.5" style="29" bestFit="1" customWidth="1"/>
    <col min="14778" max="14778" width="8.83203125" style="29"/>
    <col min="14779" max="14779" width="13" style="29" bestFit="1" customWidth="1"/>
    <col min="14780" max="14780" width="10.5" style="29" bestFit="1" customWidth="1"/>
    <col min="14781" max="14786" width="8.83203125" style="29"/>
    <col min="14787" max="14787" width="16.1640625" style="29" bestFit="1" customWidth="1"/>
    <col min="14788" max="14789" width="8.83203125" style="29"/>
    <col min="14790" max="14790" width="38.33203125" style="29" bestFit="1" customWidth="1"/>
    <col min="14791" max="14794" width="8.83203125" style="29"/>
    <col min="14795" max="14795" width="11" style="29" bestFit="1" customWidth="1"/>
    <col min="14796" max="14796" width="8.83203125" style="29"/>
    <col min="14797" max="14797" width="13.5" style="29" customWidth="1"/>
    <col min="14798" max="14817" width="8.83203125" style="29"/>
    <col min="14818" max="14818" width="17.6640625" style="29" bestFit="1" customWidth="1"/>
    <col min="14819" max="14826" width="8.83203125" style="29"/>
    <col min="14827" max="14827" width="11.1640625" style="29" customWidth="1"/>
    <col min="14828" max="14847" width="8.83203125" style="29"/>
    <col min="14848" max="14848" width="13.5" style="29" bestFit="1" customWidth="1"/>
    <col min="14849" max="14872" width="8.83203125" style="29"/>
    <col min="14873" max="14873" width="48.5" style="29" bestFit="1" customWidth="1"/>
    <col min="14874" max="14879" width="8.83203125" style="29"/>
    <col min="14880" max="14880" width="18" style="29" bestFit="1" customWidth="1"/>
    <col min="14881" max="14882" width="14.5" style="29" bestFit="1" customWidth="1"/>
    <col min="14883" max="15028" width="8.83203125" style="29"/>
    <col min="15029" max="15029" width="5.5" style="29" bestFit="1" customWidth="1"/>
    <col min="15030" max="15032" width="30.6640625" style="29" customWidth="1"/>
    <col min="15033" max="15033" width="13.5" style="29" bestFit="1" customWidth="1"/>
    <col min="15034" max="15034" width="8.83203125" style="29"/>
    <col min="15035" max="15035" width="13" style="29" bestFit="1" customWidth="1"/>
    <col min="15036" max="15036" width="10.5" style="29" bestFit="1" customWidth="1"/>
    <col min="15037" max="15042" width="8.83203125" style="29"/>
    <col min="15043" max="15043" width="16.1640625" style="29" bestFit="1" customWidth="1"/>
    <col min="15044" max="15045" width="8.83203125" style="29"/>
    <col min="15046" max="15046" width="38.33203125" style="29" bestFit="1" customWidth="1"/>
    <col min="15047" max="15050" width="8.83203125" style="29"/>
    <col min="15051" max="15051" width="11" style="29" bestFit="1" customWidth="1"/>
    <col min="15052" max="15052" width="8.83203125" style="29"/>
    <col min="15053" max="15053" width="13.5" style="29" customWidth="1"/>
    <col min="15054" max="15073" width="8.83203125" style="29"/>
    <col min="15074" max="15074" width="17.6640625" style="29" bestFit="1" customWidth="1"/>
    <col min="15075" max="15082" width="8.83203125" style="29"/>
    <col min="15083" max="15083" width="11.1640625" style="29" customWidth="1"/>
    <col min="15084" max="15103" width="8.83203125" style="29"/>
    <col min="15104" max="15104" width="13.5" style="29" bestFit="1" customWidth="1"/>
    <col min="15105" max="15128" width="8.83203125" style="29"/>
    <col min="15129" max="15129" width="48.5" style="29" bestFit="1" customWidth="1"/>
    <col min="15130" max="15135" width="8.83203125" style="29"/>
    <col min="15136" max="15136" width="18" style="29" bestFit="1" customWidth="1"/>
    <col min="15137" max="15138" width="14.5" style="29" bestFit="1" customWidth="1"/>
    <col min="15139" max="15284" width="8.83203125" style="29"/>
    <col min="15285" max="15285" width="5.5" style="29" bestFit="1" customWidth="1"/>
    <col min="15286" max="15288" width="30.6640625" style="29" customWidth="1"/>
    <col min="15289" max="15289" width="13.5" style="29" bestFit="1" customWidth="1"/>
    <col min="15290" max="15290" width="8.83203125" style="29"/>
    <col min="15291" max="15291" width="13" style="29" bestFit="1" customWidth="1"/>
    <col min="15292" max="15292" width="10.5" style="29" bestFit="1" customWidth="1"/>
    <col min="15293" max="15298" width="8.83203125" style="29"/>
    <col min="15299" max="15299" width="16.1640625" style="29" bestFit="1" customWidth="1"/>
    <col min="15300" max="15301" width="8.83203125" style="29"/>
    <col min="15302" max="15302" width="38.33203125" style="29" bestFit="1" customWidth="1"/>
    <col min="15303" max="15306" width="8.83203125" style="29"/>
    <col min="15307" max="15307" width="11" style="29" bestFit="1" customWidth="1"/>
    <col min="15308" max="15308" width="8.83203125" style="29"/>
    <col min="15309" max="15309" width="13.5" style="29" customWidth="1"/>
    <col min="15310" max="15329" width="8.83203125" style="29"/>
    <col min="15330" max="15330" width="17.6640625" style="29" bestFit="1" customWidth="1"/>
    <col min="15331" max="15338" width="8.83203125" style="29"/>
    <col min="15339" max="15339" width="11.1640625" style="29" customWidth="1"/>
    <col min="15340" max="15359" width="8.83203125" style="29"/>
    <col min="15360" max="15360" width="13.5" style="29" bestFit="1" customWidth="1"/>
    <col min="15361" max="15384" width="8.83203125" style="29"/>
    <col min="15385" max="15385" width="48.5" style="29" bestFit="1" customWidth="1"/>
    <col min="15386" max="15391" width="8.83203125" style="29"/>
    <col min="15392" max="15392" width="18" style="29" bestFit="1" customWidth="1"/>
    <col min="15393" max="15394" width="14.5" style="29" bestFit="1" customWidth="1"/>
    <col min="15395" max="15540" width="8.83203125" style="29"/>
    <col min="15541" max="15541" width="5.5" style="29" bestFit="1" customWidth="1"/>
    <col min="15542" max="15544" width="30.6640625" style="29" customWidth="1"/>
    <col min="15545" max="15545" width="13.5" style="29" bestFit="1" customWidth="1"/>
    <col min="15546" max="15546" width="8.83203125" style="29"/>
    <col min="15547" max="15547" width="13" style="29" bestFit="1" customWidth="1"/>
    <col min="15548" max="15548" width="10.5" style="29" bestFit="1" customWidth="1"/>
    <col min="15549" max="15554" width="8.83203125" style="29"/>
    <col min="15555" max="15555" width="16.1640625" style="29" bestFit="1" customWidth="1"/>
    <col min="15556" max="15557" width="8.83203125" style="29"/>
    <col min="15558" max="15558" width="38.33203125" style="29" bestFit="1" customWidth="1"/>
    <col min="15559" max="15562" width="8.83203125" style="29"/>
    <col min="15563" max="15563" width="11" style="29" bestFit="1" customWidth="1"/>
    <col min="15564" max="15564" width="8.83203125" style="29"/>
    <col min="15565" max="15565" width="13.5" style="29" customWidth="1"/>
    <col min="15566" max="15585" width="8.83203125" style="29"/>
    <col min="15586" max="15586" width="17.6640625" style="29" bestFit="1" customWidth="1"/>
    <col min="15587" max="15594" width="8.83203125" style="29"/>
    <col min="15595" max="15595" width="11.1640625" style="29" customWidth="1"/>
    <col min="15596" max="15615" width="8.83203125" style="29"/>
    <col min="15616" max="15616" width="13.5" style="29" bestFit="1" customWidth="1"/>
    <col min="15617" max="15640" width="8.83203125" style="29"/>
    <col min="15641" max="15641" width="48.5" style="29" bestFit="1" customWidth="1"/>
    <col min="15642" max="15647" width="8.83203125" style="29"/>
    <col min="15648" max="15648" width="18" style="29" bestFit="1" customWidth="1"/>
    <col min="15649" max="15650" width="14.5" style="29" bestFit="1" customWidth="1"/>
    <col min="15651" max="15796" width="8.83203125" style="29"/>
    <col min="15797" max="15797" width="5.5" style="29" bestFit="1" customWidth="1"/>
    <col min="15798" max="15800" width="30.6640625" style="29" customWidth="1"/>
    <col min="15801" max="15801" width="13.5" style="29" bestFit="1" customWidth="1"/>
    <col min="15802" max="15802" width="8.83203125" style="29"/>
    <col min="15803" max="15803" width="13" style="29" bestFit="1" customWidth="1"/>
    <col min="15804" max="15804" width="10.5" style="29" bestFit="1" customWidth="1"/>
    <col min="15805" max="15810" width="8.83203125" style="29"/>
    <col min="15811" max="15811" width="16.1640625" style="29" bestFit="1" customWidth="1"/>
    <col min="15812" max="15813" width="8.83203125" style="29"/>
    <col min="15814" max="15814" width="38.33203125" style="29" bestFit="1" customWidth="1"/>
    <col min="15815" max="15818" width="8.83203125" style="29"/>
    <col min="15819" max="15819" width="11" style="29" bestFit="1" customWidth="1"/>
    <col min="15820" max="15820" width="8.83203125" style="29"/>
    <col min="15821" max="15821" width="13.5" style="29" customWidth="1"/>
    <col min="15822" max="15841" width="8.83203125" style="29"/>
    <col min="15842" max="15842" width="17.6640625" style="29" bestFit="1" customWidth="1"/>
    <col min="15843" max="15850" width="8.83203125" style="29"/>
    <col min="15851" max="15851" width="11.1640625" style="29" customWidth="1"/>
    <col min="15852" max="15871" width="8.83203125" style="29"/>
    <col min="15872" max="15872" width="13.5" style="29" bestFit="1" customWidth="1"/>
    <col min="15873" max="15896" width="8.83203125" style="29"/>
    <col min="15897" max="15897" width="48.5" style="29" bestFit="1" customWidth="1"/>
    <col min="15898" max="15903" width="8.83203125" style="29"/>
    <col min="15904" max="15904" width="18" style="29" bestFit="1" customWidth="1"/>
    <col min="15905" max="15906" width="14.5" style="29" bestFit="1" customWidth="1"/>
    <col min="15907" max="16052" width="8.83203125" style="29"/>
    <col min="16053" max="16053" width="5.5" style="29" bestFit="1" customWidth="1"/>
    <col min="16054" max="16056" width="30.6640625" style="29" customWidth="1"/>
    <col min="16057" max="16057" width="13.5" style="29" bestFit="1" customWidth="1"/>
    <col min="16058" max="16058" width="8.83203125" style="29"/>
    <col min="16059" max="16059" width="13" style="29" bestFit="1" customWidth="1"/>
    <col min="16060" max="16060" width="10.5" style="29" bestFit="1" customWidth="1"/>
    <col min="16061" max="16066" width="8.83203125" style="29"/>
    <col min="16067" max="16067" width="16.1640625" style="29" bestFit="1" customWidth="1"/>
    <col min="16068" max="16069" width="8.83203125" style="29"/>
    <col min="16070" max="16070" width="38.33203125" style="29" bestFit="1" customWidth="1"/>
    <col min="16071" max="16074" width="8.83203125" style="29"/>
    <col min="16075" max="16075" width="11" style="29" bestFit="1" customWidth="1"/>
    <col min="16076" max="16076" width="8.83203125" style="29"/>
    <col min="16077" max="16077" width="13.5" style="29" customWidth="1"/>
    <col min="16078" max="16097" width="8.83203125" style="29"/>
    <col min="16098" max="16098" width="17.6640625" style="29" bestFit="1" customWidth="1"/>
    <col min="16099" max="16106" width="8.83203125" style="29"/>
    <col min="16107" max="16107" width="11.1640625" style="29" customWidth="1"/>
    <col min="16108" max="16127" width="8.83203125" style="29"/>
    <col min="16128" max="16128" width="13.5" style="29" bestFit="1" customWidth="1"/>
    <col min="16129" max="16152" width="8.83203125" style="29"/>
    <col min="16153" max="16153" width="48.5" style="29" bestFit="1" customWidth="1"/>
    <col min="16154" max="16159" width="8.83203125" style="29"/>
    <col min="16160" max="16160" width="18" style="29" bestFit="1" customWidth="1"/>
    <col min="16161" max="16162" width="14.5" style="29" bestFit="1" customWidth="1"/>
    <col min="16163" max="16384" width="8.83203125" style="29"/>
  </cols>
  <sheetData>
    <row r="1" spans="1:75" x14ac:dyDescent="0.15">
      <c r="A1" s="29" t="s">
        <v>434</v>
      </c>
      <c r="B1" s="29" t="s">
        <v>419</v>
      </c>
      <c r="C1" s="29" t="s">
        <v>435</v>
      </c>
      <c r="D1" s="29" t="s">
        <v>436</v>
      </c>
      <c r="E1" s="29" t="s">
        <v>437</v>
      </c>
      <c r="F1" s="29" t="s">
        <v>438</v>
      </c>
      <c r="G1" s="61" t="s">
        <v>455</v>
      </c>
      <c r="H1" s="29" t="s">
        <v>456</v>
      </c>
      <c r="I1" s="29" t="s">
        <v>462</v>
      </c>
      <c r="J1" s="29" t="s">
        <v>463</v>
      </c>
      <c r="K1" s="29" t="s">
        <v>479</v>
      </c>
      <c r="L1" s="29" t="s">
        <v>2218</v>
      </c>
      <c r="M1" s="29" t="s">
        <v>504</v>
      </c>
      <c r="N1" s="29" t="s">
        <v>506</v>
      </c>
      <c r="O1" s="29" t="s">
        <v>507</v>
      </c>
      <c r="P1" s="29" t="s">
        <v>508</v>
      </c>
      <c r="Q1" s="29" t="s">
        <v>509</v>
      </c>
      <c r="R1" s="29" t="s">
        <v>510</v>
      </c>
      <c r="S1" s="29" t="s">
        <v>511</v>
      </c>
      <c r="T1" s="29" t="s">
        <v>512</v>
      </c>
      <c r="U1" s="29" t="s">
        <v>513</v>
      </c>
      <c r="V1" s="29" t="s">
        <v>514</v>
      </c>
      <c r="W1" s="30" t="s">
        <v>515</v>
      </c>
      <c r="X1" s="29" t="s">
        <v>516</v>
      </c>
      <c r="Y1" s="29" t="s">
        <v>517</v>
      </c>
      <c r="Z1" s="29" t="s">
        <v>518</v>
      </c>
      <c r="AA1" s="30" t="s">
        <v>519</v>
      </c>
      <c r="AB1" s="29" t="s">
        <v>520</v>
      </c>
      <c r="AC1" s="29" t="s">
        <v>521</v>
      </c>
      <c r="AD1" s="29" t="s">
        <v>522</v>
      </c>
      <c r="AE1" s="29" t="s">
        <v>523</v>
      </c>
      <c r="AF1" s="29" t="s">
        <v>524</v>
      </c>
      <c r="AG1" s="29" t="s">
        <v>525</v>
      </c>
      <c r="AH1" s="29" t="s">
        <v>526</v>
      </c>
      <c r="AI1" s="29" t="s">
        <v>527</v>
      </c>
      <c r="AJ1" s="29" t="s">
        <v>528</v>
      </c>
      <c r="AK1" s="29" t="s">
        <v>529</v>
      </c>
      <c r="AL1" s="29" t="s">
        <v>530</v>
      </c>
      <c r="AM1" s="29" t="s">
        <v>531</v>
      </c>
      <c r="AN1" s="29" t="s">
        <v>532</v>
      </c>
      <c r="AO1" s="29" t="s">
        <v>533</v>
      </c>
      <c r="AP1" s="29" t="s">
        <v>534</v>
      </c>
      <c r="AQ1" s="29" t="s">
        <v>535</v>
      </c>
      <c r="AR1" s="29" t="s">
        <v>536</v>
      </c>
      <c r="AS1" s="29" t="s">
        <v>537</v>
      </c>
      <c r="AT1" s="29" t="s">
        <v>538</v>
      </c>
      <c r="AU1" s="29" t="s">
        <v>539</v>
      </c>
      <c r="AV1" s="29" t="s">
        <v>540</v>
      </c>
      <c r="AW1" s="29" t="s">
        <v>541</v>
      </c>
      <c r="AX1" s="29" t="s">
        <v>542</v>
      </c>
      <c r="AY1" s="29" t="s">
        <v>543</v>
      </c>
      <c r="AZ1" s="29" t="s">
        <v>1536</v>
      </c>
      <c r="BA1" s="29" t="s">
        <v>1537</v>
      </c>
      <c r="BB1" s="29" t="s">
        <v>1538</v>
      </c>
      <c r="BC1" s="29" t="s">
        <v>1539</v>
      </c>
      <c r="BD1" s="29" t="s">
        <v>2166</v>
      </c>
      <c r="BE1" s="29" t="s">
        <v>2167</v>
      </c>
      <c r="BF1" s="29" t="s">
        <v>2204</v>
      </c>
      <c r="BG1" s="29" t="s">
        <v>2168</v>
      </c>
      <c r="BH1" s="29" t="s">
        <v>2169</v>
      </c>
      <c r="BI1" s="29" t="s">
        <v>2170</v>
      </c>
      <c r="BJ1" s="29" t="s">
        <v>2207</v>
      </c>
      <c r="BK1" s="29" t="s">
        <v>2208</v>
      </c>
      <c r="BL1" s="29" t="s">
        <v>2209</v>
      </c>
      <c r="BM1" s="29" t="s">
        <v>2210</v>
      </c>
      <c r="BN1" s="29" t="s">
        <v>2225</v>
      </c>
      <c r="BO1" s="29" t="s">
        <v>1541</v>
      </c>
      <c r="BP1" s="29" t="s">
        <v>1540</v>
      </c>
      <c r="BQ1" s="29" t="s">
        <v>2226</v>
      </c>
      <c r="BR1" s="30" t="s">
        <v>2227</v>
      </c>
      <c r="BS1" s="30" t="s">
        <v>2228</v>
      </c>
      <c r="BT1" s="30" t="s">
        <v>2229</v>
      </c>
      <c r="BU1" s="30" t="s">
        <v>2231</v>
      </c>
      <c r="BV1" s="30" t="s">
        <v>2230</v>
      </c>
      <c r="BW1" s="30" t="s">
        <v>2232</v>
      </c>
    </row>
    <row r="2" spans="1:75" x14ac:dyDescent="0.15">
      <c r="A2" s="57" t="s">
        <v>556</v>
      </c>
      <c r="B2" s="57">
        <v>156</v>
      </c>
      <c r="C2" s="57" t="s">
        <v>173</v>
      </c>
      <c r="D2" s="57" t="s">
        <v>173</v>
      </c>
      <c r="E2" s="57" t="str">
        <f>VLOOKUP(D2,Harvest_2017_Formulae!$C$2:$D$968,2,FALSE)</f>
        <v>HALLU</v>
      </c>
      <c r="F2" s="57" t="s">
        <v>938</v>
      </c>
      <c r="G2" s="61" t="s">
        <v>548</v>
      </c>
      <c r="H2" s="57" t="s">
        <v>568</v>
      </c>
      <c r="I2" s="57" t="s">
        <v>546</v>
      </c>
      <c r="J2" s="57" t="s">
        <v>546</v>
      </c>
      <c r="K2" s="57" t="s">
        <v>548</v>
      </c>
      <c r="L2" s="29" t="s">
        <v>2221</v>
      </c>
      <c r="M2" s="57" t="s">
        <v>546</v>
      </c>
      <c r="N2" s="57" t="s">
        <v>548</v>
      </c>
      <c r="O2" s="57" t="s">
        <v>550</v>
      </c>
      <c r="P2" s="57">
        <v>0.25</v>
      </c>
      <c r="Q2" s="57">
        <v>2.75</v>
      </c>
      <c r="R2" s="57"/>
      <c r="S2" s="57" t="s">
        <v>548</v>
      </c>
      <c r="T2" s="57">
        <v>4</v>
      </c>
      <c r="U2" s="57">
        <v>30</v>
      </c>
      <c r="V2" s="57" t="s">
        <v>551</v>
      </c>
      <c r="W2" s="57">
        <v>1.7999999999999998</v>
      </c>
      <c r="X2" s="57"/>
      <c r="Y2" s="57">
        <v>999</v>
      </c>
      <c r="Z2" s="57" t="s">
        <v>551</v>
      </c>
      <c r="AA2" s="60"/>
      <c r="AB2" s="57">
        <v>3</v>
      </c>
      <c r="AC2" s="57">
        <v>5</v>
      </c>
      <c r="AD2" s="57" t="s">
        <v>551</v>
      </c>
      <c r="AE2" s="60">
        <v>0.39999999999999997</v>
      </c>
      <c r="AF2" s="57" t="s">
        <v>546</v>
      </c>
      <c r="AG2" s="57" t="s">
        <v>548</v>
      </c>
      <c r="AH2" s="57" t="s">
        <v>546</v>
      </c>
      <c r="AI2" s="57" t="s">
        <v>546</v>
      </c>
      <c r="AJ2" s="57" t="s">
        <v>546</v>
      </c>
      <c r="AK2" s="57">
        <v>1</v>
      </c>
      <c r="AL2" s="57">
        <v>3</v>
      </c>
      <c r="AM2" s="57" t="s">
        <v>944</v>
      </c>
      <c r="AN2" s="57" t="s">
        <v>945</v>
      </c>
      <c r="AO2" s="57">
        <v>-4.2874345779418945</v>
      </c>
      <c r="AP2" s="57">
        <v>35.901123046875</v>
      </c>
      <c r="AQ2" s="57">
        <v>1195.699951171875</v>
      </c>
      <c r="AR2" s="57">
        <v>5</v>
      </c>
      <c r="AS2" s="57">
        <v>1706031849</v>
      </c>
      <c r="AT2" s="57" t="s">
        <v>946</v>
      </c>
      <c r="AU2" s="58">
        <v>42921.43236111111</v>
      </c>
      <c r="AV2" s="58">
        <v>42913.508750000001</v>
      </c>
      <c r="AW2" s="58">
        <v>42913.51663194444</v>
      </c>
      <c r="AX2" s="59">
        <v>42771</v>
      </c>
      <c r="AY2" s="57"/>
      <c r="AZ2" s="60">
        <v>1.8938827838827839</v>
      </c>
      <c r="BA2" s="60">
        <v>2.3175702075702076</v>
      </c>
      <c r="BB2" s="60">
        <v>3.4260481099656364</v>
      </c>
      <c r="BC2" s="60">
        <v>3.469415807560138</v>
      </c>
      <c r="BD2" s="57" t="s">
        <v>2171</v>
      </c>
      <c r="BE2" s="57">
        <v>0.85303092002900005</v>
      </c>
      <c r="BF2" s="57" t="str">
        <f>IF(BE2&lt;0.5,"Depression",IF(BE2&lt;2,"Very gentle",IF(BE2&lt;5,"Gentle",IF(BE2&lt;9,"Moderate",IF(BE2&lt;15,"Strong",IF(BE2&lt;30,"Steep",IF(BE2&lt;1,"Very steep")))))))</f>
        <v>Very gentle</v>
      </c>
      <c r="BG2" s="57" t="s">
        <v>2173</v>
      </c>
      <c r="BH2" s="57">
        <v>0.45321798324599999</v>
      </c>
      <c r="BI2" s="60">
        <v>9.7213468551600002</v>
      </c>
      <c r="BJ2" s="60">
        <f>VLOOKUP(D2,[1]SoilData!$G$15:$K$237,5,FALSE)</f>
        <v>413.47643718904555</v>
      </c>
      <c r="BK2" s="60">
        <f>VLOOKUP(D2,[1]SoilData!$G$245:$K$451,5,FALSE)</f>
        <v>255.69995603503682</v>
      </c>
      <c r="BL2" s="60">
        <f>VLOOKUP(D2,[1]SoilData!$G$15:$M$238,7,FALSE)</f>
        <v>1.6579999999999999</v>
      </c>
      <c r="BM2" s="60">
        <f>VLOOKUP(D2,[1]SoilData!$G$245:$M$454,7,FALSE)</f>
        <v>1.621</v>
      </c>
      <c r="BN2" s="60">
        <f>BL2-BM2</f>
        <v>3.6999999999999922E-2</v>
      </c>
      <c r="BO2" s="60">
        <f>AVERAGE(BB2:BC2)</f>
        <v>3.447731958762887</v>
      </c>
      <c r="BP2" s="60">
        <f>AVERAGE(AZ2:BA2)</f>
        <v>2.1057264957264956</v>
      </c>
      <c r="BQ2" s="43">
        <f>BP2-BO2</f>
        <v>-1.3420054630363913</v>
      </c>
      <c r="BR2" s="64">
        <f>IF(W2&gt;0.000001,W2*352,0)</f>
        <v>633.59999999999991</v>
      </c>
      <c r="BS2" s="64">
        <f>IF(AE2&gt;0.0001,AE2*682,0)</f>
        <v>272.79999999999995</v>
      </c>
      <c r="BT2" s="64">
        <f>AA2*795</f>
        <v>0</v>
      </c>
      <c r="BU2" s="64">
        <f>BR2+BS2+BT2</f>
        <v>906.39999999999986</v>
      </c>
      <c r="BV2" s="64">
        <f>IF(G2="YES",3.5*18.2,0)</f>
        <v>63.699999999999996</v>
      </c>
      <c r="BW2" s="64">
        <f>BU2-BV2</f>
        <v>842.69999999999982</v>
      </c>
    </row>
    <row r="3" spans="1:75" x14ac:dyDescent="0.15">
      <c r="A3" s="57" t="s">
        <v>556</v>
      </c>
      <c r="B3" s="57">
        <v>176</v>
      </c>
      <c r="C3" s="57" t="s">
        <v>1409</v>
      </c>
      <c r="D3" s="57" t="s">
        <v>1410</v>
      </c>
      <c r="E3" s="57" t="e">
        <f>VLOOKUP(D3,Harvest_2017_Formulae!$C$2:$D$968,2,FALSE)</f>
        <v>#N/A</v>
      </c>
      <c r="F3" s="57" t="s">
        <v>645</v>
      </c>
      <c r="G3" s="61" t="s">
        <v>548</v>
      </c>
      <c r="H3" s="57" t="s">
        <v>568</v>
      </c>
      <c r="I3" s="57" t="s">
        <v>546</v>
      </c>
      <c r="J3" s="57" t="s">
        <v>546</v>
      </c>
      <c r="K3" s="57" t="s">
        <v>548</v>
      </c>
      <c r="L3" s="29" t="s">
        <v>2219</v>
      </c>
      <c r="M3" s="57" t="s">
        <v>546</v>
      </c>
      <c r="N3" s="57" t="s">
        <v>548</v>
      </c>
      <c r="O3" s="57" t="s">
        <v>550</v>
      </c>
      <c r="P3" s="57">
        <v>0.25</v>
      </c>
      <c r="Q3" s="57">
        <v>0.75</v>
      </c>
      <c r="R3" s="57"/>
      <c r="S3" s="57" t="s">
        <v>546</v>
      </c>
      <c r="T3" s="57">
        <v>1</v>
      </c>
      <c r="U3" s="57">
        <v>7</v>
      </c>
      <c r="V3" s="57" t="s">
        <v>551</v>
      </c>
      <c r="W3" s="57">
        <v>1.6800000000000002</v>
      </c>
      <c r="X3" s="57"/>
      <c r="Y3" s="57">
        <v>999</v>
      </c>
      <c r="Z3" s="57" t="s">
        <v>551</v>
      </c>
      <c r="AA3" s="60"/>
      <c r="AB3" s="57">
        <v>1</v>
      </c>
      <c r="AC3" s="57">
        <v>1</v>
      </c>
      <c r="AD3" s="57" t="s">
        <v>551</v>
      </c>
      <c r="AE3" s="60">
        <v>0.24</v>
      </c>
      <c r="AF3" s="57" t="s">
        <v>546</v>
      </c>
      <c r="AG3" s="57" t="s">
        <v>546</v>
      </c>
      <c r="AH3" s="57" t="s">
        <v>548</v>
      </c>
      <c r="AI3" s="57" t="s">
        <v>546</v>
      </c>
      <c r="AJ3" s="57" t="s">
        <v>546</v>
      </c>
      <c r="AK3" s="57">
        <v>1</v>
      </c>
      <c r="AL3" s="57">
        <v>2</v>
      </c>
      <c r="AM3" s="57" t="s">
        <v>1411</v>
      </c>
      <c r="AN3" s="57" t="s">
        <v>1412</v>
      </c>
      <c r="AO3" s="57">
        <v>-4.3102259635925293</v>
      </c>
      <c r="AP3" s="57">
        <v>35.595962524414062</v>
      </c>
      <c r="AQ3" s="57">
        <v>1636.0999755859375</v>
      </c>
      <c r="AR3" s="57">
        <v>5</v>
      </c>
      <c r="AS3" s="57">
        <v>1706031849</v>
      </c>
      <c r="AT3" s="57" t="s">
        <v>1413</v>
      </c>
      <c r="AU3" s="58">
        <v>42926.57576388889</v>
      </c>
      <c r="AV3" s="58">
        <v>42921.438217592593</v>
      </c>
      <c r="AW3" s="58">
        <v>42921.62295138889</v>
      </c>
      <c r="AX3" s="59">
        <v>42749</v>
      </c>
      <c r="AY3" s="57"/>
      <c r="AZ3" s="57"/>
      <c r="BA3" s="57"/>
      <c r="BB3" s="57"/>
      <c r="BC3" s="57"/>
      <c r="BD3" s="57" t="s">
        <v>2180</v>
      </c>
      <c r="BE3" s="57">
        <v>5.0538773536699999</v>
      </c>
      <c r="BF3" s="57" t="str">
        <f>IF(BE3&lt;0.5,"Depression",IF(BE3&lt;2,"Very gentle",IF(BE3&lt;5,"Gentle",IF(BE3&lt;9,"Moderate",IF(BE3&lt;15,"Strong",IF(BE3&lt;30,"Steep",IF(BE3&lt;1,"Very steep")))))))</f>
        <v>Moderate</v>
      </c>
      <c r="BG3" s="57" t="s">
        <v>2178</v>
      </c>
      <c r="BH3" s="57">
        <v>0.18129228055499999</v>
      </c>
      <c r="BI3" s="60">
        <v>7.6397376060499997</v>
      </c>
      <c r="BJ3" s="60"/>
      <c r="BK3" s="60"/>
      <c r="BL3" s="60"/>
      <c r="BM3" s="60"/>
      <c r="BN3" s="60"/>
      <c r="BO3" s="60"/>
      <c r="BP3" s="60"/>
      <c r="BQ3" s="43"/>
      <c r="BR3" s="64">
        <f>IF(W3&gt;0.000001,W3*352,0)</f>
        <v>591.36</v>
      </c>
      <c r="BS3" s="64">
        <f>IF(AE3&gt;0.0001,AE3*682,0)</f>
        <v>163.68</v>
      </c>
      <c r="BT3" s="64">
        <f>AA3*795</f>
        <v>0</v>
      </c>
      <c r="BU3" s="64">
        <f>BR3+BS3+BT3</f>
        <v>755.04</v>
      </c>
      <c r="BV3" s="64">
        <f>IF(G3="YES",3.5*18.2,0)</f>
        <v>63.699999999999996</v>
      </c>
      <c r="BW3" s="64">
        <f>BU3-BV3</f>
        <v>691.33999999999992</v>
      </c>
    </row>
    <row r="4" spans="1:75" x14ac:dyDescent="0.15">
      <c r="A4" s="57" t="s">
        <v>1182</v>
      </c>
      <c r="B4" s="57">
        <v>93</v>
      </c>
      <c r="C4" s="57" t="s">
        <v>1513</v>
      </c>
      <c r="D4" s="57" t="s">
        <v>1513</v>
      </c>
      <c r="E4" s="57" t="e">
        <f>VLOOKUP(D4,Harvest_2017_Formulae!$C$2:$D$968,2,FALSE)</f>
        <v>#N/A</v>
      </c>
      <c r="F4" s="57" t="s">
        <v>1175</v>
      </c>
      <c r="G4" s="61" t="s">
        <v>548</v>
      </c>
      <c r="H4" s="57" t="s">
        <v>568</v>
      </c>
      <c r="I4" s="57" t="s">
        <v>548</v>
      </c>
      <c r="J4" s="57" t="s">
        <v>546</v>
      </c>
      <c r="K4" s="57" t="s">
        <v>548</v>
      </c>
      <c r="L4" s="29" t="s">
        <v>2221</v>
      </c>
      <c r="M4" s="57" t="s">
        <v>548</v>
      </c>
      <c r="N4" s="57" t="s">
        <v>548</v>
      </c>
      <c r="O4" s="57" t="s">
        <v>550</v>
      </c>
      <c r="P4" s="57"/>
      <c r="Q4" s="57">
        <v>12</v>
      </c>
      <c r="R4" s="57"/>
      <c r="S4" s="57" t="s">
        <v>546</v>
      </c>
      <c r="T4" s="57">
        <v>1</v>
      </c>
      <c r="U4" s="57">
        <v>5.3299999237060547</v>
      </c>
      <c r="V4" s="57" t="s">
        <v>551</v>
      </c>
      <c r="W4" s="57">
        <v>1.279199981689453</v>
      </c>
      <c r="X4" s="57">
        <v>1</v>
      </c>
      <c r="Y4" s="57">
        <v>2</v>
      </c>
      <c r="Z4" s="57" t="s">
        <v>551</v>
      </c>
      <c r="AA4" s="60">
        <v>0.48</v>
      </c>
      <c r="AB4" s="57">
        <v>1</v>
      </c>
      <c r="AC4" s="57">
        <v>0</v>
      </c>
      <c r="AD4" s="57" t="s">
        <v>551</v>
      </c>
      <c r="AE4" s="60">
        <v>0</v>
      </c>
      <c r="AF4" s="57" t="s">
        <v>546</v>
      </c>
      <c r="AG4" s="57" t="s">
        <v>546</v>
      </c>
      <c r="AH4" s="57" t="s">
        <v>548</v>
      </c>
      <c r="AI4" s="57" t="s">
        <v>548</v>
      </c>
      <c r="AJ4" s="57" t="s">
        <v>548</v>
      </c>
      <c r="AK4" s="57">
        <v>3</v>
      </c>
      <c r="AL4" s="57">
        <v>5</v>
      </c>
      <c r="AM4" s="57" t="s">
        <v>1515</v>
      </c>
      <c r="AN4" s="57" t="s">
        <v>1516</v>
      </c>
      <c r="AO4" s="57">
        <v>-4.3646130561828613</v>
      </c>
      <c r="AP4" s="57">
        <v>35.480541229248047</v>
      </c>
      <c r="AQ4" s="57">
        <v>1712.0999755859375</v>
      </c>
      <c r="AR4" s="57">
        <v>10</v>
      </c>
      <c r="AS4" s="57">
        <v>1705231439</v>
      </c>
      <c r="AT4" s="57" t="s">
        <v>1517</v>
      </c>
      <c r="AU4" s="58">
        <v>42927.345300925925</v>
      </c>
      <c r="AV4" s="58">
        <v>42895.603125000001</v>
      </c>
      <c r="AW4" s="58">
        <v>42923.465231481481</v>
      </c>
      <c r="AX4" s="59">
        <v>42779</v>
      </c>
      <c r="AY4" s="57"/>
      <c r="AZ4" s="57"/>
      <c r="BA4" s="57"/>
      <c r="BB4" s="57"/>
      <c r="BC4" s="57"/>
      <c r="BD4" s="57" t="s">
        <v>2171</v>
      </c>
      <c r="BE4" s="57">
        <v>3.3183093070999998</v>
      </c>
      <c r="BF4" s="57" t="str">
        <f>IF(BE4&lt;0.5,"Depression",IF(BE4&lt;2,"Very gentle",IF(BE4&lt;5,"Gentle",IF(BE4&lt;9,"Moderate",IF(BE4&lt;15,"Strong",IF(BE4&lt;30,"Steep",IF(BE4&lt;1,"Very steep")))))))</f>
        <v>Gentle</v>
      </c>
      <c r="BG4" s="57" t="s">
        <v>2173</v>
      </c>
      <c r="BH4" s="57">
        <v>0.36257606744799997</v>
      </c>
      <c r="BI4" s="60">
        <v>7.5032229423499999</v>
      </c>
      <c r="BJ4" s="60"/>
      <c r="BK4" s="60"/>
      <c r="BL4" s="60"/>
      <c r="BM4" s="60"/>
      <c r="BN4" s="60"/>
      <c r="BO4" s="60"/>
      <c r="BP4" s="60"/>
      <c r="BQ4" s="43"/>
      <c r="BR4" s="64">
        <f>IF(W4&gt;0.000001,W4*352,0)</f>
        <v>450.27839355468745</v>
      </c>
      <c r="BS4" s="64">
        <f>IF(AE4&gt;0.0001,AE4*682,0)</f>
        <v>0</v>
      </c>
      <c r="BT4" s="64">
        <f>AA4*795</f>
        <v>381.59999999999997</v>
      </c>
      <c r="BU4" s="64">
        <f>BR4+BS4+BT4</f>
        <v>831.87839355468736</v>
      </c>
      <c r="BV4" s="64">
        <f>IF(G4="YES",3.5*18.2,0)</f>
        <v>63.699999999999996</v>
      </c>
      <c r="BW4" s="64">
        <f>BU4-BV4</f>
        <v>768.17839355468732</v>
      </c>
    </row>
    <row r="5" spans="1:75" x14ac:dyDescent="0.15">
      <c r="A5" s="57" t="s">
        <v>789</v>
      </c>
      <c r="B5" s="57">
        <v>48</v>
      </c>
      <c r="C5" s="57" t="s">
        <v>204</v>
      </c>
      <c r="D5" s="57" t="s">
        <v>204</v>
      </c>
      <c r="E5" s="57" t="str">
        <f>VLOOKUP(D5,Harvest_2017_Formulae!$C$2:$D$968,2,FALSE)</f>
        <v>MANDI</v>
      </c>
      <c r="F5" s="57" t="s">
        <v>1014</v>
      </c>
      <c r="G5" s="61" t="s">
        <v>546</v>
      </c>
      <c r="H5" s="57" t="s">
        <v>547</v>
      </c>
      <c r="I5" s="57" t="s">
        <v>548</v>
      </c>
      <c r="J5" s="57" t="s">
        <v>546</v>
      </c>
      <c r="K5" s="57" t="s">
        <v>548</v>
      </c>
      <c r="L5" s="29" t="s">
        <v>2221</v>
      </c>
      <c r="M5" s="57" t="s">
        <v>548</v>
      </c>
      <c r="N5" s="57" t="s">
        <v>548</v>
      </c>
      <c r="O5" s="57" t="s">
        <v>793</v>
      </c>
      <c r="P5" s="57">
        <v>0.25</v>
      </c>
      <c r="Q5" s="57">
        <v>5.25</v>
      </c>
      <c r="R5" s="57">
        <v>0</v>
      </c>
      <c r="S5" s="57" t="s">
        <v>548</v>
      </c>
      <c r="T5" s="57">
        <v>1</v>
      </c>
      <c r="U5" s="57">
        <v>5</v>
      </c>
      <c r="V5" s="57" t="s">
        <v>551</v>
      </c>
      <c r="W5" s="57">
        <v>1.2</v>
      </c>
      <c r="X5" s="57"/>
      <c r="Y5" s="57">
        <v>999</v>
      </c>
      <c r="Z5" s="57" t="s">
        <v>551</v>
      </c>
      <c r="AA5" s="60"/>
      <c r="AB5" s="57"/>
      <c r="AC5" s="57">
        <v>999</v>
      </c>
      <c r="AD5" s="57" t="s">
        <v>551</v>
      </c>
      <c r="AE5" s="60"/>
      <c r="AF5" s="57" t="s">
        <v>546</v>
      </c>
      <c r="AG5" s="57" t="s">
        <v>546</v>
      </c>
      <c r="AH5" s="57" t="s">
        <v>546</v>
      </c>
      <c r="AI5" s="57" t="s">
        <v>548</v>
      </c>
      <c r="AJ5" s="57" t="s">
        <v>546</v>
      </c>
      <c r="AK5" s="57">
        <v>1</v>
      </c>
      <c r="AL5" s="57">
        <v>3</v>
      </c>
      <c r="AM5" s="57" t="s">
        <v>1051</v>
      </c>
      <c r="AN5" s="57" t="s">
        <v>1052</v>
      </c>
      <c r="AO5" s="57">
        <v>-4.3407421112060547</v>
      </c>
      <c r="AP5" s="57">
        <v>35.420608520507812</v>
      </c>
      <c r="AQ5" s="57">
        <v>1624.800048828125</v>
      </c>
      <c r="AR5" s="57">
        <v>5</v>
      </c>
      <c r="AS5" s="57">
        <v>1705231439</v>
      </c>
      <c r="AT5" s="57" t="s">
        <v>1053</v>
      </c>
      <c r="AU5" s="58">
        <v>42923.381701388891</v>
      </c>
      <c r="AV5" s="58">
        <v>42907.618796296301</v>
      </c>
      <c r="AW5" s="58">
        <v>42923.379988425921</v>
      </c>
      <c r="AX5" s="59">
        <v>42758</v>
      </c>
      <c r="AY5" s="57"/>
      <c r="AZ5" s="60">
        <v>3.6360000000000001</v>
      </c>
      <c r="BA5" s="60">
        <v>3.5686666666666671</v>
      </c>
      <c r="BB5" s="60">
        <v>3.1148571428571432</v>
      </c>
      <c r="BC5" s="60">
        <v>2.1243148688046647</v>
      </c>
      <c r="BD5" s="57" t="s">
        <v>2171</v>
      </c>
      <c r="BE5" s="57">
        <v>2.8647022247299998</v>
      </c>
      <c r="BF5" s="57" t="str">
        <f>IF(BE5&lt;0.5,"Depression",IF(BE5&lt;2,"Very gentle",IF(BE5&lt;5,"Gentle",IF(BE5&lt;9,"Moderate",IF(BE5&lt;15,"Strong",IF(BE5&lt;30,"Steep",IF(BE5&lt;1,"Very steep")))))))</f>
        <v>Gentle</v>
      </c>
      <c r="BG5" s="57" t="s">
        <v>2173</v>
      </c>
      <c r="BH5" s="57">
        <v>-0.27191722393000001</v>
      </c>
      <c r="BI5" s="60">
        <v>8.7366437912000006</v>
      </c>
      <c r="BJ5" s="60">
        <f>VLOOKUP(D5,[1]SoilData!$G$15:$K$237,5,FALSE)</f>
        <v>343.83334765054559</v>
      </c>
      <c r="BK5" s="60">
        <f>VLOOKUP(D5,[1]SoilData!$G$245:$K$451,5,FALSE)</f>
        <v>346.22499157316912</v>
      </c>
      <c r="BL5" s="60">
        <f>VLOOKUP(D5,[1]SoilData!$G$15:$M$238,7,FALSE)</f>
        <v>1.37</v>
      </c>
      <c r="BM5" s="60">
        <f>VLOOKUP(D5,[1]SoilData!$G$245:$M$454,7,FALSE)</f>
        <v>1.7030000000000001</v>
      </c>
      <c r="BN5" s="60">
        <f>BL5-BM5</f>
        <v>-0.33299999999999996</v>
      </c>
      <c r="BO5" s="60">
        <f>AVERAGE(BB5:BC5)</f>
        <v>2.6195860058309037</v>
      </c>
      <c r="BP5" s="60">
        <f>AVERAGE(AZ5:BA5)</f>
        <v>3.6023333333333336</v>
      </c>
      <c r="BQ5" s="43">
        <f>BP5-BO5</f>
        <v>0.98274732750242988</v>
      </c>
      <c r="BR5" s="64">
        <f>IF(W5&gt;0.000001,W5*352,0)</f>
        <v>422.4</v>
      </c>
      <c r="BS5" s="64">
        <f>IF(AE5&gt;0.0001,AE5*682,0)</f>
        <v>0</v>
      </c>
      <c r="BT5" s="64">
        <f>AA5*795</f>
        <v>0</v>
      </c>
      <c r="BU5" s="64">
        <f>BR5+BS5+BT5</f>
        <v>422.4</v>
      </c>
      <c r="BV5" s="64">
        <f>IF(G5="YES",3.5*18.2,0)</f>
        <v>0</v>
      </c>
      <c r="BW5" s="64">
        <f>BU5-BV5</f>
        <v>422.4</v>
      </c>
    </row>
    <row r="6" spans="1:75" x14ac:dyDescent="0.15">
      <c r="A6" s="57" t="s">
        <v>789</v>
      </c>
      <c r="B6" s="57">
        <v>35</v>
      </c>
      <c r="C6" s="57" t="s">
        <v>390</v>
      </c>
      <c r="D6" s="57" t="s">
        <v>390</v>
      </c>
      <c r="E6" s="57" t="str">
        <f>VLOOKUP(D6,Harvest_2017_Formulae!$C$2:$D$968,2,FALSE)</f>
        <v>Sangara</v>
      </c>
      <c r="F6" s="57" t="s">
        <v>1014</v>
      </c>
      <c r="G6" s="61" t="s">
        <v>548</v>
      </c>
      <c r="H6" s="57" t="s">
        <v>568</v>
      </c>
      <c r="I6" s="57" t="s">
        <v>548</v>
      </c>
      <c r="J6" s="57" t="s">
        <v>546</v>
      </c>
      <c r="K6" s="57" t="s">
        <v>548</v>
      </c>
      <c r="L6" s="29" t="s">
        <v>2221</v>
      </c>
      <c r="M6" s="57" t="s">
        <v>548</v>
      </c>
      <c r="N6" s="57" t="s">
        <v>548</v>
      </c>
      <c r="O6" s="57" t="s">
        <v>793</v>
      </c>
      <c r="P6" s="57">
        <v>0.25</v>
      </c>
      <c r="Q6" s="57">
        <v>4</v>
      </c>
      <c r="R6" s="57">
        <v>0</v>
      </c>
      <c r="S6" s="57" t="s">
        <v>548</v>
      </c>
      <c r="T6" s="57">
        <v>1</v>
      </c>
      <c r="U6" s="57">
        <v>8</v>
      </c>
      <c r="V6" s="57" t="s">
        <v>551</v>
      </c>
      <c r="W6" s="57">
        <v>1.92</v>
      </c>
      <c r="X6" s="57">
        <v>1</v>
      </c>
      <c r="Y6" s="57">
        <v>2.7000000476837158</v>
      </c>
      <c r="Z6" s="57" t="s">
        <v>551</v>
      </c>
      <c r="AA6" s="60">
        <v>0.64800001144409181</v>
      </c>
      <c r="AB6" s="57"/>
      <c r="AC6" s="57">
        <v>999</v>
      </c>
      <c r="AD6" s="57" t="s">
        <v>551</v>
      </c>
      <c r="AE6" s="60"/>
      <c r="AF6" s="57" t="s">
        <v>546</v>
      </c>
      <c r="AG6" s="57" t="s">
        <v>548</v>
      </c>
      <c r="AH6" s="57" t="s">
        <v>546</v>
      </c>
      <c r="AI6" s="57" t="s">
        <v>546</v>
      </c>
      <c r="AJ6" s="57" t="s">
        <v>546</v>
      </c>
      <c r="AK6" s="57">
        <v>1</v>
      </c>
      <c r="AL6" s="57">
        <v>4</v>
      </c>
      <c r="AM6" s="57" t="s">
        <v>1302</v>
      </c>
      <c r="AN6" s="57" t="s">
        <v>1303</v>
      </c>
      <c r="AO6" s="57">
        <v>-4.2942328453063965</v>
      </c>
      <c r="AP6" s="57">
        <v>35.636287689208984</v>
      </c>
      <c r="AQ6" s="57">
        <v>1432.9000244140625</v>
      </c>
      <c r="AR6" s="57">
        <v>10</v>
      </c>
      <c r="AS6" s="57">
        <v>1705231439</v>
      </c>
      <c r="AT6" s="57" t="s">
        <v>1304</v>
      </c>
      <c r="AU6" s="58">
        <v>42908.292638888888</v>
      </c>
      <c r="AV6" s="58">
        <v>42899.434155092589</v>
      </c>
      <c r="AW6" s="58">
        <v>42908.289259259254</v>
      </c>
      <c r="AX6" s="59">
        <v>42781</v>
      </c>
      <c r="AY6" s="57"/>
      <c r="AZ6" s="60">
        <v>3.627642276422764</v>
      </c>
      <c r="BA6" s="60">
        <v>5.7897696476964775</v>
      </c>
      <c r="BB6" s="60">
        <v>6.2288659793814425</v>
      </c>
      <c r="BC6" s="60">
        <v>5.4453608247422665</v>
      </c>
      <c r="BD6" s="57" t="s">
        <v>2175</v>
      </c>
      <c r="BE6" s="57">
        <v>3.42399120331</v>
      </c>
      <c r="BF6" s="57" t="str">
        <f>IF(BE6&lt;0.5,"Depression",IF(BE6&lt;2,"Very gentle",IF(BE6&lt;5,"Gentle",IF(BE6&lt;9,"Moderate",IF(BE6&lt;15,"Strong",IF(BE6&lt;30,"Steep",IF(BE6&lt;1,"Very steep")))))))</f>
        <v>Gentle</v>
      </c>
      <c r="BG6" s="57" t="s">
        <v>2176</v>
      </c>
      <c r="BH6" s="57">
        <v>-1.4502619504900001</v>
      </c>
      <c r="BI6" s="60">
        <v>7.7100343704199998</v>
      </c>
      <c r="BJ6" s="60">
        <f>VLOOKUP(D6,[1]SoilData!$G$15:$K$237,5,FALSE)</f>
        <v>213.65638483627274</v>
      </c>
      <c r="BK6" s="60">
        <f>VLOOKUP(D6,[1]SoilData!$G$245:$K$451,5,FALSE)</f>
        <v>350.73300757401023</v>
      </c>
      <c r="BL6" s="60">
        <f>VLOOKUP(D6,[1]SoilData!$G$15:$M$238,7,FALSE)</f>
        <v>1.1100000000000001</v>
      </c>
      <c r="BM6" s="60">
        <f>VLOOKUP(D6,[1]SoilData!$G$245:$M$454,7,FALSE)</f>
        <v>1.232</v>
      </c>
      <c r="BN6" s="60">
        <f>BL6-BM6</f>
        <v>-0.12199999999999989</v>
      </c>
      <c r="BO6" s="60">
        <f>AVERAGE(BB6:BC6)</f>
        <v>5.8371134020618545</v>
      </c>
      <c r="BP6" s="60">
        <f>AVERAGE(AZ6:BA6)</f>
        <v>4.7087059620596206</v>
      </c>
      <c r="BQ6" s="43">
        <f>BP6-BO6</f>
        <v>-1.1284074400022339</v>
      </c>
      <c r="BR6" s="64">
        <f>IF(W6&gt;0.000001,W6*352,0)</f>
        <v>675.83999999999992</v>
      </c>
      <c r="BS6" s="64">
        <f>IF(AE6&gt;0.0001,AE6*682,0)</f>
        <v>0</v>
      </c>
      <c r="BT6" s="64">
        <f>AA6*795</f>
        <v>515.16000909805302</v>
      </c>
      <c r="BU6" s="64">
        <f>BR6+BS6+BT6</f>
        <v>1191.0000090980529</v>
      </c>
      <c r="BV6" s="64">
        <f>IF(G6="YES",3.5*18.2,0)</f>
        <v>63.699999999999996</v>
      </c>
      <c r="BW6" s="64">
        <f>BU6-BV6</f>
        <v>1127.3000090980529</v>
      </c>
    </row>
    <row r="7" spans="1:75" x14ac:dyDescent="0.15">
      <c r="A7" s="57" t="s">
        <v>556</v>
      </c>
      <c r="B7" s="57">
        <v>194</v>
      </c>
      <c r="C7" s="57" t="s">
        <v>847</v>
      </c>
      <c r="D7" s="57" t="s">
        <v>146</v>
      </c>
      <c r="E7" s="57" t="str">
        <f>VLOOKUP(D7,Harvest_2017_Formulae!$C$2:$D$968,2,FALSE)</f>
        <v>ENDANOGA</v>
      </c>
      <c r="F7" s="57" t="s">
        <v>843</v>
      </c>
      <c r="G7" s="61" t="s">
        <v>548</v>
      </c>
      <c r="H7" s="57" t="s">
        <v>568</v>
      </c>
      <c r="I7" s="57" t="s">
        <v>546</v>
      </c>
      <c r="J7" s="57" t="s">
        <v>546</v>
      </c>
      <c r="K7" s="57" t="s">
        <v>548</v>
      </c>
      <c r="L7" s="29" t="s">
        <v>2221</v>
      </c>
      <c r="M7" s="57" t="s">
        <v>546</v>
      </c>
      <c r="N7" s="57" t="s">
        <v>546</v>
      </c>
      <c r="O7" s="57" t="s">
        <v>547</v>
      </c>
      <c r="P7" s="57">
        <v>0.25</v>
      </c>
      <c r="Q7" s="57">
        <v>0</v>
      </c>
      <c r="R7" s="57"/>
      <c r="S7" s="57" t="s">
        <v>546</v>
      </c>
      <c r="T7" s="57">
        <v>3.125E-2</v>
      </c>
      <c r="U7" s="57">
        <v>5</v>
      </c>
      <c r="V7" s="57" t="s">
        <v>552</v>
      </c>
      <c r="W7" s="57">
        <v>6.4127999999999989</v>
      </c>
      <c r="X7" s="57"/>
      <c r="Y7" s="57">
        <v>999</v>
      </c>
      <c r="Z7" s="57" t="s">
        <v>552</v>
      </c>
      <c r="AA7" s="60"/>
      <c r="AB7" s="57">
        <v>999</v>
      </c>
      <c r="AC7" s="57">
        <v>999</v>
      </c>
      <c r="AD7" s="57" t="s">
        <v>552</v>
      </c>
      <c r="AE7" s="60"/>
      <c r="AF7" s="57" t="s">
        <v>546</v>
      </c>
      <c r="AG7" s="57" t="s">
        <v>546</v>
      </c>
      <c r="AH7" s="57" t="s">
        <v>546</v>
      </c>
      <c r="AI7" s="57" t="s">
        <v>546</v>
      </c>
      <c r="AJ7" s="57" t="s">
        <v>546</v>
      </c>
      <c r="AK7" s="57">
        <v>0</v>
      </c>
      <c r="AL7" s="57">
        <v>4</v>
      </c>
      <c r="AM7" s="57" t="s">
        <v>850</v>
      </c>
      <c r="AN7" s="57" t="s">
        <v>851</v>
      </c>
      <c r="AO7" s="57">
        <v>-4.2835335731506348</v>
      </c>
      <c r="AP7" s="57">
        <v>35.856357574462891</v>
      </c>
      <c r="AQ7" s="57">
        <v>1295.300048828125</v>
      </c>
      <c r="AR7" s="57">
        <v>5</v>
      </c>
      <c r="AS7" s="57">
        <v>1706031849</v>
      </c>
      <c r="AT7" s="57" t="s">
        <v>852</v>
      </c>
      <c r="AU7" s="58">
        <v>42940.360115740739</v>
      </c>
      <c r="AV7" s="58">
        <v>42924.663101851853</v>
      </c>
      <c r="AW7" s="58">
        <v>42924.679918981477</v>
      </c>
      <c r="AX7" s="59">
        <v>42786</v>
      </c>
      <c r="AY7" s="57"/>
      <c r="AZ7" s="60">
        <v>5.3434733893557427</v>
      </c>
      <c r="BA7" s="60">
        <v>5.1733893557422981</v>
      </c>
      <c r="BB7" s="60">
        <v>4.9301851851851861</v>
      </c>
      <c r="BC7" s="60">
        <v>4.9521296296296304</v>
      </c>
      <c r="BD7" s="57" t="s">
        <v>2171</v>
      </c>
      <c r="BE7" s="57">
        <v>1.72651553154</v>
      </c>
      <c r="BF7" s="57" t="str">
        <f>IF(BE7&lt;0.5,"Depression",IF(BE7&lt;2,"Very gentle",IF(BE7&lt;5,"Gentle",IF(BE7&lt;9,"Moderate",IF(BE7&lt;15,"Strong",IF(BE7&lt;30,"Steep",IF(BE7&lt;1,"Very steep")))))))</f>
        <v>Very gentle</v>
      </c>
      <c r="BG7" s="57" t="s">
        <v>2173</v>
      </c>
      <c r="BH7" s="57">
        <v>8.4776775111099995E-6</v>
      </c>
      <c r="BI7" s="60">
        <v>10.6290960312</v>
      </c>
      <c r="BJ7" s="60">
        <f>VLOOKUP(D7,[1]SoilData!$G$15:$K$237,5,FALSE)</f>
        <v>433.96489105138988</v>
      </c>
      <c r="BK7" s="60"/>
      <c r="BL7" s="60">
        <f>VLOOKUP(D7,[1]SoilData!$G$15:$M$238,7,FALSE)</f>
        <v>1.472</v>
      </c>
      <c r="BM7" s="60"/>
      <c r="BN7" s="60"/>
      <c r="BO7" s="60">
        <f>AVERAGE(BB7:BC7)</f>
        <v>4.9411574074074078</v>
      </c>
      <c r="BP7" s="60">
        <f>AVERAGE(AZ7:BA7)</f>
        <v>5.2584313725490208</v>
      </c>
      <c r="BQ7" s="43">
        <f>BP7-BO7</f>
        <v>0.31727396514161299</v>
      </c>
      <c r="BR7" s="64">
        <f>IF(W7&gt;0.000001,W7*352,0)</f>
        <v>2257.3055999999997</v>
      </c>
      <c r="BS7" s="64">
        <f>IF(AE7&gt;0.0001,AE7*682,0)</f>
        <v>0</v>
      </c>
      <c r="BT7" s="64">
        <f>AA7*795</f>
        <v>0</v>
      </c>
      <c r="BU7" s="64">
        <f>BR7+BS7+BT7</f>
        <v>2257.3055999999997</v>
      </c>
      <c r="BV7" s="64">
        <f>IF(G7="YES",3.5*18.2,0)</f>
        <v>63.699999999999996</v>
      </c>
      <c r="BW7" s="64">
        <f>BU7-BV7</f>
        <v>2193.6055999999999</v>
      </c>
    </row>
    <row r="8" spans="1:75" x14ac:dyDescent="0.15">
      <c r="A8" s="57" t="s">
        <v>556</v>
      </c>
      <c r="B8" s="57">
        <v>192</v>
      </c>
      <c r="C8" s="57" t="s">
        <v>352</v>
      </c>
      <c r="D8" s="57" t="s">
        <v>352</v>
      </c>
      <c r="E8" s="57" t="str">
        <f>VLOOKUP(D8,Harvest_2017_Formulae!$C$2:$D$968,2,FALSE)</f>
        <v>ENDANOGA</v>
      </c>
      <c r="F8" s="57" t="s">
        <v>843</v>
      </c>
      <c r="G8" s="61" t="s">
        <v>548</v>
      </c>
      <c r="H8" s="57" t="s">
        <v>568</v>
      </c>
      <c r="I8" s="57" t="s">
        <v>548</v>
      </c>
      <c r="J8" s="57" t="s">
        <v>546</v>
      </c>
      <c r="K8" s="57" t="s">
        <v>548</v>
      </c>
      <c r="L8" s="29" t="s">
        <v>2221</v>
      </c>
      <c r="M8" s="57" t="s">
        <v>546</v>
      </c>
      <c r="N8" s="57" t="s">
        <v>548</v>
      </c>
      <c r="O8" s="57" t="s">
        <v>550</v>
      </c>
      <c r="P8" s="57">
        <v>0.25</v>
      </c>
      <c r="Q8" s="57"/>
      <c r="R8" s="57">
        <v>0.75</v>
      </c>
      <c r="S8" s="57" t="s">
        <v>548</v>
      </c>
      <c r="T8" s="57">
        <v>1</v>
      </c>
      <c r="U8" s="57">
        <v>8</v>
      </c>
      <c r="V8" s="57" t="s">
        <v>551</v>
      </c>
      <c r="W8" s="57">
        <v>1.92</v>
      </c>
      <c r="X8" s="57"/>
      <c r="Y8" s="57">
        <v>999</v>
      </c>
      <c r="Z8" s="57" t="s">
        <v>551</v>
      </c>
      <c r="AA8" s="60"/>
      <c r="AB8" s="57">
        <v>1</v>
      </c>
      <c r="AC8" s="57">
        <v>2</v>
      </c>
      <c r="AD8" s="57" t="s">
        <v>551</v>
      </c>
      <c r="AE8" s="60">
        <v>0.48</v>
      </c>
      <c r="AF8" s="57" t="s">
        <v>546</v>
      </c>
      <c r="AG8" s="57" t="s">
        <v>548</v>
      </c>
      <c r="AH8" s="57" t="s">
        <v>546</v>
      </c>
      <c r="AI8" s="57" t="s">
        <v>546</v>
      </c>
      <c r="AJ8" s="57" t="s">
        <v>546</v>
      </c>
      <c r="AK8" s="57">
        <v>1</v>
      </c>
      <c r="AL8" s="57">
        <v>2</v>
      </c>
      <c r="AM8" s="57" t="s">
        <v>917</v>
      </c>
      <c r="AN8" s="57" t="s">
        <v>918</v>
      </c>
      <c r="AO8" s="57">
        <v>-4.2807283401489258</v>
      </c>
      <c r="AP8" s="57">
        <v>35.866661071777344</v>
      </c>
      <c r="AQ8" s="57">
        <v>1283.0999755859375</v>
      </c>
      <c r="AR8" s="57">
        <v>5</v>
      </c>
      <c r="AS8" s="57">
        <v>1706031849</v>
      </c>
      <c r="AT8" s="57" t="s">
        <v>919</v>
      </c>
      <c r="AU8" s="58">
        <v>42940.360092592593</v>
      </c>
      <c r="AV8" s="58">
        <v>42924.606574074074</v>
      </c>
      <c r="AW8" s="58">
        <v>42924.614155092597</v>
      </c>
      <c r="AX8" s="59">
        <v>42790</v>
      </c>
      <c r="AY8" s="57"/>
      <c r="AZ8" s="60">
        <v>2.2995169082125604</v>
      </c>
      <c r="BA8" s="60">
        <v>3.761352657004831</v>
      </c>
      <c r="BB8" s="60">
        <v>2.541052631578947</v>
      </c>
      <c r="BC8" s="60">
        <v>2.5576608187134502</v>
      </c>
      <c r="BD8" s="57" t="s">
        <v>2171</v>
      </c>
      <c r="BE8" s="57">
        <v>1.2451889514900001</v>
      </c>
      <c r="BF8" s="57" t="str">
        <f>IF(BE8&lt;0.5,"Depression",IF(BE8&lt;2,"Very gentle",IF(BE8&lt;5,"Gentle",IF(BE8&lt;9,"Moderate",IF(BE8&lt;15,"Strong",IF(BE8&lt;30,"Steep",IF(BE8&lt;1,"Very steep")))))))</f>
        <v>Very gentle</v>
      </c>
      <c r="BG8" s="57" t="s">
        <v>2172</v>
      </c>
      <c r="BH8" s="57">
        <v>-0.725126743317</v>
      </c>
      <c r="BI8" s="60">
        <v>12.6087989807</v>
      </c>
      <c r="BJ8" s="60">
        <f>VLOOKUP(D8,[1]SoilData!$G$15:$K$237,5,FALSE)</f>
        <v>41.198754806502066</v>
      </c>
      <c r="BK8" s="60">
        <f>VLOOKUP(D8,[1]SoilData!$G$245:$K$451,5,FALSE)</f>
        <v>1172.4894044438436</v>
      </c>
      <c r="BL8" s="60">
        <f>VLOOKUP(D8,[1]SoilData!$G$15:$M$238,7,FALSE)</f>
        <v>0.70099999999999996</v>
      </c>
      <c r="BM8" s="60">
        <f>VLOOKUP(D8,[1]SoilData!$G$245:$M$454,7,FALSE)</f>
        <v>1.585</v>
      </c>
      <c r="BN8" s="60">
        <f>BL8-BM8</f>
        <v>-0.88400000000000001</v>
      </c>
      <c r="BO8" s="60">
        <f>AVERAGE(BB8:BC8)</f>
        <v>2.5493567251461986</v>
      </c>
      <c r="BP8" s="60">
        <f>AVERAGE(AZ8:BA8)</f>
        <v>3.0304347826086957</v>
      </c>
      <c r="BQ8" s="43">
        <f>BP8-BO8</f>
        <v>0.4810780574624971</v>
      </c>
      <c r="BR8" s="64">
        <f>IF(W8&gt;0.000001,W8*352,0)</f>
        <v>675.83999999999992</v>
      </c>
      <c r="BS8" s="64">
        <f>IF(AE8&gt;0.0001,AE8*682,0)</f>
        <v>327.36</v>
      </c>
      <c r="BT8" s="64">
        <f>AA8*795</f>
        <v>0</v>
      </c>
      <c r="BU8" s="64">
        <f>BR8+BS8+BT8</f>
        <v>1003.1999999999999</v>
      </c>
      <c r="BV8" s="64">
        <f>IF(G8="YES",3.5*18.2,0)</f>
        <v>63.699999999999996</v>
      </c>
      <c r="BW8" s="64">
        <f>BU8-BV8</f>
        <v>939.49999999999989</v>
      </c>
    </row>
    <row r="9" spans="1:75" x14ac:dyDescent="0.15">
      <c r="A9" s="57" t="s">
        <v>789</v>
      </c>
      <c r="B9" s="57">
        <v>44</v>
      </c>
      <c r="C9" s="57" t="s">
        <v>1288</v>
      </c>
      <c r="D9" s="57" t="s">
        <v>269</v>
      </c>
      <c r="E9" s="57" t="str">
        <f>VLOOKUP(D9,Harvest_2017_Formulae!$C$2:$D$968,2,FALSE)</f>
        <v>Sangara</v>
      </c>
      <c r="F9" s="57" t="s">
        <v>1014</v>
      </c>
      <c r="G9" s="61" t="s">
        <v>548</v>
      </c>
      <c r="H9" s="57" t="s">
        <v>568</v>
      </c>
      <c r="I9" s="57" t="s">
        <v>548</v>
      </c>
      <c r="J9" s="57" t="s">
        <v>546</v>
      </c>
      <c r="K9" s="57" t="s">
        <v>548</v>
      </c>
      <c r="L9" s="29" t="s">
        <v>2221</v>
      </c>
      <c r="M9" s="57" t="s">
        <v>548</v>
      </c>
      <c r="N9" s="57" t="s">
        <v>546</v>
      </c>
      <c r="O9" s="57" t="s">
        <v>547</v>
      </c>
      <c r="P9" s="57">
        <v>0.25</v>
      </c>
      <c r="Q9" s="57">
        <v>5.75</v>
      </c>
      <c r="R9" s="57">
        <v>0</v>
      </c>
      <c r="S9" s="57" t="s">
        <v>548</v>
      </c>
      <c r="T9" s="57">
        <v>1</v>
      </c>
      <c r="U9" s="57">
        <v>10</v>
      </c>
      <c r="V9" s="57" t="s">
        <v>551</v>
      </c>
      <c r="W9" s="57">
        <v>2.4</v>
      </c>
      <c r="X9" s="57">
        <v>1</v>
      </c>
      <c r="Y9" s="57">
        <v>2</v>
      </c>
      <c r="Z9" s="57" t="s">
        <v>551</v>
      </c>
      <c r="AA9" s="60">
        <v>0.48</v>
      </c>
      <c r="AB9" s="57">
        <v>1</v>
      </c>
      <c r="AC9" s="57">
        <v>2</v>
      </c>
      <c r="AD9" s="57" t="s">
        <v>551</v>
      </c>
      <c r="AE9" s="60">
        <v>0.48</v>
      </c>
      <c r="AF9" s="57" t="s">
        <v>546</v>
      </c>
      <c r="AG9" s="57" t="s">
        <v>548</v>
      </c>
      <c r="AH9" s="57" t="s">
        <v>546</v>
      </c>
      <c r="AI9" s="57" t="s">
        <v>548</v>
      </c>
      <c r="AJ9" s="57" t="s">
        <v>546</v>
      </c>
      <c r="AK9" s="57">
        <v>2</v>
      </c>
      <c r="AL9" s="57">
        <v>4</v>
      </c>
      <c r="AM9" s="57" t="s">
        <v>1289</v>
      </c>
      <c r="AN9" s="57" t="s">
        <v>1290</v>
      </c>
      <c r="AO9" s="57">
        <v>-4.2797799110412598</v>
      </c>
      <c r="AP9" s="57">
        <v>35.636280059814453</v>
      </c>
      <c r="AQ9" s="57">
        <v>1398.800048828125</v>
      </c>
      <c r="AR9" s="57">
        <v>15</v>
      </c>
      <c r="AS9" s="57">
        <v>1705231439</v>
      </c>
      <c r="AT9" s="57" t="s">
        <v>1291</v>
      </c>
      <c r="AU9" s="58">
        <v>42908.292685185181</v>
      </c>
      <c r="AV9" s="58">
        <v>42900.407719907409</v>
      </c>
      <c r="AW9" s="58">
        <v>42908.290219907409</v>
      </c>
      <c r="AX9" s="59">
        <v>42745</v>
      </c>
      <c r="AY9" s="57"/>
      <c r="AZ9" s="60">
        <v>5.3059349593495941</v>
      </c>
      <c r="BA9" s="60">
        <v>5.1386991869918708</v>
      </c>
      <c r="BB9" s="60">
        <v>2.7438596491228071</v>
      </c>
      <c r="BC9" s="60">
        <v>1.312280701754386</v>
      </c>
      <c r="BD9" s="57" t="s">
        <v>2179</v>
      </c>
      <c r="BE9" s="57">
        <v>2.8563883304600002</v>
      </c>
      <c r="BF9" s="57" t="str">
        <f>IF(BE9&lt;0.5,"Depression",IF(BE9&lt;2,"Very gentle",IF(BE9&lt;5,"Gentle",IF(BE9&lt;9,"Moderate",IF(BE9&lt;15,"Strong",IF(BE9&lt;30,"Steep",IF(BE9&lt;1,"Very steep")))))))</f>
        <v>Gentle</v>
      </c>
      <c r="BG9" s="57" t="s">
        <v>2172</v>
      </c>
      <c r="BH9" s="57">
        <v>-0.99705243110700004</v>
      </c>
      <c r="BI9" s="60">
        <v>9.1790475845300001</v>
      </c>
      <c r="BJ9" s="60">
        <f>VLOOKUP(D9,[1]SoilData!$G$15:$K$237,5,FALSE)</f>
        <v>373.24433925571651</v>
      </c>
      <c r="BK9" s="60">
        <f>VLOOKUP(D9,[1]SoilData!$G$245:$K$451,5,FALSE)</f>
        <v>189.4163663733074</v>
      </c>
      <c r="BL9" s="60">
        <f>VLOOKUP(D9,[1]SoilData!$G$15:$M$238,7,FALSE)</f>
        <v>1.111</v>
      </c>
      <c r="BM9" s="60">
        <f>VLOOKUP(D9,[1]SoilData!$G$245:$M$454,7,FALSE)</f>
        <v>0.95799999999999996</v>
      </c>
      <c r="BN9" s="60">
        <f>BL9-BM9</f>
        <v>0.15300000000000002</v>
      </c>
      <c r="BO9" s="60">
        <f>AVERAGE(BB9:BC9)</f>
        <v>2.0280701754385966</v>
      </c>
      <c r="BP9" s="60">
        <f>AVERAGE(AZ9:BA9)</f>
        <v>5.222317073170732</v>
      </c>
      <c r="BQ9" s="43">
        <f>BP9-BO9</f>
        <v>3.1942468977321354</v>
      </c>
      <c r="BR9" s="64">
        <f>IF(W9&gt;0.000001,W9*352,0)</f>
        <v>844.8</v>
      </c>
      <c r="BS9" s="64">
        <f>IF(AE9&gt;0.0001,AE9*682,0)</f>
        <v>327.36</v>
      </c>
      <c r="BT9" s="64">
        <f>AA9*795</f>
        <v>381.59999999999997</v>
      </c>
      <c r="BU9" s="64">
        <f>BR9+BS9+BT9</f>
        <v>1553.7599999999998</v>
      </c>
      <c r="BV9" s="64">
        <f>IF(G9="YES",3.5*18.2,0)</f>
        <v>63.699999999999996</v>
      </c>
      <c r="BW9" s="64">
        <f>BU9-BV9</f>
        <v>1490.0599999999997</v>
      </c>
    </row>
    <row r="10" spans="1:75" x14ac:dyDescent="0.15">
      <c r="A10" s="57" t="s">
        <v>841</v>
      </c>
      <c r="B10" s="57">
        <v>250</v>
      </c>
      <c r="C10" s="57" t="s">
        <v>865</v>
      </c>
      <c r="D10" s="57" t="s">
        <v>149</v>
      </c>
      <c r="E10" s="57" t="str">
        <f>VLOOKUP(D10,Harvest_2017_Formulae!$C$2:$D$968,2,FALSE)</f>
        <v>ENDANOGA</v>
      </c>
      <c r="F10" s="57" t="s">
        <v>843</v>
      </c>
      <c r="G10" s="61" t="s">
        <v>548</v>
      </c>
      <c r="H10" s="57" t="s">
        <v>860</v>
      </c>
      <c r="I10" s="57" t="s">
        <v>548</v>
      </c>
      <c r="J10" s="57" t="s">
        <v>546</v>
      </c>
      <c r="K10" s="57" t="s">
        <v>548</v>
      </c>
      <c r="L10" s="29" t="s">
        <v>2221</v>
      </c>
      <c r="M10" s="57" t="s">
        <v>548</v>
      </c>
      <c r="N10" s="57" t="s">
        <v>548</v>
      </c>
      <c r="O10" s="57" t="s">
        <v>550</v>
      </c>
      <c r="P10" s="57">
        <v>1.25</v>
      </c>
      <c r="Q10" s="57">
        <v>3</v>
      </c>
      <c r="R10" s="57">
        <v>42</v>
      </c>
      <c r="S10" s="57" t="s">
        <v>548</v>
      </c>
      <c r="T10" s="57">
        <v>18</v>
      </c>
      <c r="U10" s="57">
        <v>163</v>
      </c>
      <c r="V10" s="57" t="s">
        <v>551</v>
      </c>
      <c r="W10" s="57">
        <v>2.1733333333333333</v>
      </c>
      <c r="X10" s="57">
        <v>2</v>
      </c>
      <c r="Y10" s="57">
        <v>1</v>
      </c>
      <c r="Z10" s="57" t="s">
        <v>551</v>
      </c>
      <c r="AA10" s="60">
        <v>0.12</v>
      </c>
      <c r="AB10" s="57">
        <v>18</v>
      </c>
      <c r="AC10" s="57">
        <v>62</v>
      </c>
      <c r="AD10" s="57" t="s">
        <v>551</v>
      </c>
      <c r="AE10" s="60">
        <v>0.82666666666666666</v>
      </c>
      <c r="AF10" s="57" t="s">
        <v>548</v>
      </c>
      <c r="AG10" s="57" t="s">
        <v>548</v>
      </c>
      <c r="AH10" s="57" t="s">
        <v>548</v>
      </c>
      <c r="AI10" s="57" t="s">
        <v>548</v>
      </c>
      <c r="AJ10" s="57" t="s">
        <v>548</v>
      </c>
      <c r="AK10" s="57">
        <v>5</v>
      </c>
      <c r="AL10" s="57">
        <v>4</v>
      </c>
      <c r="AM10" s="57" t="s">
        <v>867</v>
      </c>
      <c r="AN10" s="57" t="s">
        <v>868</v>
      </c>
      <c r="AO10" s="57">
        <v>-4.2733011245727539</v>
      </c>
      <c r="AP10" s="57">
        <v>35.857265472412109</v>
      </c>
      <c r="AQ10" s="57">
        <v>1324</v>
      </c>
      <c r="AR10" s="57">
        <v>5</v>
      </c>
      <c r="AS10" s="57">
        <v>1706031849</v>
      </c>
      <c r="AT10" s="57" t="s">
        <v>869</v>
      </c>
      <c r="AU10" s="58">
        <v>42978.591365740736</v>
      </c>
      <c r="AV10" s="58">
        <v>42895.675671296296</v>
      </c>
      <c r="AW10" s="58">
        <v>42978.589768518519</v>
      </c>
      <c r="AX10" s="59">
        <v>42788</v>
      </c>
      <c r="AY10" s="57"/>
      <c r="AZ10" s="60">
        <v>7.2268326417704021</v>
      </c>
      <c r="BA10" s="60">
        <v>5.4835177501152614</v>
      </c>
      <c r="BB10" s="60">
        <v>5.0080682342093139</v>
      </c>
      <c r="BC10" s="60">
        <v>4.2156523743660683</v>
      </c>
      <c r="BD10" s="57" t="s">
        <v>2171</v>
      </c>
      <c r="BE10" s="57">
        <v>1.69868314266</v>
      </c>
      <c r="BF10" s="57" t="str">
        <f>IF(BE10&lt;0.5,"Depression",IF(BE10&lt;2,"Very gentle",IF(BE10&lt;5,"Gentle",IF(BE10&lt;9,"Moderate",IF(BE10&lt;15,"Strong",IF(BE10&lt;30,"Steep",IF(BE10&lt;1,"Very steep")))))))</f>
        <v>Very gentle</v>
      </c>
      <c r="BG10" s="57" t="s">
        <v>2173</v>
      </c>
      <c r="BH10" s="57">
        <v>0.45321798324599999</v>
      </c>
      <c r="BI10" s="60">
        <v>11.231022834799999</v>
      </c>
      <c r="BJ10" s="60">
        <f>VLOOKUP(D10,[1]SoilData!$G$15:$K$237,5,FALSE)</f>
        <v>212.51342587661244</v>
      </c>
      <c r="BK10" s="60">
        <f>VLOOKUP(D10,[1]SoilData!$G$245:$K$451,5,FALSE)</f>
        <v>27.706765414020868</v>
      </c>
      <c r="BL10" s="60">
        <f>VLOOKUP(D10,[1]SoilData!$G$15:$M$238,7,FALSE)</f>
        <v>0.86199999999999999</v>
      </c>
      <c r="BM10" s="60">
        <f>VLOOKUP(D10,[1]SoilData!$G$245:$M$454,7,FALSE)</f>
        <v>0.78100000000000003</v>
      </c>
      <c r="BN10" s="60">
        <f>BL10-BM10</f>
        <v>8.0999999999999961E-2</v>
      </c>
      <c r="BO10" s="60">
        <f>AVERAGE(BB10:BC10)</f>
        <v>4.6118603042876911</v>
      </c>
      <c r="BP10" s="60">
        <f>AVERAGE(AZ10:BA10)</f>
        <v>6.3551751959428318</v>
      </c>
      <c r="BQ10" s="43">
        <f>BP10-BO10</f>
        <v>1.7433148916551406</v>
      </c>
      <c r="BR10" s="64">
        <f>IF(W10&gt;0.000001,W10*352,0)</f>
        <v>765.01333333333332</v>
      </c>
      <c r="BS10" s="64">
        <f>IF(AE10&gt;0.0001,AE10*682,0)</f>
        <v>563.78666666666663</v>
      </c>
      <c r="BT10" s="64">
        <f>AA10*795</f>
        <v>95.399999999999991</v>
      </c>
      <c r="BU10" s="64">
        <f>BR10+BS10+BT10</f>
        <v>1424.2</v>
      </c>
      <c r="BV10" s="64">
        <f>IF(G10="YES",3.5*18.2,0)</f>
        <v>63.699999999999996</v>
      </c>
      <c r="BW10" s="64">
        <f>BU10-BV10</f>
        <v>1360.5</v>
      </c>
    </row>
    <row r="11" spans="1:75" x14ac:dyDescent="0.15">
      <c r="A11" s="29" t="s">
        <v>556</v>
      </c>
      <c r="B11" s="29">
        <v>155</v>
      </c>
      <c r="C11" s="29" t="s">
        <v>179</v>
      </c>
      <c r="D11" s="29" t="s">
        <v>179</v>
      </c>
      <c r="E11" s="29" t="str">
        <f>VLOOKUP(D11,Harvest_2017_Formulae!$C$2:$D$968,2,FALSE)</f>
        <v>HALLU</v>
      </c>
      <c r="F11" s="29" t="s">
        <v>938</v>
      </c>
      <c r="G11" s="61" t="s">
        <v>546</v>
      </c>
      <c r="H11" s="29" t="s">
        <v>547</v>
      </c>
      <c r="I11" s="29" t="s">
        <v>546</v>
      </c>
      <c r="J11" s="29" t="s">
        <v>546</v>
      </c>
      <c r="K11" s="29" t="s">
        <v>548</v>
      </c>
      <c r="L11" s="29" t="s">
        <v>2220</v>
      </c>
      <c r="M11" s="29" t="s">
        <v>546</v>
      </c>
      <c r="N11" s="29" t="s">
        <v>548</v>
      </c>
      <c r="O11" s="29" t="s">
        <v>550</v>
      </c>
      <c r="P11" s="29">
        <v>0.25</v>
      </c>
      <c r="Q11" s="29">
        <v>2.75</v>
      </c>
      <c r="S11" s="29" t="s">
        <v>548</v>
      </c>
      <c r="T11" s="29">
        <v>3</v>
      </c>
      <c r="U11" s="29">
        <v>28</v>
      </c>
      <c r="V11" s="29" t="s">
        <v>551</v>
      </c>
      <c r="W11" s="30">
        <v>2.2400000000000002</v>
      </c>
      <c r="Y11" s="29">
        <v>999</v>
      </c>
      <c r="Z11" s="29" t="s">
        <v>551</v>
      </c>
      <c r="AA11" s="62"/>
      <c r="AB11" s="29">
        <v>3</v>
      </c>
      <c r="AC11" s="29">
        <v>6</v>
      </c>
      <c r="AD11" s="29" t="s">
        <v>551</v>
      </c>
      <c r="AE11" s="62">
        <v>0.48</v>
      </c>
      <c r="AF11" s="29" t="s">
        <v>546</v>
      </c>
      <c r="AG11" s="29" t="s">
        <v>546</v>
      </c>
      <c r="AH11" s="29" t="s">
        <v>546</v>
      </c>
      <c r="AI11" s="29" t="s">
        <v>546</v>
      </c>
      <c r="AJ11" s="29" t="s">
        <v>546</v>
      </c>
      <c r="AK11" s="29">
        <v>0</v>
      </c>
      <c r="AL11" s="29">
        <v>3</v>
      </c>
      <c r="AM11" s="29" t="s">
        <v>972</v>
      </c>
      <c r="AN11" s="29" t="s">
        <v>973</v>
      </c>
      <c r="AO11" s="29">
        <v>-4.266695499420166</v>
      </c>
      <c r="AP11" s="29">
        <v>35.880573272705078</v>
      </c>
      <c r="AQ11" s="29">
        <v>1252.199951171875</v>
      </c>
      <c r="AR11" s="29">
        <v>5</v>
      </c>
      <c r="AS11" s="29">
        <v>1706031849</v>
      </c>
      <c r="AT11" s="29" t="s">
        <v>974</v>
      </c>
      <c r="AU11" s="31">
        <v>42921.432337962964</v>
      </c>
      <c r="AV11" s="31">
        <v>42913.467245370368</v>
      </c>
      <c r="AW11" s="31">
        <v>42913.479548611111</v>
      </c>
      <c r="AX11" s="32">
        <v>42776</v>
      </c>
      <c r="AZ11" s="44">
        <v>4.9187613843351556</v>
      </c>
      <c r="BA11" s="44">
        <v>5.0910746812386156</v>
      </c>
      <c r="BB11" s="44">
        <v>1.828125</v>
      </c>
      <c r="BC11" s="44">
        <v>1.640625</v>
      </c>
      <c r="BD11" s="29" t="s">
        <v>2171</v>
      </c>
      <c r="BE11" s="29">
        <v>1.0361100435299999</v>
      </c>
      <c r="BF11" s="29" t="str">
        <f>IF(BE11&lt;0.5,"Depression",IF(BE11&lt;2,"Very gentle",IF(BE11&lt;5,"Gentle",IF(BE11&lt;9,"Moderate",IF(BE11&lt;15,"Strong",IF(BE11&lt;30,"Steep",IF(BE11&lt;1,"Very steep")))))))</f>
        <v>Very gentle</v>
      </c>
      <c r="BG11" s="29" t="s">
        <v>2173</v>
      </c>
      <c r="BH11" s="29">
        <v>8.4776775111099995E-6</v>
      </c>
      <c r="BI11" s="43">
        <v>10.2860393524</v>
      </c>
      <c r="BJ11" s="43">
        <f>VLOOKUP(D11,[1]SoilData!$G$15:$K$237,5,FALSE)</f>
        <v>160.95575771923316</v>
      </c>
      <c r="BK11" s="43">
        <f>VLOOKUP(D11,[1]SoilData!$G$245:$K$451,5,FALSE)</f>
        <v>215.29434204741466</v>
      </c>
      <c r="BL11" s="43">
        <f>VLOOKUP(D11,[1]SoilData!$G$15:$M$238,7,FALSE)</f>
        <v>1.4670000000000001</v>
      </c>
      <c r="BM11" s="43">
        <f>VLOOKUP(D11,[1]SoilData!$G$245:$M$454,7,FALSE)</f>
        <v>1.0049999999999999</v>
      </c>
      <c r="BN11" s="60">
        <f>BL11-BM11</f>
        <v>0.46200000000000019</v>
      </c>
      <c r="BO11" s="44">
        <f>AVERAGE(BB11:BC11)</f>
        <v>1.734375</v>
      </c>
      <c r="BP11" s="44">
        <f>AVERAGE(AZ11:BA11)</f>
        <v>5.0049180327868861</v>
      </c>
      <c r="BQ11" s="43">
        <f>BP11-BO11</f>
        <v>3.2705430327868861</v>
      </c>
      <c r="BR11" s="64">
        <f>IF(W11&gt;0.000001,W11*352,0)</f>
        <v>788.48</v>
      </c>
      <c r="BS11" s="64">
        <f>IF(AE11&gt;0.0001,AE11*682,0)</f>
        <v>327.36</v>
      </c>
      <c r="BT11" s="64">
        <f>AA11*795</f>
        <v>0</v>
      </c>
      <c r="BU11" s="64">
        <f>BR11+BS11+BT11</f>
        <v>1115.8400000000001</v>
      </c>
      <c r="BV11" s="64">
        <f>IF(G11="YES",3.5*18.2,0)</f>
        <v>0</v>
      </c>
      <c r="BW11" s="64">
        <f>BU11-BV11</f>
        <v>1115.8400000000001</v>
      </c>
    </row>
    <row r="12" spans="1:75" x14ac:dyDescent="0.15">
      <c r="A12" s="29" t="s">
        <v>789</v>
      </c>
      <c r="B12" s="29">
        <v>29</v>
      </c>
      <c r="C12" s="29" t="s">
        <v>1269</v>
      </c>
      <c r="D12" s="29" t="s">
        <v>264</v>
      </c>
      <c r="E12" s="29" t="str">
        <f>VLOOKUP(D12,Harvest_2017_Formulae!$C$2:$D$968,2,FALSE)</f>
        <v>Sangara</v>
      </c>
      <c r="F12" s="29" t="s">
        <v>1014</v>
      </c>
      <c r="G12" s="61" t="s">
        <v>548</v>
      </c>
      <c r="H12" s="29" t="s">
        <v>568</v>
      </c>
      <c r="I12" s="29" t="s">
        <v>548</v>
      </c>
      <c r="J12" s="29" t="s">
        <v>546</v>
      </c>
      <c r="K12" s="29" t="s">
        <v>548</v>
      </c>
      <c r="L12" s="29" t="s">
        <v>2221</v>
      </c>
      <c r="M12" s="29" t="s">
        <v>548</v>
      </c>
      <c r="N12" s="29" t="s">
        <v>548</v>
      </c>
      <c r="O12" s="29" t="s">
        <v>793</v>
      </c>
      <c r="P12" s="29">
        <v>0.75</v>
      </c>
      <c r="Q12" s="29">
        <v>32.25</v>
      </c>
      <c r="R12" s="29">
        <v>0</v>
      </c>
      <c r="S12" s="29" t="s">
        <v>546</v>
      </c>
      <c r="T12" s="29">
        <v>1</v>
      </c>
      <c r="U12" s="29">
        <v>8</v>
      </c>
      <c r="V12" s="29" t="s">
        <v>551</v>
      </c>
      <c r="W12" s="30">
        <v>1.92</v>
      </c>
      <c r="Y12" s="29">
        <v>999</v>
      </c>
      <c r="Z12" s="29" t="s">
        <v>551</v>
      </c>
      <c r="AA12" s="62"/>
      <c r="AC12" s="29">
        <v>999</v>
      </c>
      <c r="AD12" s="29" t="s">
        <v>551</v>
      </c>
      <c r="AE12" s="62"/>
      <c r="AF12" s="29" t="s">
        <v>546</v>
      </c>
      <c r="AG12" s="29" t="s">
        <v>548</v>
      </c>
      <c r="AH12" s="29" t="s">
        <v>546</v>
      </c>
      <c r="AI12" s="29" t="s">
        <v>546</v>
      </c>
      <c r="AJ12" s="29" t="s">
        <v>546</v>
      </c>
      <c r="AK12" s="29">
        <v>1</v>
      </c>
      <c r="AL12" s="29">
        <v>4</v>
      </c>
      <c r="AM12" s="29" t="s">
        <v>1271</v>
      </c>
      <c r="AN12" s="29" t="s">
        <v>1272</v>
      </c>
      <c r="AO12" s="29">
        <v>-4.2877449989318848</v>
      </c>
      <c r="AP12" s="29">
        <v>35.635135650634766</v>
      </c>
      <c r="AQ12" s="29">
        <v>1411.800048828125</v>
      </c>
      <c r="AR12" s="29">
        <v>15</v>
      </c>
      <c r="AS12" s="29">
        <v>1705231439</v>
      </c>
      <c r="AT12" s="29" t="s">
        <v>1273</v>
      </c>
      <c r="AU12" s="31">
        <v>42908.292581018519</v>
      </c>
      <c r="AV12" s="31">
        <v>42898.467569444445</v>
      </c>
      <c r="AW12" s="31">
        <v>42908.288182870368</v>
      </c>
      <c r="AX12" s="32">
        <v>42752</v>
      </c>
      <c r="AZ12" s="44">
        <v>7.7096938775510209</v>
      </c>
      <c r="BA12" s="44">
        <v>7.4191836734693899</v>
      </c>
      <c r="BB12" s="44">
        <v>5.9511111111111124</v>
      </c>
      <c r="BC12" s="44">
        <v>3.7112698412698415</v>
      </c>
      <c r="BD12" s="29" t="s">
        <v>2171</v>
      </c>
      <c r="BE12" s="29">
        <v>2.3029155731199999</v>
      </c>
      <c r="BF12" s="29" t="str">
        <f>IF(BE12&lt;0.5,"Depression",IF(BE12&lt;2,"Very gentle",IF(BE12&lt;5,"Gentle",IF(BE12&lt;9,"Moderate",IF(BE12&lt;15,"Strong",IF(BE12&lt;30,"Steep",IF(BE12&lt;1,"Very steep")))))))</f>
        <v>Gentle</v>
      </c>
      <c r="BG12" s="29" t="s">
        <v>2173</v>
      </c>
      <c r="BH12" s="29">
        <v>-0.362559139729</v>
      </c>
      <c r="BI12" s="43">
        <v>12.200060844399999</v>
      </c>
      <c r="BJ12" s="43">
        <f>VLOOKUP(D12,[1]SoilData!$G$15:$K$237,5,FALSE)</f>
        <v>246.67458230236457</v>
      </c>
      <c r="BK12" s="43"/>
      <c r="BL12" s="43">
        <f>VLOOKUP(D12,[1]SoilData!$G$15:$M$238,7,FALSE)</f>
        <v>1.321</v>
      </c>
      <c r="BM12" s="43"/>
      <c r="BN12" s="60"/>
      <c r="BO12" s="44">
        <f>AVERAGE(BB12:BC12)</f>
        <v>4.8311904761904767</v>
      </c>
      <c r="BP12" s="44">
        <f>AVERAGE(AZ12:BA12)</f>
        <v>7.5644387755102054</v>
      </c>
      <c r="BQ12" s="43">
        <f>BP12-BO12</f>
        <v>2.7332482993197287</v>
      </c>
      <c r="BR12" s="64">
        <f>IF(W12&gt;0.000001,W12*352,0)</f>
        <v>675.83999999999992</v>
      </c>
      <c r="BS12" s="64">
        <f>IF(AE12&gt;0.0001,AE12*682,0)</f>
        <v>0</v>
      </c>
      <c r="BT12" s="64">
        <f>AA12*795</f>
        <v>0</v>
      </c>
      <c r="BU12" s="64">
        <f>BR12+BS12+BT12</f>
        <v>675.83999999999992</v>
      </c>
      <c r="BV12" s="64">
        <f>IF(G12="YES",3.5*18.2,0)</f>
        <v>63.699999999999996</v>
      </c>
      <c r="BW12" s="64">
        <f>BU12-BV12</f>
        <v>612.13999999999987</v>
      </c>
    </row>
    <row r="13" spans="1:75" x14ac:dyDescent="0.15">
      <c r="A13" s="29" t="s">
        <v>789</v>
      </c>
      <c r="B13" s="29">
        <v>37</v>
      </c>
      <c r="C13" s="29" t="s">
        <v>1502</v>
      </c>
      <c r="D13" s="29" t="s">
        <v>1502</v>
      </c>
      <c r="E13" s="29" t="e">
        <f>VLOOKUP(D13,Harvest_2017_Formulae!$C$2:$D$968,2,FALSE)</f>
        <v>#N/A</v>
      </c>
      <c r="F13" s="29" t="s">
        <v>1014</v>
      </c>
      <c r="G13" s="61" t="s">
        <v>548</v>
      </c>
      <c r="H13" s="29" t="s">
        <v>568</v>
      </c>
      <c r="I13" s="29" t="s">
        <v>548</v>
      </c>
      <c r="J13" s="29" t="s">
        <v>546</v>
      </c>
      <c r="K13" s="29" t="s">
        <v>548</v>
      </c>
      <c r="L13" s="29" t="s">
        <v>2221</v>
      </c>
      <c r="M13" s="29" t="s">
        <v>548</v>
      </c>
      <c r="N13" s="29" t="s">
        <v>548</v>
      </c>
      <c r="O13" s="29" t="s">
        <v>793</v>
      </c>
      <c r="P13" s="29">
        <v>1.25</v>
      </c>
      <c r="Q13" s="29">
        <v>6</v>
      </c>
      <c r="R13" s="29">
        <v>0</v>
      </c>
      <c r="S13" s="29" t="s">
        <v>546</v>
      </c>
      <c r="T13" s="29">
        <v>1</v>
      </c>
      <c r="U13" s="29">
        <v>12</v>
      </c>
      <c r="V13" s="29" t="s">
        <v>551</v>
      </c>
      <c r="W13" s="30">
        <v>2.8800000000000003</v>
      </c>
      <c r="X13" s="29">
        <v>1</v>
      </c>
      <c r="Y13" s="29">
        <v>3</v>
      </c>
      <c r="Z13" s="29" t="s">
        <v>551</v>
      </c>
      <c r="AA13" s="62">
        <v>0.72</v>
      </c>
      <c r="AB13" s="29">
        <v>1</v>
      </c>
      <c r="AC13" s="29">
        <v>8</v>
      </c>
      <c r="AD13" s="29" t="s">
        <v>551</v>
      </c>
      <c r="AE13" s="62">
        <v>1.92</v>
      </c>
      <c r="AF13" s="29" t="s">
        <v>548</v>
      </c>
      <c r="AG13" s="29" t="s">
        <v>546</v>
      </c>
      <c r="AH13" s="29" t="s">
        <v>548</v>
      </c>
      <c r="AI13" s="29" t="s">
        <v>546</v>
      </c>
      <c r="AJ13" s="29" t="s">
        <v>548</v>
      </c>
      <c r="AK13" s="29">
        <v>3</v>
      </c>
      <c r="AL13" s="29">
        <v>5</v>
      </c>
      <c r="AM13" s="29" t="s">
        <v>1504</v>
      </c>
      <c r="AN13" s="29" t="s">
        <v>1505</v>
      </c>
      <c r="AO13" s="29">
        <v>-4.3000764846801758</v>
      </c>
      <c r="AP13" s="29">
        <v>35.629844665527344</v>
      </c>
      <c r="AQ13" s="29">
        <v>1417.699951171875</v>
      </c>
      <c r="AR13" s="29">
        <v>15</v>
      </c>
      <c r="AS13" s="29">
        <v>1705231439</v>
      </c>
      <c r="AT13" s="29" t="s">
        <v>1506</v>
      </c>
      <c r="AU13" s="31">
        <v>42908.292650462958</v>
      </c>
      <c r="AV13" s="31">
        <v>42899.460740740746</v>
      </c>
      <c r="AW13" s="31">
        <v>42908.289375</v>
      </c>
      <c r="AX13" s="32">
        <v>42807</v>
      </c>
      <c r="BD13" s="29" t="s">
        <v>2179</v>
      </c>
      <c r="BE13" s="29">
        <v>4.0973973274200004</v>
      </c>
      <c r="BF13" s="29" t="str">
        <f>IF(BE13&lt;0.5,"Depression",IF(BE13&lt;2,"Very gentle",IF(BE13&lt;5,"Gentle",IF(BE13&lt;9,"Moderate",IF(BE13&lt;15,"Strong",IF(BE13&lt;30,"Steep",IF(BE13&lt;1,"Very steep")))))))</f>
        <v>Gentle</v>
      </c>
      <c r="BG13" s="29" t="s">
        <v>2172</v>
      </c>
      <c r="BH13" s="29">
        <v>-0.90641051530799999</v>
      </c>
      <c r="BI13" s="43">
        <v>9.8035144805899996</v>
      </c>
      <c r="BJ13" s="43"/>
      <c r="BK13" s="43"/>
      <c r="BL13" s="43"/>
      <c r="BM13" s="43"/>
      <c r="BN13" s="60"/>
      <c r="BO13" s="43"/>
      <c r="BP13" s="43"/>
      <c r="BQ13" s="43"/>
      <c r="BR13" s="64">
        <f>IF(W13&gt;0.000001,W13*352,0)</f>
        <v>1013.7600000000001</v>
      </c>
      <c r="BS13" s="64">
        <f>IF(AE13&gt;0.0001,AE13*682,0)</f>
        <v>1309.44</v>
      </c>
      <c r="BT13" s="64">
        <f>AA13*795</f>
        <v>572.4</v>
      </c>
      <c r="BU13" s="64">
        <f>BR13+BS13+BT13</f>
        <v>2895.6000000000004</v>
      </c>
      <c r="BV13" s="64">
        <f>IF(G13="YES",3.5*18.2,0)</f>
        <v>63.699999999999996</v>
      </c>
      <c r="BW13" s="64">
        <f>BU13-BV13</f>
        <v>2831.9000000000005</v>
      </c>
    </row>
    <row r="14" spans="1:75" x14ac:dyDescent="0.15">
      <c r="A14" s="57" t="s">
        <v>556</v>
      </c>
      <c r="B14" s="57">
        <v>138</v>
      </c>
      <c r="C14" s="57" t="s">
        <v>320</v>
      </c>
      <c r="D14" s="57" t="s">
        <v>320</v>
      </c>
      <c r="E14" s="57" t="str">
        <f>VLOOKUP(D14,Harvest_2017_Formulae!$C$2:$D$968,2,FALSE)</f>
        <v>AYAMANGO</v>
      </c>
      <c r="F14" s="57" t="s">
        <v>196</v>
      </c>
      <c r="G14" s="61" t="s">
        <v>548</v>
      </c>
      <c r="H14" s="57" t="s">
        <v>614</v>
      </c>
      <c r="I14" s="57" t="s">
        <v>546</v>
      </c>
      <c r="J14" s="57" t="s">
        <v>546</v>
      </c>
      <c r="K14" s="57" t="s">
        <v>548</v>
      </c>
      <c r="L14" s="29" t="s">
        <v>2221</v>
      </c>
      <c r="M14" s="57" t="s">
        <v>546</v>
      </c>
      <c r="N14" s="57" t="s">
        <v>548</v>
      </c>
      <c r="O14" s="57" t="s">
        <v>617</v>
      </c>
      <c r="P14" s="57">
        <v>0.25</v>
      </c>
      <c r="Q14" s="57">
        <v>1.25</v>
      </c>
      <c r="R14" s="57"/>
      <c r="S14" s="57" t="s">
        <v>548</v>
      </c>
      <c r="T14" s="57">
        <v>2</v>
      </c>
      <c r="U14" s="57">
        <v>20</v>
      </c>
      <c r="V14" s="57" t="s">
        <v>551</v>
      </c>
      <c r="W14" s="57">
        <v>2.4</v>
      </c>
      <c r="X14" s="57"/>
      <c r="Y14" s="57">
        <v>999</v>
      </c>
      <c r="Z14" s="57" t="s">
        <v>551</v>
      </c>
      <c r="AA14" s="60"/>
      <c r="AB14" s="57">
        <v>2</v>
      </c>
      <c r="AC14" s="57">
        <v>3</v>
      </c>
      <c r="AD14" s="57" t="s">
        <v>551</v>
      </c>
      <c r="AE14" s="60">
        <v>0.36</v>
      </c>
      <c r="AF14" s="57" t="s">
        <v>546</v>
      </c>
      <c r="AG14" s="57" t="s">
        <v>546</v>
      </c>
      <c r="AH14" s="57" t="s">
        <v>548</v>
      </c>
      <c r="AI14" s="57" t="s">
        <v>546</v>
      </c>
      <c r="AJ14" s="57" t="s">
        <v>546</v>
      </c>
      <c r="AK14" s="57">
        <v>1</v>
      </c>
      <c r="AL14" s="57">
        <v>4</v>
      </c>
      <c r="AM14" s="57" t="s">
        <v>618</v>
      </c>
      <c r="AN14" s="57" t="s">
        <v>619</v>
      </c>
      <c r="AO14" s="57">
        <v>-4.2297592163085938</v>
      </c>
      <c r="AP14" s="57">
        <v>35.877033233642578</v>
      </c>
      <c r="AQ14" s="57">
        <v>1274.0999755859375</v>
      </c>
      <c r="AR14" s="57">
        <v>5</v>
      </c>
      <c r="AS14" s="57">
        <v>1706031849</v>
      </c>
      <c r="AT14" s="57" t="s">
        <v>620</v>
      </c>
      <c r="AU14" s="58">
        <v>42908.460509259261</v>
      </c>
      <c r="AV14" s="58">
        <v>42907.464409722219</v>
      </c>
      <c r="AW14" s="58">
        <v>42908.459756944445</v>
      </c>
      <c r="AX14" s="59">
        <v>42768</v>
      </c>
      <c r="AY14" s="57"/>
      <c r="AZ14" s="60">
        <v>5.5541520467836261</v>
      </c>
      <c r="BA14" s="60">
        <v>5.4690058479532153</v>
      </c>
      <c r="BB14" s="60">
        <v>7.5812882447665064</v>
      </c>
      <c r="BC14" s="60">
        <v>9.5405797101449288</v>
      </c>
      <c r="BD14" s="57" t="s">
        <v>2171</v>
      </c>
      <c r="BE14" s="57">
        <v>2.5200860500300002</v>
      </c>
      <c r="BF14" s="57" t="str">
        <f>IF(BE14&lt;0.5,"Depression",IF(BE14&lt;2,"Very gentle",IF(BE14&lt;5,"Gentle",IF(BE14&lt;9,"Moderate",IF(BE14&lt;15,"Strong",IF(BE14&lt;30,"Steep",IF(BE14&lt;1,"Very steep")))))))</f>
        <v>Gentle</v>
      </c>
      <c r="BG14" s="57" t="s">
        <v>2173</v>
      </c>
      <c r="BH14" s="57">
        <v>8.4776775111099995E-6</v>
      </c>
      <c r="BI14" s="60">
        <v>9.1653385162400003</v>
      </c>
      <c r="BJ14" s="60">
        <f>VLOOKUP(D14,[1]SoilData!$G$15:$K$237,5,FALSE)</f>
        <v>444.83467367713882</v>
      </c>
      <c r="BK14" s="60">
        <f>VLOOKUP(D14,[1]SoilData!$G$245:$K$451,5,FALSE)</f>
        <v>295.37516257308982</v>
      </c>
      <c r="BL14" s="60">
        <f>VLOOKUP(D14,[1]SoilData!$G$15:$M$238,7,FALSE)</f>
        <v>1.7689999999999999</v>
      </c>
      <c r="BM14" s="60">
        <f>VLOOKUP(D14,[1]SoilData!$G$245:$M$454,7,FALSE)</f>
        <v>1.345</v>
      </c>
      <c r="BN14" s="60">
        <f>BL14-BM14</f>
        <v>0.42399999999999993</v>
      </c>
      <c r="BO14" s="60">
        <f>AVERAGE(BB14:BC14)</f>
        <v>8.5609339774557185</v>
      </c>
      <c r="BP14" s="60">
        <f>AVERAGE(AZ14:BA14)</f>
        <v>5.5115789473684202</v>
      </c>
      <c r="BQ14" s="43">
        <f>BP14-BO14</f>
        <v>-3.0493550300872982</v>
      </c>
      <c r="BR14" s="64">
        <f>IF(W14&gt;0.000001,W14*352,0)</f>
        <v>844.8</v>
      </c>
      <c r="BS14" s="64">
        <f>IF(AE14&gt;0.0001,AE14*682,0)</f>
        <v>245.51999999999998</v>
      </c>
      <c r="BT14" s="64">
        <f>AA14*795</f>
        <v>0</v>
      </c>
      <c r="BU14" s="64">
        <f>BR14+BS14+BT14</f>
        <v>1090.32</v>
      </c>
      <c r="BV14" s="64">
        <f>IF(G14="YES",3.5*18.2,0)</f>
        <v>63.699999999999996</v>
      </c>
      <c r="BW14" s="64">
        <f>BU14-BV14</f>
        <v>1026.6199999999999</v>
      </c>
    </row>
    <row r="15" spans="1:75" x14ac:dyDescent="0.15">
      <c r="A15" s="29" t="s">
        <v>544</v>
      </c>
      <c r="B15" s="29">
        <v>94</v>
      </c>
      <c r="C15" s="29" t="s">
        <v>1096</v>
      </c>
      <c r="D15" s="29" t="s">
        <v>215</v>
      </c>
      <c r="E15" s="29" t="str">
        <f>VLOOKUP(D15,Harvest_2017_Formulae!$C$2:$D$968,2,FALSE)</f>
        <v>ORNGADIDA</v>
      </c>
      <c r="F15" s="29" t="s">
        <v>777</v>
      </c>
      <c r="G15" s="61" t="s">
        <v>546</v>
      </c>
      <c r="H15" s="29" t="s">
        <v>547</v>
      </c>
      <c r="I15" s="29" t="s">
        <v>546</v>
      </c>
      <c r="J15" s="29" t="s">
        <v>546</v>
      </c>
      <c r="K15" s="29" t="s">
        <v>546</v>
      </c>
      <c r="L15" s="29" t="s">
        <v>2219</v>
      </c>
      <c r="M15" s="29" t="s">
        <v>546</v>
      </c>
      <c r="N15" s="29" t="s">
        <v>546</v>
      </c>
      <c r="O15" s="29" t="s">
        <v>547</v>
      </c>
      <c r="P15" s="29">
        <v>0.20000000298023224</v>
      </c>
      <c r="R15" s="29">
        <v>1</v>
      </c>
      <c r="S15" s="29" t="s">
        <v>546</v>
      </c>
      <c r="T15" s="29">
        <v>1</v>
      </c>
      <c r="U15" s="29">
        <v>0.75</v>
      </c>
      <c r="V15" s="29" t="s">
        <v>551</v>
      </c>
      <c r="W15" s="30">
        <v>0.18000000000000002</v>
      </c>
      <c r="Y15" s="29">
        <v>999</v>
      </c>
      <c r="Z15" s="29" t="s">
        <v>551</v>
      </c>
      <c r="AA15" s="62"/>
      <c r="AB15" s="29">
        <v>1</v>
      </c>
      <c r="AC15" s="29">
        <v>5.000000074505806E-2</v>
      </c>
      <c r="AD15" s="29" t="s">
        <v>551</v>
      </c>
      <c r="AE15" s="62">
        <v>1.2000000178813934E-2</v>
      </c>
      <c r="AF15" s="29" t="s">
        <v>546</v>
      </c>
      <c r="AG15" s="29" t="s">
        <v>546</v>
      </c>
      <c r="AH15" s="29" t="s">
        <v>546</v>
      </c>
      <c r="AI15" s="29" t="s">
        <v>546</v>
      </c>
      <c r="AJ15" s="29" t="s">
        <v>546</v>
      </c>
      <c r="AK15" s="29">
        <v>0</v>
      </c>
      <c r="AL15" s="29">
        <v>3</v>
      </c>
      <c r="AM15" s="29" t="s">
        <v>1097</v>
      </c>
      <c r="AN15" s="29" t="s">
        <v>1098</v>
      </c>
      <c r="AO15" s="29">
        <v>-4.306312084197998</v>
      </c>
      <c r="AP15" s="29">
        <v>35.864559173583984</v>
      </c>
      <c r="AQ15" s="29">
        <v>1244.800048828125</v>
      </c>
      <c r="AR15" s="29">
        <v>5</v>
      </c>
      <c r="AS15" s="29">
        <v>1705231439</v>
      </c>
      <c r="AT15" s="29" t="s">
        <v>1099</v>
      </c>
      <c r="AU15" s="31">
        <v>42927.346979166672</v>
      </c>
      <c r="AV15" s="31">
        <v>42888.651319444441</v>
      </c>
      <c r="AW15" s="31">
        <v>42927.346863425926</v>
      </c>
      <c r="AX15" s="32">
        <v>42771</v>
      </c>
      <c r="AZ15" s="44">
        <v>3.6067538126361653</v>
      </c>
      <c r="BA15" s="44">
        <v>3.464161220043573</v>
      </c>
      <c r="BB15" s="44">
        <v>0.92849462365591406</v>
      </c>
      <c r="BC15" s="44">
        <v>0.84408602150537637</v>
      </c>
      <c r="BD15" s="29" t="s">
        <v>2171</v>
      </c>
      <c r="BE15" s="29">
        <v>1.4196667671200001</v>
      </c>
      <c r="BF15" s="29" t="str">
        <f>IF(BE15&lt;0.5,"Depression",IF(BE15&lt;2,"Very gentle",IF(BE15&lt;5,"Gentle",IF(BE15&lt;9,"Moderate",IF(BE15&lt;15,"Strong",IF(BE15&lt;30,"Steep",IF(BE15&lt;1,"Very steep")))))))</f>
        <v>Very gentle</v>
      </c>
      <c r="BG15" s="29" t="s">
        <v>2173</v>
      </c>
      <c r="BH15" s="29">
        <v>-0.27191722393000001</v>
      </c>
      <c r="BI15" s="43">
        <v>10.268507957500001</v>
      </c>
      <c r="BJ15" s="43">
        <f>VLOOKUP(D15,[1]SoilData!$G$15:$K$237,5,FALSE)</f>
        <v>300.32915318476392</v>
      </c>
      <c r="BK15" s="43"/>
      <c r="BL15" s="43">
        <f>VLOOKUP(D15,[1]SoilData!$G$15:$M$238,7,FALSE)</f>
        <v>1.3720000000000001</v>
      </c>
      <c r="BM15" s="43"/>
      <c r="BN15" s="60"/>
      <c r="BO15" s="44">
        <f>AVERAGE(BB15:BC15)</f>
        <v>0.88629032258064522</v>
      </c>
      <c r="BP15" s="44">
        <f>AVERAGE(AZ15:BA15)</f>
        <v>3.5354575163398692</v>
      </c>
      <c r="BQ15" s="43">
        <f>BP15-BO15</f>
        <v>2.649167193759224</v>
      </c>
      <c r="BR15" s="64">
        <f>IF(W15&gt;0.000001,W15*352,0)</f>
        <v>63.360000000000007</v>
      </c>
      <c r="BS15" s="64">
        <f>IF(AE15&gt;0.0001,AE15*682,0)</f>
        <v>8.1840001219511027</v>
      </c>
      <c r="BT15" s="64">
        <f>AA15*795</f>
        <v>0</v>
      </c>
      <c r="BU15" s="64">
        <f>BR15+BS15+BT15</f>
        <v>71.544000121951115</v>
      </c>
      <c r="BV15" s="64">
        <f>IF(G15="YES",3.5*18.2,0)</f>
        <v>0</v>
      </c>
      <c r="BW15" s="64">
        <f>BU15-BV15</f>
        <v>71.544000121951115</v>
      </c>
    </row>
    <row r="16" spans="1:75" x14ac:dyDescent="0.15">
      <c r="A16" s="29" t="s">
        <v>556</v>
      </c>
      <c r="B16" s="29">
        <v>161</v>
      </c>
      <c r="C16" s="29" t="s">
        <v>114</v>
      </c>
      <c r="D16" s="29" t="s">
        <v>114</v>
      </c>
      <c r="E16" s="29" t="str">
        <f>VLOOKUP(D16,Harvest_2017_Formulae!$C$2:$D$968,2,FALSE)</f>
        <v>DURU</v>
      </c>
      <c r="F16" s="29" t="s">
        <v>645</v>
      </c>
      <c r="G16" s="61" t="s">
        <v>546</v>
      </c>
      <c r="H16" s="29" t="s">
        <v>547</v>
      </c>
      <c r="I16" s="29" t="s">
        <v>546</v>
      </c>
      <c r="J16" s="29" t="s">
        <v>546</v>
      </c>
      <c r="K16" s="29" t="s">
        <v>546</v>
      </c>
      <c r="L16" s="29" t="s">
        <v>2219</v>
      </c>
      <c r="M16" s="29" t="s">
        <v>546</v>
      </c>
      <c r="N16" s="29" t="s">
        <v>546</v>
      </c>
      <c r="O16" s="29" t="s">
        <v>547</v>
      </c>
      <c r="P16" s="29">
        <v>0.25</v>
      </c>
      <c r="Q16" s="29">
        <v>0.25</v>
      </c>
      <c r="S16" s="29" t="s">
        <v>548</v>
      </c>
      <c r="T16" s="29">
        <v>0.5</v>
      </c>
      <c r="U16" s="29">
        <v>2</v>
      </c>
      <c r="V16" s="29" t="s">
        <v>551</v>
      </c>
      <c r="W16" s="30">
        <v>0.96</v>
      </c>
      <c r="Y16" s="29">
        <v>999</v>
      </c>
      <c r="Z16" s="29" t="s">
        <v>551</v>
      </c>
      <c r="AA16" s="62"/>
      <c r="AB16" s="29">
        <v>0.5</v>
      </c>
      <c r="AC16" s="29">
        <v>2</v>
      </c>
      <c r="AD16" s="29" t="s">
        <v>552</v>
      </c>
      <c r="AE16" s="62">
        <v>0.16031999999999999</v>
      </c>
      <c r="AF16" s="29" t="s">
        <v>546</v>
      </c>
      <c r="AG16" s="29" t="s">
        <v>546</v>
      </c>
      <c r="AH16" s="29" t="s">
        <v>546</v>
      </c>
      <c r="AI16" s="29" t="s">
        <v>546</v>
      </c>
      <c r="AJ16" s="29" t="s">
        <v>546</v>
      </c>
      <c r="AK16" s="29">
        <v>0</v>
      </c>
      <c r="AL16" s="29">
        <v>2</v>
      </c>
      <c r="AM16" s="29" t="s">
        <v>722</v>
      </c>
      <c r="AN16" s="29" t="s">
        <v>723</v>
      </c>
      <c r="AO16" s="29">
        <v>-4.3182868957519531</v>
      </c>
      <c r="AP16" s="29">
        <v>35.600315093994141</v>
      </c>
      <c r="AQ16" s="29">
        <v>1546.699951171875</v>
      </c>
      <c r="AR16" s="29">
        <v>5</v>
      </c>
      <c r="AS16" s="29">
        <v>1706031849</v>
      </c>
      <c r="AT16" s="29" t="s">
        <v>724</v>
      </c>
      <c r="AU16" s="31">
        <v>42921.432476851856</v>
      </c>
      <c r="AV16" s="31">
        <v>42919.443379629629</v>
      </c>
      <c r="AW16" s="31">
        <v>42919.595081018517</v>
      </c>
      <c r="AX16" s="32">
        <v>42739</v>
      </c>
      <c r="AZ16" s="44">
        <v>5.9472000000000005</v>
      </c>
      <c r="BA16" s="44">
        <v>5.3424000000000005</v>
      </c>
      <c r="BB16" s="44">
        <v>3.7387270765911542</v>
      </c>
      <c r="BC16" s="44">
        <v>2.648543689320388</v>
      </c>
      <c r="BD16" s="29" t="s">
        <v>2179</v>
      </c>
      <c r="BE16" s="29">
        <v>3.8651583194699999</v>
      </c>
      <c r="BF16" s="29" t="str">
        <f>IF(BE16&lt;0.5,"Depression",IF(BE16&lt;2,"Very gentle",IF(BE16&lt;5,"Gentle",IF(BE16&lt;9,"Moderate",IF(BE16&lt;15,"Strong",IF(BE16&lt;30,"Steep",IF(BE16&lt;1,"Very steep")))))))</f>
        <v>Gentle</v>
      </c>
      <c r="BG16" s="29" t="s">
        <v>2173</v>
      </c>
      <c r="BH16" s="29">
        <v>-9.0633422136300004E-2</v>
      </c>
      <c r="BI16" s="43">
        <v>9.7114906311000002</v>
      </c>
      <c r="BJ16" s="43">
        <f>VLOOKUP(D16,[1]SoilData!$G$15:$K$237,5,FALSE)</f>
        <v>116.37025262944309</v>
      </c>
      <c r="BK16" s="43">
        <f>VLOOKUP(D16,[1]SoilData!$G$245:$K$451,5,FALSE)</f>
        <v>19.753685968909835</v>
      </c>
      <c r="BL16" s="43">
        <f>VLOOKUP(D16,[1]SoilData!$G$15:$M$238,7,FALSE)</f>
        <v>0.627</v>
      </c>
      <c r="BM16" s="43">
        <f>VLOOKUP(D16,[1]SoilData!$G$245:$M$454,7,FALSE)</f>
        <v>0.436</v>
      </c>
      <c r="BN16" s="60">
        <f>BL16-BM16</f>
        <v>0.191</v>
      </c>
      <c r="BO16" s="44">
        <f>AVERAGE(BB16:BC16)</f>
        <v>3.1936353829557711</v>
      </c>
      <c r="BP16" s="44">
        <f>AVERAGE(AZ16:BA16)</f>
        <v>5.6448</v>
      </c>
      <c r="BQ16" s="43">
        <f>BP16-BO16</f>
        <v>2.4511646170442289</v>
      </c>
      <c r="BR16" s="64">
        <f>IF(W16&gt;0.000001,W16*352,0)</f>
        <v>337.91999999999996</v>
      </c>
      <c r="BS16" s="64">
        <f>IF(AE16&gt;0.0001,AE16*682,0)</f>
        <v>109.33824</v>
      </c>
      <c r="BT16" s="64">
        <f>AA16*795</f>
        <v>0</v>
      </c>
      <c r="BU16" s="64">
        <f>BR16+BS16+BT16</f>
        <v>447.25823999999994</v>
      </c>
      <c r="BV16" s="64">
        <f>IF(G16="YES",3.5*18.2,0)</f>
        <v>0</v>
      </c>
      <c r="BW16" s="64">
        <f>BU16-BV16</f>
        <v>447.25823999999994</v>
      </c>
    </row>
    <row r="17" spans="1:75" x14ac:dyDescent="0.15">
      <c r="A17" s="29" t="s">
        <v>556</v>
      </c>
      <c r="B17" s="29">
        <v>85</v>
      </c>
      <c r="C17" s="29" t="s">
        <v>1448</v>
      </c>
      <c r="D17" s="29" t="s">
        <v>1448</v>
      </c>
      <c r="E17" s="29" t="e">
        <f>VLOOKUP(D17,Harvest_2017_Formulae!$C$2:$D$968,2,FALSE)</f>
        <v>#N/A</v>
      </c>
      <c r="F17" s="29" t="s">
        <v>777</v>
      </c>
      <c r="G17" s="61" t="s">
        <v>546</v>
      </c>
      <c r="H17" s="29" t="s">
        <v>547</v>
      </c>
      <c r="I17" s="29" t="s">
        <v>546</v>
      </c>
      <c r="J17" s="29" t="s">
        <v>546</v>
      </c>
      <c r="K17" s="29" t="s">
        <v>546</v>
      </c>
      <c r="L17" s="29" t="s">
        <v>2219</v>
      </c>
      <c r="M17" s="29" t="s">
        <v>548</v>
      </c>
      <c r="N17" s="29" t="s">
        <v>546</v>
      </c>
      <c r="O17" s="29" t="s">
        <v>547</v>
      </c>
      <c r="P17" s="29">
        <v>0.25</v>
      </c>
      <c r="R17" s="29">
        <v>0.5</v>
      </c>
      <c r="S17" s="29" t="s">
        <v>548</v>
      </c>
      <c r="T17" s="29">
        <v>1</v>
      </c>
      <c r="U17" s="29">
        <v>0.10000000149011612</v>
      </c>
      <c r="V17" s="29" t="s">
        <v>551</v>
      </c>
      <c r="W17" s="30">
        <v>2.4000000357627869E-2</v>
      </c>
      <c r="Y17" s="29">
        <v>999</v>
      </c>
      <c r="Z17" s="29" t="s">
        <v>551</v>
      </c>
      <c r="AA17" s="62"/>
      <c r="AC17" s="29">
        <v>999</v>
      </c>
      <c r="AD17" s="29" t="s">
        <v>551</v>
      </c>
      <c r="AE17" s="62"/>
      <c r="AF17" s="29" t="s">
        <v>546</v>
      </c>
      <c r="AG17" s="29" t="s">
        <v>546</v>
      </c>
      <c r="AH17" s="29" t="s">
        <v>546</v>
      </c>
      <c r="AI17" s="29" t="s">
        <v>546</v>
      </c>
      <c r="AJ17" s="29" t="s">
        <v>546</v>
      </c>
      <c r="AK17" s="29">
        <v>0</v>
      </c>
      <c r="AL17" s="29">
        <v>2</v>
      </c>
      <c r="AM17" s="29" t="s">
        <v>1451</v>
      </c>
      <c r="AN17" s="29" t="s">
        <v>1452</v>
      </c>
      <c r="AO17" s="29">
        <v>-4.3088545799255371</v>
      </c>
      <c r="AP17" s="29">
        <v>35.864463806152344</v>
      </c>
      <c r="AQ17" s="29">
        <v>1242.199951171875</v>
      </c>
      <c r="AR17" s="29">
        <v>5</v>
      </c>
      <c r="AS17" s="29">
        <v>1705231439</v>
      </c>
      <c r="AT17" s="29" t="s">
        <v>1453</v>
      </c>
      <c r="AU17" s="31">
        <v>42927.345243055555</v>
      </c>
      <c r="AV17" s="31">
        <v>42888.62327546296</v>
      </c>
      <c r="AW17" s="31">
        <v>42927.344687500001</v>
      </c>
      <c r="AX17" s="32">
        <v>42792</v>
      </c>
      <c r="BD17" s="29" t="s">
        <v>2171</v>
      </c>
      <c r="BE17" s="29">
        <v>0.43690150976199998</v>
      </c>
      <c r="BF17" s="29" t="str">
        <f>IF(BE17&lt;0.5,"Depression",IF(BE17&lt;2,"Very gentle",IF(BE17&lt;5,"Gentle",IF(BE17&lt;9,"Moderate",IF(BE17&lt;15,"Strong",IF(BE17&lt;30,"Steep",IF(BE17&lt;1,"Very steep")))))))</f>
        <v>Depression</v>
      </c>
      <c r="BG17" s="29" t="s">
        <v>2173</v>
      </c>
      <c r="BH17" s="29">
        <v>0.45321798324599999</v>
      </c>
      <c r="BI17" s="43">
        <v>9.0019025802599995</v>
      </c>
      <c r="BJ17" s="43"/>
      <c r="BK17" s="43"/>
      <c r="BL17" s="43"/>
      <c r="BM17" s="43"/>
      <c r="BN17" s="60"/>
      <c r="BO17" s="43"/>
      <c r="BP17" s="43"/>
      <c r="BQ17" s="43"/>
      <c r="BR17" s="64">
        <f>IF(W17&gt;0.000001,W17*352,0)</f>
        <v>8.4480001258850095</v>
      </c>
      <c r="BS17" s="64">
        <f>IF(AE17&gt;0.0001,AE17*682,0)</f>
        <v>0</v>
      </c>
      <c r="BT17" s="64">
        <f>AA17*795</f>
        <v>0</v>
      </c>
      <c r="BU17" s="64">
        <f>BR17+BS17+BT17</f>
        <v>8.4480001258850095</v>
      </c>
      <c r="BV17" s="64">
        <f>IF(G17="YES",3.5*18.2,0)</f>
        <v>0</v>
      </c>
      <c r="BW17" s="64">
        <f>BU17-BV17</f>
        <v>8.4480001258850095</v>
      </c>
    </row>
    <row r="18" spans="1:75" x14ac:dyDescent="0.15">
      <c r="A18" s="29" t="s">
        <v>556</v>
      </c>
      <c r="B18" s="29">
        <v>14</v>
      </c>
      <c r="C18" s="29" t="s">
        <v>934</v>
      </c>
      <c r="D18" s="29" t="s">
        <v>354</v>
      </c>
      <c r="E18" s="29" t="str">
        <f>VLOOKUP(D18,Harvest_2017_Formulae!$C$2:$D$968,2,FALSE)</f>
        <v>ENDANOGA</v>
      </c>
      <c r="F18" s="29" t="s">
        <v>843</v>
      </c>
      <c r="G18" s="61" t="s">
        <v>546</v>
      </c>
      <c r="H18" s="29" t="s">
        <v>547</v>
      </c>
      <c r="I18" s="29" t="s">
        <v>546</v>
      </c>
      <c r="J18" s="29" t="s">
        <v>546</v>
      </c>
      <c r="K18" s="29" t="s">
        <v>546</v>
      </c>
      <c r="L18" s="29" t="s">
        <v>2219</v>
      </c>
      <c r="M18" s="29" t="s">
        <v>548</v>
      </c>
      <c r="N18" s="29" t="s">
        <v>546</v>
      </c>
      <c r="O18" s="29" t="s">
        <v>547</v>
      </c>
      <c r="P18" s="29">
        <v>0.25</v>
      </c>
      <c r="Q18" s="29">
        <v>1</v>
      </c>
      <c r="R18" s="29">
        <v>0</v>
      </c>
      <c r="S18" s="29" t="s">
        <v>546</v>
      </c>
      <c r="U18" s="29">
        <v>999</v>
      </c>
      <c r="V18" s="29" t="s">
        <v>551</v>
      </c>
      <c r="Y18" s="29">
        <v>999</v>
      </c>
      <c r="Z18" s="29" t="s">
        <v>551</v>
      </c>
      <c r="AA18" s="62"/>
      <c r="AC18" s="29">
        <v>999</v>
      </c>
      <c r="AD18" s="29" t="s">
        <v>551</v>
      </c>
      <c r="AE18" s="62"/>
      <c r="AF18" s="29" t="s">
        <v>546</v>
      </c>
      <c r="AG18" s="29" t="s">
        <v>546</v>
      </c>
      <c r="AH18" s="29" t="s">
        <v>546</v>
      </c>
      <c r="AI18" s="29" t="s">
        <v>546</v>
      </c>
      <c r="AJ18" s="29" t="s">
        <v>546</v>
      </c>
      <c r="AK18" s="29">
        <v>0</v>
      </c>
      <c r="AL18" s="29">
        <v>2</v>
      </c>
      <c r="AM18" s="29" t="s">
        <v>935</v>
      </c>
      <c r="AN18" s="29" t="s">
        <v>936</v>
      </c>
      <c r="AO18" s="29">
        <v>-4.2597346305847168</v>
      </c>
      <c r="AP18" s="29">
        <v>35.859542846679688</v>
      </c>
      <c r="AQ18" s="29">
        <v>1313.0999755859375</v>
      </c>
      <c r="AR18" s="29">
        <v>5</v>
      </c>
      <c r="AS18" s="29">
        <v>1705231439</v>
      </c>
      <c r="AT18" s="29" t="s">
        <v>937</v>
      </c>
      <c r="AU18" s="31">
        <v>42903.412881944445</v>
      </c>
      <c r="AV18" s="31">
        <v>42893.563078703708</v>
      </c>
      <c r="AW18" s="31">
        <v>42893.639930555553</v>
      </c>
      <c r="AX18" s="32">
        <v>42771</v>
      </c>
      <c r="AZ18" s="44">
        <v>6.7460846560846557</v>
      </c>
      <c r="BA18" s="44">
        <v>7.2140211640211636</v>
      </c>
      <c r="BB18" s="44">
        <v>5.3797777777777771</v>
      </c>
      <c r="BC18" s="44"/>
      <c r="BD18" s="29" t="s">
        <v>2171</v>
      </c>
      <c r="BE18" s="29">
        <v>3.0261540412899999</v>
      </c>
      <c r="BF18" s="29" t="str">
        <f>IF(BE18&lt;0.5,"Depression",IF(BE18&lt;2,"Very gentle",IF(BE18&lt;5,"Gentle",IF(BE18&lt;9,"Moderate",IF(BE18&lt;15,"Strong",IF(BE18&lt;30,"Steep",IF(BE18&lt;1,"Very steep")))))))</f>
        <v>Gentle</v>
      </c>
      <c r="BG18" s="29" t="s">
        <v>2173</v>
      </c>
      <c r="BH18" s="29">
        <v>-0.18127532303300001</v>
      </c>
      <c r="BI18" s="43">
        <v>8.8983516693099993</v>
      </c>
      <c r="BJ18" s="43">
        <f>VLOOKUP(D18,[1]SoilData!$G$15:$K$237,5,FALSE)</f>
        <v>1072.1720179918159</v>
      </c>
      <c r="BK18" s="43">
        <f>VLOOKUP(D18,[1]SoilData!$G$245:$K$451,5,FALSE)</f>
        <v>229.227312387974</v>
      </c>
      <c r="BL18" s="43">
        <f>VLOOKUP(D18,[1]SoilData!$G$15:$M$238,7,FALSE)</f>
        <v>1.506</v>
      </c>
      <c r="BM18" s="43">
        <f>VLOOKUP(D18,[1]SoilData!$G$245:$M$454,7,FALSE)</f>
        <v>1.4650000000000001</v>
      </c>
      <c r="BN18" s="60">
        <f>BL18-BM18</f>
        <v>4.0999999999999925E-2</v>
      </c>
      <c r="BO18" s="44">
        <f>AVERAGE(BB18:BC18)</f>
        <v>5.3797777777777771</v>
      </c>
      <c r="BP18" s="44">
        <f>AVERAGE(AZ18:BA18)</f>
        <v>6.9800529100529101</v>
      </c>
      <c r="BQ18" s="43">
        <f>BP18-BO18</f>
        <v>1.600275132275133</v>
      </c>
      <c r="BR18" s="64">
        <f>IF(W18&gt;0.000001,W18*352,0)</f>
        <v>0</v>
      </c>
      <c r="BS18" s="64">
        <f>IF(AE18&gt;0.0001,AE18*682,0)</f>
        <v>0</v>
      </c>
      <c r="BT18" s="64">
        <f>AA18*795</f>
        <v>0</v>
      </c>
      <c r="BU18" s="64">
        <f>BR18+BS18+BT18</f>
        <v>0</v>
      </c>
      <c r="BV18" s="64">
        <f>IF(G18="YES",3.5*18.2,0)</f>
        <v>0</v>
      </c>
      <c r="BW18" s="64">
        <f>BU18-BV18</f>
        <v>0</v>
      </c>
    </row>
    <row r="19" spans="1:75" x14ac:dyDescent="0.15">
      <c r="A19" s="29" t="s">
        <v>556</v>
      </c>
      <c r="B19" s="29">
        <v>95</v>
      </c>
      <c r="C19" s="29" t="s">
        <v>1477</v>
      </c>
      <c r="D19" s="41" t="s">
        <v>1477</v>
      </c>
      <c r="E19" s="29" t="e">
        <f>VLOOKUP(D19,Harvest_2017_Formulae!$C$2:$D$968,2,FALSE)</f>
        <v>#N/A</v>
      </c>
      <c r="F19" s="29" t="s">
        <v>777</v>
      </c>
      <c r="G19" s="61" t="s">
        <v>546</v>
      </c>
      <c r="H19" s="29" t="s">
        <v>547</v>
      </c>
      <c r="I19" s="29" t="s">
        <v>546</v>
      </c>
      <c r="J19" s="29" t="s">
        <v>546</v>
      </c>
      <c r="K19" s="29" t="s">
        <v>546</v>
      </c>
      <c r="L19" s="29" t="s">
        <v>2220</v>
      </c>
      <c r="M19" s="29" t="s">
        <v>546</v>
      </c>
      <c r="N19" s="29" t="s">
        <v>546</v>
      </c>
      <c r="O19" s="29" t="s">
        <v>547</v>
      </c>
      <c r="P19" s="29">
        <v>0.25</v>
      </c>
      <c r="R19" s="29">
        <v>1.75</v>
      </c>
      <c r="S19" s="29" t="s">
        <v>546</v>
      </c>
      <c r="T19" s="29">
        <v>1</v>
      </c>
      <c r="U19" s="29">
        <v>12</v>
      </c>
      <c r="V19" s="29" t="s">
        <v>551</v>
      </c>
      <c r="W19" s="30">
        <v>2.8800000000000003</v>
      </c>
      <c r="Y19" s="29">
        <v>999</v>
      </c>
      <c r="Z19" s="29" t="s">
        <v>551</v>
      </c>
      <c r="AA19" s="62"/>
      <c r="AB19" s="29">
        <v>1</v>
      </c>
      <c r="AC19" s="29">
        <v>4</v>
      </c>
      <c r="AD19" s="29" t="s">
        <v>551</v>
      </c>
      <c r="AE19" s="62">
        <v>0.96</v>
      </c>
      <c r="AF19" s="29" t="s">
        <v>546</v>
      </c>
      <c r="AG19" s="29" t="s">
        <v>546</v>
      </c>
      <c r="AH19" s="29" t="s">
        <v>546</v>
      </c>
      <c r="AI19" s="29" t="s">
        <v>546</v>
      </c>
      <c r="AJ19" s="29" t="s">
        <v>546</v>
      </c>
      <c r="AK19" s="29">
        <v>0</v>
      </c>
      <c r="AL19" s="29">
        <v>3</v>
      </c>
      <c r="AM19" s="29" t="s">
        <v>1478</v>
      </c>
      <c r="AN19" s="29" t="s">
        <v>1479</v>
      </c>
      <c r="AO19" s="29">
        <v>-4.3069453239440918</v>
      </c>
      <c r="AP19" s="29">
        <v>35.863353729248047</v>
      </c>
      <c r="AQ19" s="29">
        <v>1245.9000244140625</v>
      </c>
      <c r="AR19" s="29">
        <v>5</v>
      </c>
      <c r="AS19" s="29">
        <v>1705231439</v>
      </c>
      <c r="AT19" s="29" t="s">
        <v>1480</v>
      </c>
      <c r="AU19" s="31">
        <v>42927.346990740742</v>
      </c>
      <c r="AV19" s="31">
        <v>42888.689953703702</v>
      </c>
      <c r="AW19" s="31">
        <v>42927.346377314811</v>
      </c>
      <c r="AX19" s="32">
        <v>42782</v>
      </c>
      <c r="BD19" s="29" t="s">
        <v>2171</v>
      </c>
      <c r="BE19" s="29">
        <v>1.8074369430499999</v>
      </c>
      <c r="BF19" s="29" t="str">
        <f>IF(BE19&lt;0.5,"Depression",IF(BE19&lt;2,"Very gentle",IF(BE19&lt;5,"Gentle",IF(BE19&lt;9,"Moderate",IF(BE19&lt;15,"Strong",IF(BE19&lt;30,"Steep",IF(BE19&lt;1,"Very steep")))))))</f>
        <v>Very gentle</v>
      </c>
      <c r="BG19" s="29" t="s">
        <v>2173</v>
      </c>
      <c r="BH19" s="29">
        <v>-0.362559139729</v>
      </c>
      <c r="BI19" s="43">
        <v>9.6462850570699992</v>
      </c>
      <c r="BJ19" s="43"/>
      <c r="BK19" s="43"/>
      <c r="BL19" s="43"/>
      <c r="BM19" s="43"/>
      <c r="BN19" s="60"/>
      <c r="BO19" s="43"/>
      <c r="BP19" s="43"/>
      <c r="BQ19" s="43"/>
      <c r="BR19" s="64">
        <f>IF(W19&gt;0.000001,W19*352,0)</f>
        <v>1013.7600000000001</v>
      </c>
      <c r="BS19" s="64">
        <f>IF(AE19&gt;0.0001,AE19*682,0)</f>
        <v>654.72</v>
      </c>
      <c r="BT19" s="64">
        <f>AA19*795</f>
        <v>0</v>
      </c>
      <c r="BU19" s="64">
        <f>BR19+BS19+BT19</f>
        <v>1668.48</v>
      </c>
      <c r="BV19" s="64">
        <f>IF(G19="YES",3.5*18.2,0)</f>
        <v>0</v>
      </c>
      <c r="BW19" s="64">
        <f>BU19-BV19</f>
        <v>1668.48</v>
      </c>
    </row>
    <row r="20" spans="1:75" x14ac:dyDescent="0.15">
      <c r="A20" s="29" t="s">
        <v>556</v>
      </c>
      <c r="B20" s="29">
        <v>227</v>
      </c>
      <c r="C20" s="29" t="s">
        <v>123</v>
      </c>
      <c r="D20" s="29" t="s">
        <v>123</v>
      </c>
      <c r="E20" s="29" t="str">
        <f>VLOOKUP(D20,Harvest_2017_Formulae!$C$2:$D$968,2,FALSE)</f>
        <v>ENDAGWE</v>
      </c>
      <c r="F20" s="29" t="s">
        <v>732</v>
      </c>
      <c r="G20" s="61" t="s">
        <v>548</v>
      </c>
      <c r="H20" s="29" t="s">
        <v>568</v>
      </c>
      <c r="I20" s="29" t="s">
        <v>546</v>
      </c>
      <c r="J20" s="29" t="s">
        <v>546</v>
      </c>
      <c r="K20" s="29" t="s">
        <v>546</v>
      </c>
      <c r="L20" s="29" t="s">
        <v>2221</v>
      </c>
      <c r="M20" s="29" t="s">
        <v>546</v>
      </c>
      <c r="N20" s="29" t="s">
        <v>548</v>
      </c>
      <c r="O20" s="29" t="s">
        <v>550</v>
      </c>
      <c r="P20" s="29">
        <v>0.25</v>
      </c>
      <c r="Q20" s="29">
        <v>1.25</v>
      </c>
      <c r="S20" s="29" t="s">
        <v>548</v>
      </c>
      <c r="T20" s="29">
        <v>1.5</v>
      </c>
      <c r="U20" s="29">
        <v>18</v>
      </c>
      <c r="V20" s="29" t="s">
        <v>551</v>
      </c>
      <c r="W20" s="30">
        <v>2.88</v>
      </c>
      <c r="X20" s="29">
        <v>3</v>
      </c>
      <c r="Y20" s="29">
        <v>999</v>
      </c>
      <c r="Z20" s="29" t="s">
        <v>551</v>
      </c>
      <c r="AA20" s="62"/>
      <c r="AB20" s="29">
        <v>1.5</v>
      </c>
      <c r="AC20" s="29">
        <v>3</v>
      </c>
      <c r="AD20" s="29" t="s">
        <v>551</v>
      </c>
      <c r="AE20" s="62">
        <v>0.48</v>
      </c>
      <c r="AF20" s="29" t="s">
        <v>546</v>
      </c>
      <c r="AG20" s="29" t="s">
        <v>548</v>
      </c>
      <c r="AH20" s="29" t="s">
        <v>548</v>
      </c>
      <c r="AI20" s="29" t="s">
        <v>548</v>
      </c>
      <c r="AJ20" s="29" t="s">
        <v>546</v>
      </c>
      <c r="AK20" s="29">
        <v>3</v>
      </c>
      <c r="AL20" s="29">
        <v>3</v>
      </c>
      <c r="AM20" s="29" t="s">
        <v>749</v>
      </c>
      <c r="AN20" s="29" t="s">
        <v>750</v>
      </c>
      <c r="AO20" s="29">
        <v>-4.3532028198242188</v>
      </c>
      <c r="AP20" s="29">
        <v>35.6519775390625</v>
      </c>
      <c r="AQ20" s="29">
        <v>1571.5</v>
      </c>
      <c r="AR20" s="29">
        <v>5</v>
      </c>
      <c r="AS20" s="29">
        <v>1706031849</v>
      </c>
      <c r="AT20" s="29" t="s">
        <v>751</v>
      </c>
      <c r="AU20" s="31">
        <v>42951.01427083333</v>
      </c>
      <c r="AV20" s="31">
        <v>42934.509953703702</v>
      </c>
      <c r="AW20" s="31">
        <v>42950.981435185182</v>
      </c>
      <c r="AX20" s="32">
        <v>42798</v>
      </c>
      <c r="AZ20" s="44">
        <v>0.76228282828282834</v>
      </c>
      <c r="BA20" s="44">
        <v>1.390969696969697</v>
      </c>
      <c r="BB20" s="44">
        <v>0.61444444444444457</v>
      </c>
      <c r="BC20" s="44">
        <v>0.85555555555555574</v>
      </c>
      <c r="BD20" s="29" t="s">
        <v>2179</v>
      </c>
      <c r="BE20" s="29">
        <v>3.2550628185299999</v>
      </c>
      <c r="BF20" s="29" t="str">
        <f>IF(BE20&lt;0.5,"Depression",IF(BE20&lt;2,"Very gentle",IF(BE20&lt;5,"Gentle",IF(BE20&lt;9,"Moderate",IF(BE20&lt;15,"Strong",IF(BE20&lt;30,"Steep",IF(BE20&lt;1,"Very steep")))))))</f>
        <v>Gentle</v>
      </c>
      <c r="BG20" s="29" t="s">
        <v>2173</v>
      </c>
      <c r="BH20" s="29">
        <v>0.27193418145199999</v>
      </c>
      <c r="BI20" s="43">
        <v>9.8630743026700003</v>
      </c>
      <c r="BJ20" s="43">
        <f>VLOOKUP(D20,[1]SoilData!$G$15:$K$237,5,FALSE)</f>
        <v>300.26037463283114</v>
      </c>
      <c r="BK20" s="43">
        <f>VLOOKUP(D20,[1]SoilData!$G$245:$K$451,5,FALSE)</f>
        <v>261.95652718254939</v>
      </c>
      <c r="BL20" s="43">
        <f>VLOOKUP(D20,[1]SoilData!$G$15:$M$238,7,FALSE)</f>
        <v>1.163</v>
      </c>
      <c r="BM20" s="43">
        <f>VLOOKUP(D20,[1]SoilData!$G$245:$M$454,7,FALSE)</f>
        <v>1.349</v>
      </c>
      <c r="BN20" s="60">
        <f>BL20-BM20</f>
        <v>-0.18599999999999994</v>
      </c>
      <c r="BO20" s="44">
        <f>AVERAGE(BB20:BC20)</f>
        <v>0.7350000000000001</v>
      </c>
      <c r="BP20" s="44">
        <f>AVERAGE(AZ20:BA20)</f>
        <v>1.0766262626262626</v>
      </c>
      <c r="BQ20" s="43">
        <f>BP20-BO20</f>
        <v>0.3416262626262625</v>
      </c>
      <c r="BR20" s="64">
        <f>IF(W20&gt;0.000001,W20*352,0)</f>
        <v>1013.76</v>
      </c>
      <c r="BS20" s="64">
        <f>IF(AE20&gt;0.0001,AE20*682,0)</f>
        <v>327.36</v>
      </c>
      <c r="BT20" s="64">
        <f>AA20*795</f>
        <v>0</v>
      </c>
      <c r="BU20" s="64">
        <f>BR20+BS20+BT20</f>
        <v>1341.12</v>
      </c>
      <c r="BV20" s="64">
        <f>IF(G20="YES",3.5*18.2,0)</f>
        <v>63.699999999999996</v>
      </c>
      <c r="BW20" s="64">
        <f>BU20-BV20</f>
        <v>1277.4199999999998</v>
      </c>
    </row>
    <row r="21" spans="1:75" x14ac:dyDescent="0.15">
      <c r="A21" s="29" t="s">
        <v>556</v>
      </c>
      <c r="B21" s="29">
        <v>173</v>
      </c>
      <c r="C21" s="29" t="s">
        <v>2206</v>
      </c>
      <c r="D21" s="29" t="s">
        <v>417</v>
      </c>
      <c r="E21" s="29" t="str">
        <f>VLOOKUP(D21,Harvest_2017_Formulae!$C$2:$D$968,2,FALSE)</f>
        <v>DURU</v>
      </c>
      <c r="F21" s="29" t="s">
        <v>645</v>
      </c>
      <c r="G21" s="61" t="s">
        <v>546</v>
      </c>
      <c r="H21" s="29" t="s">
        <v>547</v>
      </c>
      <c r="I21" s="29" t="s">
        <v>546</v>
      </c>
      <c r="J21" s="29" t="s">
        <v>546</v>
      </c>
      <c r="K21" s="29" t="s">
        <v>546</v>
      </c>
      <c r="L21" s="29" t="s">
        <v>2221</v>
      </c>
      <c r="M21" s="29" t="s">
        <v>546</v>
      </c>
      <c r="N21" s="29" t="s">
        <v>546</v>
      </c>
      <c r="O21" s="29" t="s">
        <v>547</v>
      </c>
      <c r="P21" s="29">
        <v>0.25</v>
      </c>
      <c r="Q21" s="29">
        <v>4.75</v>
      </c>
      <c r="S21" s="29" t="s">
        <v>548</v>
      </c>
      <c r="T21" s="29">
        <v>5</v>
      </c>
      <c r="U21" s="29">
        <v>55</v>
      </c>
      <c r="V21" s="29" t="s">
        <v>551</v>
      </c>
      <c r="W21" s="30">
        <v>2.6399999999999997</v>
      </c>
      <c r="Y21" s="29">
        <v>999</v>
      </c>
      <c r="Z21" s="29" t="s">
        <v>551</v>
      </c>
      <c r="AA21" s="62"/>
      <c r="AB21" s="29">
        <v>5</v>
      </c>
      <c r="AC21" s="29">
        <v>3</v>
      </c>
      <c r="AD21" s="29" t="s">
        <v>551</v>
      </c>
      <c r="AE21" s="62">
        <v>0.14399999999999999</v>
      </c>
      <c r="AF21" s="29" t="s">
        <v>546</v>
      </c>
      <c r="AG21" s="29" t="s">
        <v>546</v>
      </c>
      <c r="AH21" s="29" t="s">
        <v>546</v>
      </c>
      <c r="AI21" s="29" t="s">
        <v>546</v>
      </c>
      <c r="AJ21" s="29" t="s">
        <v>546</v>
      </c>
      <c r="AK21" s="29">
        <v>0</v>
      </c>
      <c r="AL21" s="29">
        <v>2</v>
      </c>
      <c r="AM21" s="29" t="s">
        <v>677</v>
      </c>
      <c r="AN21" s="29" t="s">
        <v>678</v>
      </c>
      <c r="AO21" s="29">
        <v>-4.3187379837036133</v>
      </c>
      <c r="AP21" s="29">
        <v>35.596546173095703</v>
      </c>
      <c r="AQ21" s="29">
        <v>1526.4000244140625</v>
      </c>
      <c r="AR21" s="29">
        <v>5</v>
      </c>
      <c r="AS21" s="29">
        <v>1706031849</v>
      </c>
      <c r="AT21" s="29" t="s">
        <v>679</v>
      </c>
      <c r="AU21" s="31">
        <v>42921.43273148148</v>
      </c>
      <c r="AV21" s="31">
        <v>42920.530011574076</v>
      </c>
      <c r="AW21" s="31">
        <v>42920.542465277773</v>
      </c>
      <c r="AX21" s="32">
        <v>42791</v>
      </c>
      <c r="AZ21" s="44">
        <v>2.662517289073306</v>
      </c>
      <c r="BA21" s="44">
        <v>2.5293914246196407</v>
      </c>
      <c r="BB21" s="44">
        <v>3.4359151682803142</v>
      </c>
      <c r="BC21" s="44">
        <v>3.0618948824343022</v>
      </c>
      <c r="BD21" s="29" t="s">
        <v>2179</v>
      </c>
      <c r="BE21" s="29">
        <v>1.52882194519</v>
      </c>
      <c r="BF21" s="29" t="str">
        <f>IF(BE21&lt;0.5,"Depression",IF(BE21&lt;2,"Very gentle",IF(BE21&lt;5,"Gentle",IF(BE21&lt;9,"Moderate",IF(BE21&lt;15,"Strong",IF(BE21&lt;30,"Steep",IF(BE21&lt;1,"Very steep")))))))</f>
        <v>Very gentle</v>
      </c>
      <c r="BG21" s="29" t="s">
        <v>2173</v>
      </c>
      <c r="BH21" s="29">
        <v>0.27193418145199999</v>
      </c>
      <c r="BI21" s="43">
        <v>10.7503194809</v>
      </c>
      <c r="BJ21" s="43"/>
      <c r="BK21" s="43"/>
      <c r="BL21" s="43"/>
      <c r="BM21" s="43"/>
      <c r="BN21" s="60"/>
      <c r="BO21" s="44">
        <f>AVERAGE(BB21:BC21)</f>
        <v>3.248905025357308</v>
      </c>
      <c r="BP21" s="44">
        <f>AVERAGE(AZ21:BA21)</f>
        <v>2.5959543568464731</v>
      </c>
      <c r="BQ21" s="43">
        <f>BP21-BO21</f>
        <v>-0.65295066851083483</v>
      </c>
      <c r="BR21" s="64">
        <f>IF(W21&gt;0.000001,W21*352,0)</f>
        <v>929.27999999999986</v>
      </c>
      <c r="BS21" s="64">
        <f>IF(AE21&gt;0.0001,AE21*682,0)</f>
        <v>98.207999999999998</v>
      </c>
      <c r="BT21" s="64">
        <f>AA21*795</f>
        <v>0</v>
      </c>
      <c r="BU21" s="64">
        <f>BR21+BS21+BT21</f>
        <v>1027.4879999999998</v>
      </c>
      <c r="BV21" s="64">
        <f>IF(G21="YES",3.5*18.2,0)</f>
        <v>0</v>
      </c>
      <c r="BW21" s="64">
        <f>BU21-BV21</f>
        <v>1027.4879999999998</v>
      </c>
    </row>
    <row r="22" spans="1:75" x14ac:dyDescent="0.15">
      <c r="A22" s="29" t="s">
        <v>556</v>
      </c>
      <c r="B22" s="29">
        <v>154</v>
      </c>
      <c r="C22" s="29" t="s">
        <v>956</v>
      </c>
      <c r="D22" s="29" t="s">
        <v>180</v>
      </c>
      <c r="E22" s="29" t="str">
        <f>VLOOKUP(D22,Harvest_2017_Formulae!$C$2:$D$968,2,FALSE)</f>
        <v>HALLU</v>
      </c>
      <c r="F22" s="29" t="s">
        <v>938</v>
      </c>
      <c r="G22" s="61" t="s">
        <v>546</v>
      </c>
      <c r="H22" s="29" t="s">
        <v>547</v>
      </c>
      <c r="I22" s="29" t="s">
        <v>546</v>
      </c>
      <c r="J22" s="29" t="s">
        <v>546</v>
      </c>
      <c r="K22" s="29" t="s">
        <v>546</v>
      </c>
      <c r="L22" s="29" t="s">
        <v>2221</v>
      </c>
      <c r="M22" s="29" t="s">
        <v>546</v>
      </c>
      <c r="N22" s="29" t="s">
        <v>546</v>
      </c>
      <c r="O22" s="29" t="s">
        <v>547</v>
      </c>
      <c r="P22" s="29">
        <v>1</v>
      </c>
      <c r="Q22" s="29">
        <v>9</v>
      </c>
      <c r="S22" s="29" t="s">
        <v>548</v>
      </c>
      <c r="T22" s="29">
        <v>10</v>
      </c>
      <c r="U22" s="29">
        <v>38</v>
      </c>
      <c r="V22" s="29" t="s">
        <v>551</v>
      </c>
      <c r="W22" s="30">
        <v>0.91200000000000003</v>
      </c>
      <c r="Y22" s="29">
        <v>999</v>
      </c>
      <c r="Z22" s="29" t="s">
        <v>551</v>
      </c>
      <c r="AA22" s="62"/>
      <c r="AB22" s="29">
        <v>10</v>
      </c>
      <c r="AC22" s="29">
        <v>20</v>
      </c>
      <c r="AD22" s="29" t="s">
        <v>551</v>
      </c>
      <c r="AE22" s="62">
        <v>0.48</v>
      </c>
      <c r="AF22" s="29" t="s">
        <v>546</v>
      </c>
      <c r="AG22" s="29" t="s">
        <v>546</v>
      </c>
      <c r="AH22" s="29" t="s">
        <v>546</v>
      </c>
      <c r="AI22" s="29" t="s">
        <v>546</v>
      </c>
      <c r="AJ22" s="29" t="s">
        <v>546</v>
      </c>
      <c r="AK22" s="29">
        <v>0</v>
      </c>
      <c r="AL22" s="29">
        <v>3</v>
      </c>
      <c r="AM22" s="29" t="s">
        <v>957</v>
      </c>
      <c r="AN22" s="29" t="s">
        <v>958</v>
      </c>
      <c r="AO22" s="29">
        <v>-4.2781267166137695</v>
      </c>
      <c r="AP22" s="29">
        <v>35.889247894287109</v>
      </c>
      <c r="AQ22" s="29">
        <v>1225.5</v>
      </c>
      <c r="AR22" s="29">
        <v>5</v>
      </c>
      <c r="AS22" s="29">
        <v>1706031849</v>
      </c>
      <c r="AT22" s="29" t="s">
        <v>959</v>
      </c>
      <c r="AU22" s="31">
        <v>42921.432314814811</v>
      </c>
      <c r="AV22" s="31">
        <v>42913.437939814816</v>
      </c>
      <c r="AW22" s="31">
        <v>42920.555162037039</v>
      </c>
      <c r="AX22" s="32">
        <v>42781</v>
      </c>
      <c r="AZ22" s="44">
        <v>4.4726368159203984</v>
      </c>
      <c r="BA22" s="44">
        <v>3.5087064676616913</v>
      </c>
      <c r="BB22" s="44">
        <v>4.1967418546365911</v>
      </c>
      <c r="BC22" s="44">
        <v>4.1257309941520459</v>
      </c>
      <c r="BD22" s="29" t="s">
        <v>2171</v>
      </c>
      <c r="BE22" s="29">
        <v>0.699362456799</v>
      </c>
      <c r="BF22" s="29" t="str">
        <f>IF(BE22&lt;0.5,"Depression",IF(BE22&lt;2,"Very gentle",IF(BE22&lt;5,"Gentle",IF(BE22&lt;9,"Moderate",IF(BE22&lt;15,"Strong",IF(BE22&lt;30,"Steep",IF(BE22&lt;1,"Very steep")))))))</f>
        <v>Very gentle</v>
      </c>
      <c r="BG22" s="29" t="s">
        <v>2173</v>
      </c>
      <c r="BH22" s="29">
        <v>0.18129228055499999</v>
      </c>
      <c r="BI22" s="43">
        <v>8.7419023513800003</v>
      </c>
      <c r="BJ22" s="43">
        <f>VLOOKUP(D22,[1]SoilData!$G$15:$K$237,5,FALSE)</f>
        <v>235.59135813147066</v>
      </c>
      <c r="BK22" s="43">
        <f>VLOOKUP(D22,[1]SoilData!$G$245:$K$451,5,FALSE)</f>
        <v>101.1535875497582</v>
      </c>
      <c r="BL22" s="43">
        <f>VLOOKUP(D22,[1]SoilData!$G$15:$M$238,7,FALSE)</f>
        <v>1.466</v>
      </c>
      <c r="BM22" s="43">
        <f>VLOOKUP(D22,[1]SoilData!$G$245:$M$454,7,FALSE)</f>
        <v>1.125</v>
      </c>
      <c r="BN22" s="60">
        <f>BL22-BM22</f>
        <v>0.34099999999999997</v>
      </c>
      <c r="BO22" s="44">
        <f>AVERAGE(BB22:BC22)</f>
        <v>4.1612364243943185</v>
      </c>
      <c r="BP22" s="44">
        <f>AVERAGE(AZ22:BA22)</f>
        <v>3.9906716417910451</v>
      </c>
      <c r="BQ22" s="43">
        <f>BP22-BO22</f>
        <v>-0.17056478260327346</v>
      </c>
      <c r="BR22" s="64">
        <f>IF(W22&gt;0.000001,W22*352,0)</f>
        <v>321.024</v>
      </c>
      <c r="BS22" s="64">
        <f>IF(AE22&gt;0.0001,AE22*682,0)</f>
        <v>327.36</v>
      </c>
      <c r="BT22" s="64">
        <f>AA22*795</f>
        <v>0</v>
      </c>
      <c r="BU22" s="64">
        <f>BR22+BS22+BT22</f>
        <v>648.38400000000001</v>
      </c>
      <c r="BV22" s="64">
        <f>IF(G22="YES",3.5*18.2,0)</f>
        <v>0</v>
      </c>
      <c r="BW22" s="64">
        <f>BU22-BV22</f>
        <v>648.38400000000001</v>
      </c>
    </row>
    <row r="23" spans="1:75" x14ac:dyDescent="0.15">
      <c r="A23" s="29" t="s">
        <v>556</v>
      </c>
      <c r="B23" s="29">
        <v>107</v>
      </c>
      <c r="C23" s="29" t="s">
        <v>424</v>
      </c>
      <c r="D23" s="29" t="s">
        <v>424</v>
      </c>
      <c r="E23" s="29" t="str">
        <f>VLOOKUP(D23,Harvest_2017_Formulae!$C$2:$D$968,2,FALSE)</f>
        <v>ENDANOGA</v>
      </c>
      <c r="F23" s="29" t="s">
        <v>843</v>
      </c>
      <c r="G23" s="61" t="s">
        <v>546</v>
      </c>
      <c r="H23" s="29" t="s">
        <v>547</v>
      </c>
      <c r="I23" s="29" t="s">
        <v>546</v>
      </c>
      <c r="J23" s="29" t="s">
        <v>546</v>
      </c>
      <c r="K23" s="29" t="s">
        <v>546</v>
      </c>
      <c r="L23" s="29" t="s">
        <v>2220</v>
      </c>
      <c r="M23" s="29" t="s">
        <v>546</v>
      </c>
      <c r="N23" s="29" t="s">
        <v>546</v>
      </c>
      <c r="O23" s="29" t="s">
        <v>547</v>
      </c>
      <c r="P23" s="29">
        <v>0.25</v>
      </c>
      <c r="Q23" s="29">
        <v>0.5</v>
      </c>
      <c r="R23" s="29">
        <v>0</v>
      </c>
      <c r="S23" s="29" t="s">
        <v>548</v>
      </c>
      <c r="T23" s="29">
        <v>1</v>
      </c>
      <c r="U23" s="29">
        <v>1</v>
      </c>
      <c r="V23" s="29" t="s">
        <v>551</v>
      </c>
      <c r="W23" s="30">
        <v>0.24</v>
      </c>
      <c r="Y23" s="29">
        <v>999</v>
      </c>
      <c r="Z23" s="29" t="s">
        <v>551</v>
      </c>
      <c r="AA23" s="62"/>
      <c r="AB23" s="29">
        <v>1</v>
      </c>
      <c r="AC23" s="29">
        <v>2</v>
      </c>
      <c r="AD23" s="29" t="s">
        <v>551</v>
      </c>
      <c r="AE23" s="62">
        <v>0.48</v>
      </c>
      <c r="AF23" s="29" t="s">
        <v>546</v>
      </c>
      <c r="AG23" s="29" t="s">
        <v>546</v>
      </c>
      <c r="AH23" s="29" t="s">
        <v>546</v>
      </c>
      <c r="AI23" s="29" t="s">
        <v>546</v>
      </c>
      <c r="AJ23" s="29" t="s">
        <v>546</v>
      </c>
      <c r="AK23" s="29">
        <v>0</v>
      </c>
      <c r="AL23" s="29">
        <v>3</v>
      </c>
      <c r="AM23" s="29" t="s">
        <v>881</v>
      </c>
      <c r="AN23" s="29" t="s">
        <v>882</v>
      </c>
      <c r="AO23" s="29">
        <v>-4.259559154510498</v>
      </c>
      <c r="AP23" s="29">
        <v>35.857692718505859</v>
      </c>
      <c r="AQ23" s="29">
        <v>1323</v>
      </c>
      <c r="AR23" s="29">
        <v>5</v>
      </c>
      <c r="AS23" s="29">
        <v>1706031849</v>
      </c>
      <c r="AT23" s="29" t="s">
        <v>883</v>
      </c>
      <c r="AU23" s="31">
        <v>42903.412893518514</v>
      </c>
      <c r="AV23" s="31">
        <v>42893.6403587963</v>
      </c>
      <c r="AW23" s="31">
        <v>42893.649317129632</v>
      </c>
      <c r="AX23" s="32">
        <v>42794</v>
      </c>
      <c r="AY23" s="33"/>
      <c r="AZ23" s="44">
        <v>3.3873015873015873</v>
      </c>
      <c r="BA23" s="44">
        <v>3.4796825396825399</v>
      </c>
      <c r="BB23" s="44">
        <v>3.2395833333333335</v>
      </c>
      <c r="BC23" s="44">
        <v>3.3432500000000003</v>
      </c>
      <c r="BD23" s="29" t="s">
        <v>2171</v>
      </c>
      <c r="BE23" s="29">
        <v>4.4811401367199997</v>
      </c>
      <c r="BF23" s="29" t="str">
        <f>IF(BE23&lt;0.5,"Depression",IF(BE23&lt;2,"Very gentle",IF(BE23&lt;5,"Gentle",IF(BE23&lt;9,"Moderate",IF(BE23&lt;15,"Strong",IF(BE23&lt;30,"Steep",IF(BE23&lt;1,"Very steep")))))))</f>
        <v>Gentle</v>
      </c>
      <c r="BG23" s="29" t="s">
        <v>2173</v>
      </c>
      <c r="BH23" s="29">
        <v>0.45321798324599999</v>
      </c>
      <c r="BI23" s="43">
        <v>8.7215080261200004</v>
      </c>
      <c r="BJ23" s="43">
        <f>VLOOKUP(D23,[1]SoilData!$G$15:$K$237,5,FALSE)</f>
        <v>197.36017962614568</v>
      </c>
      <c r="BK23" s="43">
        <f>VLOOKUP(D23,[1]SoilData!$G$245:$K$451,5,FALSE)</f>
        <v>204.3316718055944</v>
      </c>
      <c r="BL23" s="43">
        <f>VLOOKUP(D23,[1]SoilData!$G$15:$M$238,7,FALSE)</f>
        <v>0.98399999999999999</v>
      </c>
      <c r="BM23" s="43">
        <f>VLOOKUP(D23,[1]SoilData!$G$245:$M$454,7,FALSE)</f>
        <v>1.06</v>
      </c>
      <c r="BN23" s="60">
        <f>BL23-BM23</f>
        <v>-7.6000000000000068E-2</v>
      </c>
      <c r="BO23" s="44">
        <f>AVERAGE(BB23:BC23)</f>
        <v>3.2914166666666667</v>
      </c>
      <c r="BP23" s="44">
        <f>AVERAGE(AZ23:BA23)</f>
        <v>3.4334920634920634</v>
      </c>
      <c r="BQ23" s="43">
        <f>BP23-BO23</f>
        <v>0.14207539682539672</v>
      </c>
      <c r="BR23" s="64">
        <f>IF(W23&gt;0.000001,W23*352,0)</f>
        <v>84.47999999999999</v>
      </c>
      <c r="BS23" s="64">
        <f>IF(AE23&gt;0.0001,AE23*682,0)</f>
        <v>327.36</v>
      </c>
      <c r="BT23" s="64">
        <f>AA23*795</f>
        <v>0</v>
      </c>
      <c r="BU23" s="64">
        <f>BR23+BS23+BT23</f>
        <v>411.84000000000003</v>
      </c>
      <c r="BV23" s="64">
        <f>IF(G23="YES",3.5*18.2,0)</f>
        <v>0</v>
      </c>
      <c r="BW23" s="64">
        <f>BU23-BV23</f>
        <v>411.84000000000003</v>
      </c>
    </row>
    <row r="24" spans="1:75" x14ac:dyDescent="0.15">
      <c r="A24" s="29" t="s">
        <v>556</v>
      </c>
      <c r="B24" s="29">
        <v>113</v>
      </c>
      <c r="C24" s="29" t="s">
        <v>393</v>
      </c>
      <c r="D24" s="29" t="s">
        <v>393</v>
      </c>
      <c r="E24" s="29" t="str">
        <f>VLOOKUP(D24,Harvest_2017_Formulae!$C$2:$D$968,2,FALSE)</f>
        <v>SELOTO</v>
      </c>
      <c r="F24" s="29" t="s">
        <v>1310</v>
      </c>
      <c r="G24" s="61" t="s">
        <v>546</v>
      </c>
      <c r="H24" s="29" t="s">
        <v>547</v>
      </c>
      <c r="I24" s="29" t="s">
        <v>546</v>
      </c>
      <c r="J24" s="29" t="s">
        <v>546</v>
      </c>
      <c r="K24" s="29" t="s">
        <v>546</v>
      </c>
      <c r="L24" s="29" t="s">
        <v>2220</v>
      </c>
      <c r="M24" s="29" t="s">
        <v>548</v>
      </c>
      <c r="N24" s="29" t="s">
        <v>548</v>
      </c>
      <c r="O24" s="29" t="s">
        <v>550</v>
      </c>
      <c r="P24" s="29">
        <v>0.25</v>
      </c>
      <c r="Q24" s="29">
        <v>0.75</v>
      </c>
      <c r="R24" s="29">
        <v>0</v>
      </c>
      <c r="S24" s="29" t="s">
        <v>546</v>
      </c>
      <c r="T24" s="29">
        <v>2</v>
      </c>
      <c r="U24" s="29">
        <v>26</v>
      </c>
      <c r="V24" s="29" t="s">
        <v>551</v>
      </c>
      <c r="W24" s="30">
        <v>3.12</v>
      </c>
      <c r="Y24" s="29">
        <v>999</v>
      </c>
      <c r="Z24" s="29" t="s">
        <v>551</v>
      </c>
      <c r="AA24" s="62"/>
      <c r="AB24" s="29">
        <v>2</v>
      </c>
      <c r="AC24" s="29">
        <v>7</v>
      </c>
      <c r="AD24" s="29" t="s">
        <v>551</v>
      </c>
      <c r="AE24" s="62">
        <v>0.84</v>
      </c>
      <c r="AF24" s="29" t="s">
        <v>546</v>
      </c>
      <c r="AG24" s="29" t="s">
        <v>546</v>
      </c>
      <c r="AH24" s="29" t="s">
        <v>546</v>
      </c>
      <c r="AI24" s="29" t="s">
        <v>546</v>
      </c>
      <c r="AJ24" s="29" t="s">
        <v>546</v>
      </c>
      <c r="AK24" s="29">
        <v>0</v>
      </c>
      <c r="AL24" s="29">
        <v>2</v>
      </c>
      <c r="AM24" s="29" t="s">
        <v>1314</v>
      </c>
      <c r="AN24" s="29" t="s">
        <v>1315</v>
      </c>
      <c r="AO24" s="29">
        <v>-4.2526059150695801</v>
      </c>
      <c r="AP24" s="29">
        <v>35.525722503662109</v>
      </c>
      <c r="AQ24" s="29">
        <v>1619.699951171875</v>
      </c>
      <c r="AR24" s="29">
        <v>5</v>
      </c>
      <c r="AS24" s="29">
        <v>1706031849</v>
      </c>
      <c r="AT24" s="29" t="s">
        <v>1316</v>
      </c>
      <c r="AU24" s="31">
        <v>42906.498842592591</v>
      </c>
      <c r="AV24" s="31">
        <v>42903.41333333333</v>
      </c>
      <c r="AW24" s="31">
        <v>42903.445104166662</v>
      </c>
      <c r="AX24" s="32">
        <v>42738</v>
      </c>
      <c r="AZ24" s="44">
        <v>4.9794509803921585</v>
      </c>
      <c r="BA24" s="44">
        <v>4.6782745098039227</v>
      </c>
      <c r="BB24" s="44">
        <v>2.2949484536082476</v>
      </c>
      <c r="BC24" s="44">
        <v>2.0969072164948459</v>
      </c>
      <c r="BD24" s="29" t="s">
        <v>2171</v>
      </c>
      <c r="BE24" s="29">
        <v>1.5210055112800001</v>
      </c>
      <c r="BF24" s="29" t="str">
        <f>IF(BE24&lt;0.5,"Depression",IF(BE24&lt;2,"Very gentle",IF(BE24&lt;5,"Gentle",IF(BE24&lt;9,"Moderate",IF(BE24&lt;15,"Strong",IF(BE24&lt;30,"Steep",IF(BE24&lt;1,"Very steep")))))))</f>
        <v>Very gentle</v>
      </c>
      <c r="BG24" s="29" t="s">
        <v>2172</v>
      </c>
      <c r="BH24" s="29">
        <v>-0.725126743317</v>
      </c>
      <c r="BI24" s="43">
        <v>10.2386350632</v>
      </c>
      <c r="BJ24" s="43">
        <f>VLOOKUP(D24,[1]SoilData!$G$15:$K$237,5,FALSE)</f>
        <v>86.65551071932623</v>
      </c>
      <c r="BK24" s="43">
        <f>VLOOKUP(D24,[1]SoilData!$G$245:$K$451,5,FALSE)</f>
        <v>-30.700909883906252</v>
      </c>
      <c r="BL24" s="43">
        <f>VLOOKUP(D24,[1]SoilData!$G$15:$M$238,7,FALSE)</f>
        <v>1.208</v>
      </c>
      <c r="BM24" s="43">
        <f>VLOOKUP(D24,[1]SoilData!$G$245:$M$454,7,FALSE)</f>
        <v>1.4179999999999999</v>
      </c>
      <c r="BN24" s="60">
        <f>BL24-BM24</f>
        <v>-0.20999999999999996</v>
      </c>
      <c r="BO24" s="44">
        <f>AVERAGE(BB24:BC24)</f>
        <v>2.1959278350515468</v>
      </c>
      <c r="BP24" s="44">
        <f>AVERAGE(AZ24:BA24)</f>
        <v>4.828862745098041</v>
      </c>
      <c r="BQ24" s="43">
        <f>BP24-BO24</f>
        <v>2.6329349100464943</v>
      </c>
      <c r="BR24" s="64">
        <f>IF(W24&gt;0.000001,W24*352,0)</f>
        <v>1098.24</v>
      </c>
      <c r="BS24" s="64">
        <f>IF(AE24&gt;0.0001,AE24*682,0)</f>
        <v>572.88</v>
      </c>
      <c r="BT24" s="64">
        <f>AA24*795</f>
        <v>0</v>
      </c>
      <c r="BU24" s="64">
        <f>BR24+BS24+BT24</f>
        <v>1671.12</v>
      </c>
      <c r="BV24" s="64">
        <f>IF(G24="YES",3.5*18.2,0)</f>
        <v>0</v>
      </c>
      <c r="BW24" s="64">
        <f>BU24-BV24</f>
        <v>1671.12</v>
      </c>
    </row>
    <row r="25" spans="1:75" x14ac:dyDescent="0.15">
      <c r="A25" s="29" t="s">
        <v>556</v>
      </c>
      <c r="B25" s="29">
        <v>168</v>
      </c>
      <c r="C25" s="29" t="s">
        <v>116</v>
      </c>
      <c r="D25" s="29" t="s">
        <v>116</v>
      </c>
      <c r="E25" s="29" t="str">
        <f>VLOOKUP(D25,Harvest_2017_Formulae!$C$2:$D$968,2,FALSE)</f>
        <v>DURU</v>
      </c>
      <c r="F25" s="29" t="s">
        <v>645</v>
      </c>
      <c r="G25" s="61" t="s">
        <v>548</v>
      </c>
      <c r="H25" s="29" t="s">
        <v>568</v>
      </c>
      <c r="I25" s="29" t="s">
        <v>546</v>
      </c>
      <c r="J25" s="29" t="s">
        <v>546</v>
      </c>
      <c r="K25" s="29" t="s">
        <v>546</v>
      </c>
      <c r="L25" s="29" t="s">
        <v>2220</v>
      </c>
      <c r="M25" s="29" t="s">
        <v>546</v>
      </c>
      <c r="N25" s="29" t="s">
        <v>546</v>
      </c>
      <c r="O25" s="29" t="s">
        <v>547</v>
      </c>
      <c r="P25" s="29">
        <v>0.25</v>
      </c>
      <c r="S25" s="29" t="s">
        <v>548</v>
      </c>
      <c r="T25" s="29">
        <v>0.25</v>
      </c>
      <c r="U25" s="29">
        <v>2.2999999523162842</v>
      </c>
      <c r="V25" s="29" t="s">
        <v>551</v>
      </c>
      <c r="W25" s="30">
        <v>2.2079999542236326</v>
      </c>
      <c r="Y25" s="29">
        <v>999</v>
      </c>
      <c r="Z25" s="29" t="s">
        <v>551</v>
      </c>
      <c r="AA25" s="62"/>
      <c r="AB25" s="29">
        <v>0.25</v>
      </c>
      <c r="AC25" s="29">
        <v>3</v>
      </c>
      <c r="AD25" s="29" t="s">
        <v>552</v>
      </c>
      <c r="AE25" s="62">
        <v>0.48095999999999989</v>
      </c>
      <c r="AF25" s="29" t="s">
        <v>546</v>
      </c>
      <c r="AG25" s="29" t="s">
        <v>546</v>
      </c>
      <c r="AH25" s="29" t="s">
        <v>548</v>
      </c>
      <c r="AI25" s="29" t="s">
        <v>546</v>
      </c>
      <c r="AJ25" s="29" t="s">
        <v>546</v>
      </c>
      <c r="AK25" s="29">
        <v>1</v>
      </c>
      <c r="AL25" s="29">
        <v>2</v>
      </c>
      <c r="AM25" s="29" t="s">
        <v>728</v>
      </c>
      <c r="AN25" s="29" t="s">
        <v>729</v>
      </c>
      <c r="AO25" s="29">
        <v>-4.3188738822937012</v>
      </c>
      <c r="AP25" s="29">
        <v>35.602344512939453</v>
      </c>
      <c r="AQ25" s="29">
        <v>1566.699951171875</v>
      </c>
      <c r="AR25" s="29">
        <v>5</v>
      </c>
      <c r="AS25" s="29">
        <v>1706031849</v>
      </c>
      <c r="AT25" s="29" t="s">
        <v>730</v>
      </c>
      <c r="AU25" s="31">
        <v>42921.432627314818</v>
      </c>
      <c r="AV25" s="31">
        <v>42919.603506944448</v>
      </c>
      <c r="AW25" s="31">
        <v>42919.61319444445</v>
      </c>
      <c r="AX25" s="32">
        <v>42768</v>
      </c>
      <c r="AZ25" s="44">
        <v>7.0366528354080229</v>
      </c>
      <c r="BA25" s="44">
        <v>6.7830797602581843</v>
      </c>
      <c r="BB25" s="44">
        <v>2.9794836330106049</v>
      </c>
      <c r="BC25" s="44">
        <v>5.0080682342093139</v>
      </c>
      <c r="BD25" s="29" t="s">
        <v>2179</v>
      </c>
      <c r="BE25" s="29">
        <v>6.5252904891999997</v>
      </c>
      <c r="BF25" s="29" t="str">
        <f>IF(BE25&lt;0.5,"Depression",IF(BE25&lt;2,"Very gentle",IF(BE25&lt;5,"Gentle",IF(BE25&lt;9,"Moderate",IF(BE25&lt;15,"Strong",IF(BE25&lt;30,"Steep",IF(BE25&lt;1,"Very steep")))))))</f>
        <v>Moderate</v>
      </c>
      <c r="BG25" s="29" t="s">
        <v>2172</v>
      </c>
      <c r="BH25" s="29">
        <v>-0.54384291171999999</v>
      </c>
      <c r="BI25" s="43">
        <v>8.6506910324100001</v>
      </c>
      <c r="BJ25" s="43"/>
      <c r="BK25" s="43">
        <f>VLOOKUP(D25,[1]SoilData!$G$245:$K$451,5,FALSE)</f>
        <v>491.55954684254544</v>
      </c>
      <c r="BL25" s="43"/>
      <c r="BM25" s="43">
        <f>VLOOKUP(D25,[1]SoilData!$G$245:$M$454,7,FALSE)</f>
        <v>1.5740000000000001</v>
      </c>
      <c r="BN25" s="60"/>
      <c r="BO25" s="44">
        <f>AVERAGE(BB25:BC25)</f>
        <v>3.9937759336099594</v>
      </c>
      <c r="BP25" s="44">
        <f>AVERAGE(AZ25:BA25)</f>
        <v>6.9098662978331031</v>
      </c>
      <c r="BQ25" s="43">
        <f>BP25-BO25</f>
        <v>2.9160903642231437</v>
      </c>
      <c r="BR25" s="64">
        <f>IF(W25&gt;0.000001,W25*352,0)</f>
        <v>777.21598388671873</v>
      </c>
      <c r="BS25" s="64">
        <f>IF(AE25&gt;0.0001,AE25*682,0)</f>
        <v>328.0147199999999</v>
      </c>
      <c r="BT25" s="64">
        <f>AA25*795</f>
        <v>0</v>
      </c>
      <c r="BU25" s="64">
        <f>BR25+BS25+BT25</f>
        <v>1105.2307038867186</v>
      </c>
      <c r="BV25" s="64">
        <f>IF(G25="YES",3.5*18.2,0)</f>
        <v>63.699999999999996</v>
      </c>
      <c r="BW25" s="64">
        <f>BU25-BV25</f>
        <v>1041.5307038867186</v>
      </c>
    </row>
    <row r="26" spans="1:75" x14ac:dyDescent="0.15">
      <c r="A26" s="29" t="s">
        <v>556</v>
      </c>
      <c r="B26" s="29">
        <v>116</v>
      </c>
      <c r="C26" s="29" t="s">
        <v>606</v>
      </c>
      <c r="D26" s="29" t="s">
        <v>80</v>
      </c>
      <c r="E26" s="29" t="str">
        <f>VLOOKUP(D26,Harvest_2017_Formulae!$C$2:$D$968,2,FALSE)</f>
        <v>AYAMANGO</v>
      </c>
      <c r="F26" s="29" t="s">
        <v>196</v>
      </c>
      <c r="G26" s="61" t="s">
        <v>546</v>
      </c>
      <c r="H26" s="29" t="s">
        <v>547</v>
      </c>
      <c r="I26" s="29" t="s">
        <v>546</v>
      </c>
      <c r="J26" s="29" t="s">
        <v>546</v>
      </c>
      <c r="K26" s="29" t="s">
        <v>546</v>
      </c>
      <c r="L26" s="29" t="s">
        <v>2219</v>
      </c>
      <c r="M26" s="29" t="s">
        <v>548</v>
      </c>
      <c r="N26" s="29" t="s">
        <v>546</v>
      </c>
      <c r="O26" s="29" t="s">
        <v>547</v>
      </c>
      <c r="P26" s="29">
        <v>0.25</v>
      </c>
      <c r="Q26" s="29">
        <v>0</v>
      </c>
      <c r="R26" s="29">
        <v>0.75</v>
      </c>
      <c r="S26" s="29" t="s">
        <v>548</v>
      </c>
      <c r="T26" s="29">
        <v>1</v>
      </c>
      <c r="U26" s="29">
        <v>4</v>
      </c>
      <c r="V26" s="29" t="s">
        <v>551</v>
      </c>
      <c r="W26" s="30">
        <v>0.96</v>
      </c>
      <c r="X26" s="29">
        <v>1</v>
      </c>
      <c r="Y26" s="29">
        <v>999</v>
      </c>
      <c r="Z26" s="29" t="s">
        <v>551</v>
      </c>
      <c r="AA26" s="62"/>
      <c r="AB26" s="29">
        <v>1</v>
      </c>
      <c r="AC26" s="29">
        <v>2.5</v>
      </c>
      <c r="AD26" s="29" t="s">
        <v>551</v>
      </c>
      <c r="AE26" s="62">
        <v>0.6</v>
      </c>
      <c r="AF26" s="29" t="s">
        <v>546</v>
      </c>
      <c r="AG26" s="29" t="s">
        <v>546</v>
      </c>
      <c r="AH26" s="29" t="s">
        <v>546</v>
      </c>
      <c r="AI26" s="29" t="s">
        <v>546</v>
      </c>
      <c r="AJ26" s="29" t="s">
        <v>546</v>
      </c>
      <c r="AK26" s="29">
        <v>0</v>
      </c>
      <c r="AL26" s="29">
        <v>3</v>
      </c>
      <c r="AM26" s="29" t="s">
        <v>608</v>
      </c>
      <c r="AN26" s="29" t="s">
        <v>609</v>
      </c>
      <c r="AO26" s="29">
        <v>-4.2380671501159668</v>
      </c>
      <c r="AP26" s="29">
        <v>35.888984680175781</v>
      </c>
      <c r="AQ26" s="29">
        <v>1197.300048828125</v>
      </c>
      <c r="AR26" s="29">
        <v>5</v>
      </c>
      <c r="AS26" s="29">
        <v>1706031849</v>
      </c>
      <c r="AT26" s="29" t="s">
        <v>610</v>
      </c>
      <c r="AU26" s="31">
        <v>42906.498969907407</v>
      </c>
      <c r="AV26" s="31">
        <v>42905.477141203708</v>
      </c>
      <c r="AW26" s="31">
        <v>42905.496886574074</v>
      </c>
      <c r="AX26" s="32">
        <v>42768</v>
      </c>
      <c r="AZ26" s="44">
        <v>10.20139303482587</v>
      </c>
      <c r="BA26" s="44">
        <v>5.4256716417910447</v>
      </c>
      <c r="BB26" s="44">
        <v>5.2756892230576442</v>
      </c>
      <c r="BC26" s="44">
        <v>6.1403508771929838</v>
      </c>
      <c r="BD26" s="29" t="s">
        <v>2171</v>
      </c>
      <c r="BE26" s="29">
        <v>1.6122988462400001</v>
      </c>
      <c r="BF26" s="29" t="str">
        <f>IF(BE26&lt;0.5,"Depression",IF(BE26&lt;2,"Very gentle",IF(BE26&lt;5,"Gentle",IF(BE26&lt;9,"Moderate",IF(BE26&lt;15,"Strong",IF(BE26&lt;30,"Steep",IF(BE26&lt;1,"Very steep")))))))</f>
        <v>Very gentle</v>
      </c>
      <c r="BG26" s="29" t="s">
        <v>2173</v>
      </c>
      <c r="BH26" s="29">
        <v>8.4776775111099995E-6</v>
      </c>
      <c r="BI26" s="43">
        <v>9.8180866241500002</v>
      </c>
      <c r="BJ26" s="43">
        <f>VLOOKUP(D26,[1]SoilData!$G$15:$K$237,5,FALSE)</f>
        <v>347.6575602827287</v>
      </c>
      <c r="BK26" s="43">
        <f>VLOOKUP(D26,[1]SoilData!$G$245:$K$451,5,FALSE)</f>
        <v>397.81625350874231</v>
      </c>
      <c r="BL26" s="43">
        <f>VLOOKUP(D26,[1]SoilData!$G$15:$M$238,7,FALSE)</f>
        <v>1.4930000000000001</v>
      </c>
      <c r="BM26" s="43">
        <f>VLOOKUP(D26,[1]SoilData!$G$245:$M$454,7,FALSE)</f>
        <v>1.5649999999999999</v>
      </c>
      <c r="BN26" s="60">
        <f>BL26-BM26</f>
        <v>-7.1999999999999842E-2</v>
      </c>
      <c r="BO26" s="44">
        <f>AVERAGE(BB26:BC26)</f>
        <v>5.708020050125314</v>
      </c>
      <c r="BP26" s="44">
        <f>AVERAGE(AZ26:BA26)</f>
        <v>7.8135323383084572</v>
      </c>
      <c r="BQ26" s="43">
        <f>BP26-BO26</f>
        <v>2.1055122881831432</v>
      </c>
      <c r="BR26" s="64">
        <f>IF(W26&gt;0.000001,W26*352,0)</f>
        <v>337.91999999999996</v>
      </c>
      <c r="BS26" s="64">
        <f>IF(AE26&gt;0.0001,AE26*682,0)</f>
        <v>409.2</v>
      </c>
      <c r="BT26" s="64">
        <f>AA26*795</f>
        <v>0</v>
      </c>
      <c r="BU26" s="64">
        <f>BR26+BS26+BT26</f>
        <v>747.11999999999989</v>
      </c>
      <c r="BV26" s="64">
        <f>IF(G26="YES",3.5*18.2,0)</f>
        <v>0</v>
      </c>
      <c r="BW26" s="64">
        <f>BU26-BV26</f>
        <v>747.11999999999989</v>
      </c>
    </row>
    <row r="27" spans="1:75" x14ac:dyDescent="0.15">
      <c r="A27" s="29" t="s">
        <v>556</v>
      </c>
      <c r="B27" s="29">
        <v>99</v>
      </c>
      <c r="C27" s="29" t="s">
        <v>1171</v>
      </c>
      <c r="D27" s="29" t="s">
        <v>238</v>
      </c>
      <c r="E27" s="29" t="str">
        <f>VLOOKUP(D27,Harvest_2017_Formulae!$C$2:$D$968,2,FALSE)</f>
        <v>ORNGADIDA</v>
      </c>
      <c r="F27" s="29" t="s">
        <v>777</v>
      </c>
      <c r="G27" s="61" t="s">
        <v>546</v>
      </c>
      <c r="H27" s="29" t="s">
        <v>547</v>
      </c>
      <c r="I27" s="29" t="s">
        <v>548</v>
      </c>
      <c r="J27" s="29" t="s">
        <v>546</v>
      </c>
      <c r="K27" s="29" t="s">
        <v>548</v>
      </c>
      <c r="L27" s="29" t="s">
        <v>2221</v>
      </c>
      <c r="M27" s="29" t="s">
        <v>546</v>
      </c>
      <c r="N27" s="29" t="s">
        <v>548</v>
      </c>
      <c r="O27" s="29" t="s">
        <v>550</v>
      </c>
      <c r="P27" s="29">
        <v>0.25</v>
      </c>
      <c r="Q27" s="29">
        <v>0.75</v>
      </c>
      <c r="S27" s="29" t="s">
        <v>548</v>
      </c>
      <c r="T27" s="29">
        <v>1</v>
      </c>
      <c r="U27" s="29">
        <v>10</v>
      </c>
      <c r="V27" s="29" t="s">
        <v>551</v>
      </c>
      <c r="W27" s="30">
        <v>2.4</v>
      </c>
      <c r="Y27" s="29">
        <v>999</v>
      </c>
      <c r="Z27" s="29" t="s">
        <v>551</v>
      </c>
      <c r="AA27" s="62"/>
      <c r="AB27" s="29">
        <v>1</v>
      </c>
      <c r="AC27" s="29">
        <v>7</v>
      </c>
      <c r="AD27" s="29" t="s">
        <v>551</v>
      </c>
      <c r="AE27" s="62">
        <v>1.68</v>
      </c>
      <c r="AF27" s="29" t="s">
        <v>546</v>
      </c>
      <c r="AG27" s="29" t="s">
        <v>546</v>
      </c>
      <c r="AH27" s="29" t="s">
        <v>546</v>
      </c>
      <c r="AI27" s="29" t="s">
        <v>546</v>
      </c>
      <c r="AJ27" s="29" t="s">
        <v>546</v>
      </c>
      <c r="AK27" s="29">
        <v>0</v>
      </c>
      <c r="AL27" s="29">
        <v>5</v>
      </c>
      <c r="AM27" s="29" t="s">
        <v>1172</v>
      </c>
      <c r="AN27" s="29" t="s">
        <v>1173</v>
      </c>
      <c r="AO27" s="29">
        <v>-4.3177323341369629</v>
      </c>
      <c r="AP27" s="29">
        <v>35.872314453125</v>
      </c>
      <c r="AQ27" s="29">
        <v>1228.0999755859375</v>
      </c>
      <c r="AR27" s="29">
        <v>5</v>
      </c>
      <c r="AS27" s="29">
        <v>1705231439</v>
      </c>
      <c r="AT27" s="29" t="s">
        <v>1174</v>
      </c>
      <c r="AU27" s="31">
        <v>42950.965092592596</v>
      </c>
      <c r="AV27" s="31">
        <v>42892.590416666666</v>
      </c>
      <c r="AW27" s="31">
        <v>42950.913182870368</v>
      </c>
      <c r="AX27" s="32">
        <v>42776</v>
      </c>
      <c r="AZ27" s="44">
        <v>3.6857273768613976</v>
      </c>
      <c r="BA27" s="44">
        <v>3.5136311569301264</v>
      </c>
      <c r="BB27" s="44">
        <v>3.3430085470085471</v>
      </c>
      <c r="BC27" s="44">
        <v>3.0846495726495728</v>
      </c>
      <c r="BD27" s="29" t="s">
        <v>2171</v>
      </c>
      <c r="BE27" s="29">
        <v>0.66437512636200002</v>
      </c>
      <c r="BF27" s="29" t="str">
        <f>IF(BE27&lt;0.5,"Depression",IF(BE27&lt;2,"Very gentle",IF(BE27&lt;5,"Gentle",IF(BE27&lt;9,"Moderate",IF(BE27&lt;15,"Strong",IF(BE27&lt;30,"Steep",IF(BE27&lt;1,"Very steep")))))))</f>
        <v>Very gentle</v>
      </c>
      <c r="BG27" s="29" t="s">
        <v>2173</v>
      </c>
      <c r="BH27" s="29">
        <v>-0.27191722393000001</v>
      </c>
      <c r="BI27" s="43">
        <v>10.6292409897</v>
      </c>
      <c r="BJ27" s="43">
        <f>VLOOKUP(D27,[1]SoilData!$G$15:$K$237,5,FALSE)</f>
        <v>499.18358680588392</v>
      </c>
      <c r="BK27" s="43">
        <f>VLOOKUP(D27,[1]SoilData!$G$245:$K$451,5,FALSE)</f>
        <v>294.961070138423</v>
      </c>
      <c r="BL27" s="43">
        <f>VLOOKUP(D27,[1]SoilData!$G$15:$M$238,7,FALSE)</f>
        <v>1.9890000000000001</v>
      </c>
      <c r="BM27" s="43">
        <f>VLOOKUP(D27,[1]SoilData!$G$245:$M$454,7,FALSE)</f>
        <v>1.3089999999999999</v>
      </c>
      <c r="BN27" s="60">
        <f>BL27-BM27</f>
        <v>0.68000000000000016</v>
      </c>
      <c r="BO27" s="44">
        <f>AVERAGE(BB27:BC27)</f>
        <v>3.21382905982906</v>
      </c>
      <c r="BP27" s="44">
        <f>AVERAGE(AZ27:BA27)</f>
        <v>3.599679266895762</v>
      </c>
      <c r="BQ27" s="43">
        <f>BP27-BO27</f>
        <v>0.38585020706670203</v>
      </c>
      <c r="BR27" s="64">
        <f>IF(W27&gt;0.000001,W27*352,0)</f>
        <v>844.8</v>
      </c>
      <c r="BS27" s="64">
        <f>IF(AE27&gt;0.0001,AE27*682,0)</f>
        <v>1145.76</v>
      </c>
      <c r="BT27" s="64">
        <f>AA27*795</f>
        <v>0</v>
      </c>
      <c r="BU27" s="64">
        <f>BR27+BS27+BT27</f>
        <v>1990.56</v>
      </c>
      <c r="BV27" s="64">
        <f>IF(G27="YES",3.5*18.2,0)</f>
        <v>0</v>
      </c>
      <c r="BW27" s="64">
        <f>BU27-BV27</f>
        <v>1990.56</v>
      </c>
    </row>
    <row r="28" spans="1:75" x14ac:dyDescent="0.15">
      <c r="A28" s="29" t="s">
        <v>556</v>
      </c>
      <c r="B28" s="29">
        <v>128</v>
      </c>
      <c r="C28" s="29" t="s">
        <v>362</v>
      </c>
      <c r="D28" s="29" t="s">
        <v>362</v>
      </c>
      <c r="E28" s="29" t="str">
        <f>VLOOKUP(D28,Harvest_2017_Formulae!$C$2:$D$968,2,FALSE)</f>
        <v>HALLU</v>
      </c>
      <c r="F28" s="29" t="s">
        <v>938</v>
      </c>
      <c r="G28" s="61" t="s">
        <v>548</v>
      </c>
      <c r="H28" s="29" t="s">
        <v>568</v>
      </c>
      <c r="I28" s="29" t="s">
        <v>548</v>
      </c>
      <c r="J28" s="29" t="s">
        <v>546</v>
      </c>
      <c r="K28" s="29" t="s">
        <v>548</v>
      </c>
      <c r="L28" s="29" t="s">
        <v>2221</v>
      </c>
      <c r="M28" s="29" t="s">
        <v>546</v>
      </c>
      <c r="N28" s="29" t="s">
        <v>548</v>
      </c>
      <c r="O28" s="29" t="s">
        <v>550</v>
      </c>
      <c r="P28" s="29">
        <v>0.25</v>
      </c>
      <c r="Q28" s="29">
        <v>4.5</v>
      </c>
      <c r="S28" s="29" t="s">
        <v>546</v>
      </c>
      <c r="T28" s="29">
        <v>4.75</v>
      </c>
      <c r="U28" s="29">
        <v>40</v>
      </c>
      <c r="V28" s="29" t="s">
        <v>551</v>
      </c>
      <c r="W28" s="30">
        <v>2.0210526315789474</v>
      </c>
      <c r="X28" s="29">
        <v>4.75</v>
      </c>
      <c r="Y28" s="29">
        <v>999</v>
      </c>
      <c r="Z28" s="29" t="s">
        <v>551</v>
      </c>
      <c r="AA28" s="62"/>
      <c r="AB28" s="29">
        <v>4.75</v>
      </c>
      <c r="AC28" s="29">
        <v>15</v>
      </c>
      <c r="AD28" s="29" t="s">
        <v>551</v>
      </c>
      <c r="AE28" s="62">
        <v>0.75789473684210518</v>
      </c>
      <c r="AF28" s="29" t="s">
        <v>546</v>
      </c>
      <c r="AG28" s="29" t="s">
        <v>546</v>
      </c>
      <c r="AH28" s="29" t="s">
        <v>548</v>
      </c>
      <c r="AI28" s="29" t="s">
        <v>546</v>
      </c>
      <c r="AJ28" s="29" t="s">
        <v>546</v>
      </c>
      <c r="AK28" s="29">
        <v>1</v>
      </c>
      <c r="AL28" s="29">
        <v>3</v>
      </c>
      <c r="AM28" s="29" t="s">
        <v>1011</v>
      </c>
      <c r="AN28" s="29" t="s">
        <v>1012</v>
      </c>
      <c r="AO28" s="29">
        <v>-4.2721366882324219</v>
      </c>
      <c r="AP28" s="29">
        <v>35.909992218017578</v>
      </c>
      <c r="AQ28" s="29">
        <v>1197.5999755859375</v>
      </c>
      <c r="AR28" s="29">
        <v>5</v>
      </c>
      <c r="AS28" s="29">
        <v>1706031849</v>
      </c>
      <c r="AT28" s="29" t="s">
        <v>1013</v>
      </c>
      <c r="AU28" s="31">
        <v>42907.592986111107</v>
      </c>
      <c r="AV28" s="31">
        <v>42906.581203703703</v>
      </c>
      <c r="AW28" s="31">
        <v>42906.634710648148</v>
      </c>
      <c r="AX28" s="32">
        <v>42786</v>
      </c>
      <c r="AZ28" s="44">
        <v>4.1087704918032788</v>
      </c>
      <c r="BA28" s="44">
        <v>5.0681147540983593</v>
      </c>
      <c r="BB28" s="44">
        <v>2.0517489711934158</v>
      </c>
      <c r="BC28" s="44">
        <v>1.8842592592592593</v>
      </c>
      <c r="BD28" s="29" t="s">
        <v>2171</v>
      </c>
      <c r="BE28" s="29">
        <v>3.2385981082900002</v>
      </c>
      <c r="BF28" s="29" t="str">
        <f>IF(BE28&lt;0.5,"Depression",IF(BE28&lt;2,"Very gentle",IF(BE28&lt;5,"Gentle",IF(BE28&lt;9,"Moderate",IF(BE28&lt;15,"Strong",IF(BE28&lt;30,"Steep",IF(BE28&lt;1,"Very steep")))))))</f>
        <v>Gentle</v>
      </c>
      <c r="BG28" s="29" t="s">
        <v>2177</v>
      </c>
      <c r="BH28" s="29">
        <v>0.54385989904400001</v>
      </c>
      <c r="BI28" s="43">
        <v>8.7041940689100006</v>
      </c>
      <c r="BJ28" s="43">
        <f>VLOOKUP(D28,[1]SoilData!$G$15:$K$237,5,FALSE)</f>
        <v>443.484020909663</v>
      </c>
      <c r="BK28" s="43">
        <f>VLOOKUP(D28,[1]SoilData!$G$245:$K$451,5,FALSE)</f>
        <v>37.559331683783142</v>
      </c>
      <c r="BL28" s="43">
        <f>VLOOKUP(D28,[1]SoilData!$G$15:$M$238,7,FALSE)</f>
        <v>1.1539999999999999</v>
      </c>
      <c r="BM28" s="43">
        <f>VLOOKUP(D28,[1]SoilData!$G$245:$M$454,7,FALSE)</f>
        <v>0.81499999999999995</v>
      </c>
      <c r="BN28" s="60">
        <f>BL28-BM28</f>
        <v>0.33899999999999997</v>
      </c>
      <c r="BO28" s="44">
        <f>AVERAGE(BB28:BC28)</f>
        <v>1.9680041152263374</v>
      </c>
      <c r="BP28" s="44">
        <f>AVERAGE(AZ28:BA28)</f>
        <v>4.5884426229508186</v>
      </c>
      <c r="BQ28" s="43">
        <f>BP28-BO28</f>
        <v>2.6204385077244812</v>
      </c>
      <c r="BR28" s="64">
        <f>IF(W28&gt;0.000001,W28*352,0)</f>
        <v>711.41052631578953</v>
      </c>
      <c r="BS28" s="64">
        <f>IF(AE28&gt;0.0001,AE28*682,0)</f>
        <v>516.88421052631577</v>
      </c>
      <c r="BT28" s="64">
        <f>AA28*795</f>
        <v>0</v>
      </c>
      <c r="BU28" s="64">
        <f>BR28+BS28+BT28</f>
        <v>1228.2947368421053</v>
      </c>
      <c r="BV28" s="64">
        <f>IF(G28="YES",3.5*18.2,0)</f>
        <v>63.699999999999996</v>
      </c>
      <c r="BW28" s="64">
        <f>BU28-BV28</f>
        <v>1164.5947368421052</v>
      </c>
    </row>
    <row r="29" spans="1:75" x14ac:dyDescent="0.15">
      <c r="A29" s="29" t="s">
        <v>1403</v>
      </c>
      <c r="B29" s="29">
        <v>111</v>
      </c>
      <c r="C29" s="29" t="s">
        <v>1404</v>
      </c>
      <c r="D29" s="29" t="s">
        <v>1404</v>
      </c>
      <c r="E29" s="29" t="e">
        <f>VLOOKUP(D29,Harvest_2017_Formulae!$C$2:$D$968,2,FALSE)</f>
        <v>#N/A</v>
      </c>
      <c r="F29" s="29" t="s">
        <v>1310</v>
      </c>
      <c r="G29" s="61" t="s">
        <v>548</v>
      </c>
      <c r="H29" s="29" t="s">
        <v>568</v>
      </c>
      <c r="I29" s="29" t="s">
        <v>548</v>
      </c>
      <c r="J29" s="29" t="s">
        <v>546</v>
      </c>
      <c r="K29" s="29" t="s">
        <v>548</v>
      </c>
      <c r="L29" s="29" t="s">
        <v>2220</v>
      </c>
      <c r="M29" s="29" t="s">
        <v>546</v>
      </c>
      <c r="N29" s="29" t="s">
        <v>548</v>
      </c>
      <c r="O29" s="29" t="s">
        <v>550</v>
      </c>
      <c r="P29" s="29">
        <v>0.25</v>
      </c>
      <c r="Q29" s="29">
        <v>1.75</v>
      </c>
      <c r="R29" s="29">
        <v>0</v>
      </c>
      <c r="S29" s="29" t="s">
        <v>546</v>
      </c>
      <c r="T29" s="29">
        <v>1.25</v>
      </c>
      <c r="U29" s="29">
        <v>20</v>
      </c>
      <c r="V29" s="29" t="s">
        <v>551</v>
      </c>
      <c r="W29" s="30">
        <v>3.84</v>
      </c>
      <c r="X29" s="29">
        <v>1.25</v>
      </c>
      <c r="Y29" s="29">
        <v>1</v>
      </c>
      <c r="Z29" s="29" t="s">
        <v>551</v>
      </c>
      <c r="AA29" s="62">
        <v>0.192</v>
      </c>
      <c r="AB29" s="29">
        <v>1.25</v>
      </c>
      <c r="AC29" s="29">
        <v>5</v>
      </c>
      <c r="AD29" s="29" t="s">
        <v>552</v>
      </c>
      <c r="AE29" s="62">
        <v>0.16031999999999999</v>
      </c>
      <c r="AF29" s="29" t="s">
        <v>548</v>
      </c>
      <c r="AG29" s="29" t="s">
        <v>548</v>
      </c>
      <c r="AH29" s="29" t="s">
        <v>548</v>
      </c>
      <c r="AI29" s="29" t="s">
        <v>546</v>
      </c>
      <c r="AJ29" s="29" t="s">
        <v>546</v>
      </c>
      <c r="AK29" s="29">
        <v>3</v>
      </c>
      <c r="AL29" s="29">
        <v>2</v>
      </c>
      <c r="AM29" s="29" t="s">
        <v>1406</v>
      </c>
      <c r="AN29" s="29" t="s">
        <v>1407</v>
      </c>
      <c r="AO29" s="29">
        <v>-4.2611217498779297</v>
      </c>
      <c r="AP29" s="29">
        <v>35.519355773925781</v>
      </c>
      <c r="AQ29" s="29">
        <v>1640.199951171875</v>
      </c>
      <c r="AR29" s="29">
        <v>5</v>
      </c>
      <c r="AS29" s="29">
        <v>1706031849</v>
      </c>
      <c r="AT29" s="29" t="s">
        <v>1408</v>
      </c>
      <c r="AU29" s="31">
        <v>42903.412928240738</v>
      </c>
      <c r="AV29" s="31">
        <v>42901.552928240737</v>
      </c>
      <c r="AW29" s="31">
        <v>42901.573321759264</v>
      </c>
      <c r="AX29" s="32">
        <v>42736</v>
      </c>
      <c r="AZ29" s="43"/>
      <c r="BA29" s="43"/>
      <c r="BB29" s="43"/>
      <c r="BC29" s="43"/>
      <c r="BD29" s="29" t="s">
        <v>2171</v>
      </c>
      <c r="BE29" s="29">
        <v>3.1812281608599999</v>
      </c>
      <c r="BF29" s="29" t="str">
        <f>IF(BE29&lt;0.5,"Depression",IF(BE29&lt;2,"Very gentle",IF(BE29&lt;5,"Gentle",IF(BE29&lt;9,"Moderate",IF(BE29&lt;15,"Strong",IF(BE29&lt;30,"Steep",IF(BE29&lt;1,"Very steep")))))))</f>
        <v>Gentle</v>
      </c>
      <c r="BG29" s="29" t="s">
        <v>2173</v>
      </c>
      <c r="BH29" s="29">
        <v>-0.45320102572400001</v>
      </c>
      <c r="BI29" s="43">
        <v>9.0168313980099999</v>
      </c>
      <c r="BJ29" s="43"/>
      <c r="BK29" s="43"/>
      <c r="BL29" s="56"/>
      <c r="BM29" s="56"/>
      <c r="BN29" s="60"/>
      <c r="BO29" s="43"/>
      <c r="BP29" s="43"/>
      <c r="BQ29" s="43"/>
      <c r="BR29" s="64">
        <f>IF(W29&gt;0.000001,W29*352,0)</f>
        <v>1351.6799999999998</v>
      </c>
      <c r="BS29" s="64">
        <f>IF(AE29&gt;0.0001,AE29*682,0)</f>
        <v>109.33824</v>
      </c>
      <c r="BT29" s="64">
        <f>AA29*795</f>
        <v>152.64000000000001</v>
      </c>
      <c r="BU29" s="64">
        <f>BR29+BS29+BT29</f>
        <v>1613.65824</v>
      </c>
      <c r="BV29" s="64">
        <f>IF(G29="YES",3.5*18.2,0)</f>
        <v>63.699999999999996</v>
      </c>
      <c r="BW29" s="64">
        <f>BU29-BV29</f>
        <v>1549.9582399999999</v>
      </c>
    </row>
    <row r="30" spans="1:75" x14ac:dyDescent="0.15">
      <c r="A30" s="29" t="s">
        <v>556</v>
      </c>
      <c r="B30" s="29">
        <v>13</v>
      </c>
      <c r="C30" s="29" t="s">
        <v>910</v>
      </c>
      <c r="D30" s="29" t="s">
        <v>350</v>
      </c>
      <c r="E30" s="29" t="str">
        <f>VLOOKUP(D30,Harvest_2017_Formulae!$C$2:$D$968,2,FALSE)</f>
        <v>ENDANOGA</v>
      </c>
      <c r="F30" s="29" t="s">
        <v>843</v>
      </c>
      <c r="G30" s="61" t="s">
        <v>546</v>
      </c>
      <c r="H30" s="29" t="s">
        <v>547</v>
      </c>
      <c r="I30" s="29" t="s">
        <v>546</v>
      </c>
      <c r="J30" s="29" t="s">
        <v>546</v>
      </c>
      <c r="K30" s="29" t="s">
        <v>548</v>
      </c>
      <c r="L30" s="29" t="s">
        <v>2220</v>
      </c>
      <c r="M30" s="29" t="s">
        <v>548</v>
      </c>
      <c r="N30" s="29" t="s">
        <v>546</v>
      </c>
      <c r="O30" s="29" t="s">
        <v>547</v>
      </c>
      <c r="P30" s="29">
        <v>0.25</v>
      </c>
      <c r="Q30" s="29">
        <v>2</v>
      </c>
      <c r="R30" s="29">
        <v>0</v>
      </c>
      <c r="S30" s="29" t="s">
        <v>548</v>
      </c>
      <c r="T30" s="29">
        <v>1</v>
      </c>
      <c r="U30" s="29">
        <v>4</v>
      </c>
      <c r="V30" s="29" t="s">
        <v>551</v>
      </c>
      <c r="W30" s="30">
        <v>0.96</v>
      </c>
      <c r="Y30" s="29">
        <v>999</v>
      </c>
      <c r="Z30" s="29" t="s">
        <v>551</v>
      </c>
      <c r="AA30" s="62"/>
      <c r="AB30" s="29">
        <v>1</v>
      </c>
      <c r="AC30" s="29">
        <v>3</v>
      </c>
      <c r="AD30" s="29" t="s">
        <v>551</v>
      </c>
      <c r="AE30" s="62">
        <v>0.72</v>
      </c>
      <c r="AF30" s="29" t="s">
        <v>546</v>
      </c>
      <c r="AG30" s="29" t="s">
        <v>548</v>
      </c>
      <c r="AH30" s="29" t="s">
        <v>546</v>
      </c>
      <c r="AI30" s="29" t="s">
        <v>546</v>
      </c>
      <c r="AJ30" s="29" t="s">
        <v>546</v>
      </c>
      <c r="AK30" s="29">
        <v>1</v>
      </c>
      <c r="AL30" s="29">
        <v>3</v>
      </c>
      <c r="AM30" s="29" t="s">
        <v>911</v>
      </c>
      <c r="AN30" s="29" t="s">
        <v>912</v>
      </c>
      <c r="AO30" s="29">
        <v>-4.2598285675048828</v>
      </c>
      <c r="AP30" s="29">
        <v>35.859825134277344</v>
      </c>
      <c r="AQ30" s="29">
        <v>1326.199951171875</v>
      </c>
      <c r="AR30" s="29">
        <v>5</v>
      </c>
      <c r="AS30" s="29">
        <v>1705231439</v>
      </c>
      <c r="AT30" s="29" t="s">
        <v>913</v>
      </c>
      <c r="AU30" s="31">
        <v>42903.412893518514</v>
      </c>
      <c r="AV30" s="31">
        <v>42893.566898148143</v>
      </c>
      <c r="AW30" s="31">
        <v>42893.635312500002</v>
      </c>
      <c r="AX30" s="32">
        <v>42793</v>
      </c>
      <c r="AZ30" s="44">
        <v>4.152259105578608</v>
      </c>
      <c r="BA30" s="44">
        <v>4.4502074688796682</v>
      </c>
      <c r="BB30" s="44">
        <v>4.3424389119409872</v>
      </c>
      <c r="BC30" s="44">
        <v>4.1142231443061323</v>
      </c>
      <c r="BD30" s="29" t="s">
        <v>2171</v>
      </c>
      <c r="BE30" s="29">
        <v>2.3941514491999998</v>
      </c>
      <c r="BF30" s="29" t="str">
        <f>IF(BE30&lt;0.5,"Depression",IF(BE30&lt;2,"Very gentle",IF(BE30&lt;5,"Gentle",IF(BE30&lt;9,"Moderate",IF(BE30&lt;15,"Strong",IF(BE30&lt;30,"Steep",IF(BE30&lt;1,"Very steep")))))))</f>
        <v>Gentle</v>
      </c>
      <c r="BG30" s="29" t="s">
        <v>2173</v>
      </c>
      <c r="BH30" s="29">
        <v>-0.362559139729</v>
      </c>
      <c r="BI30" s="43">
        <v>10.828481674200001</v>
      </c>
      <c r="BJ30" s="43">
        <f>VLOOKUP(D30,[1]SoilData!$G$15:$K$237,5,FALSE)</f>
        <v>404.8867784940544</v>
      </c>
      <c r="BK30" s="43">
        <f>VLOOKUP(D30,[1]SoilData!$G$245:$K$451,5,FALSE)</f>
        <v>416.26503406082486</v>
      </c>
      <c r="BL30" s="43">
        <f>VLOOKUP(D30,[1]SoilData!$G$15:$M$238,7,FALSE)</f>
        <v>1.5669999999999999</v>
      </c>
      <c r="BM30" s="43">
        <f>VLOOKUP(D30,[1]SoilData!$G$245:$M$454,7,FALSE)</f>
        <v>1.2709999999999999</v>
      </c>
      <c r="BN30" s="60">
        <f>BL30-BM30</f>
        <v>0.29600000000000004</v>
      </c>
      <c r="BO30" s="44">
        <f>AVERAGE(BB30:BC30)</f>
        <v>4.2283310281235593</v>
      </c>
      <c r="BP30" s="44">
        <f>AVERAGE(AZ30:BA30)</f>
        <v>4.3012332872291381</v>
      </c>
      <c r="BQ30" s="43">
        <f>BP30-BO30</f>
        <v>7.2902259105578793E-2</v>
      </c>
      <c r="BR30" s="64">
        <f>IF(W30&gt;0.000001,W30*352,0)</f>
        <v>337.91999999999996</v>
      </c>
      <c r="BS30" s="64">
        <f>IF(AE30&gt;0.0001,AE30*682,0)</f>
        <v>491.03999999999996</v>
      </c>
      <c r="BT30" s="64">
        <f>AA30*795</f>
        <v>0</v>
      </c>
      <c r="BU30" s="64">
        <f>BR30+BS30+BT30</f>
        <v>828.95999999999992</v>
      </c>
      <c r="BV30" s="64">
        <f>IF(G30="YES",3.5*18.2,0)</f>
        <v>0</v>
      </c>
      <c r="BW30" s="64">
        <f>BU30-BV30</f>
        <v>828.95999999999992</v>
      </c>
    </row>
    <row r="31" spans="1:75" x14ac:dyDescent="0.15">
      <c r="A31" s="29" t="s">
        <v>1182</v>
      </c>
      <c r="B31" s="29">
        <v>91</v>
      </c>
      <c r="C31" s="29" t="s">
        <v>384</v>
      </c>
      <c r="D31" s="29" t="s">
        <v>384</v>
      </c>
      <c r="E31" s="29" t="str">
        <f>VLOOKUP(D31,Harvest_2017_Formulae!$C$2:$D$968,2,FALSE)</f>
        <v>SABILO</v>
      </c>
      <c r="F31" s="29" t="s">
        <v>1175</v>
      </c>
      <c r="G31" s="61" t="s">
        <v>548</v>
      </c>
      <c r="H31" s="29" t="s">
        <v>568</v>
      </c>
      <c r="I31" s="29" t="s">
        <v>548</v>
      </c>
      <c r="J31" s="29" t="s">
        <v>546</v>
      </c>
      <c r="K31" s="29" t="s">
        <v>548</v>
      </c>
      <c r="L31" s="29" t="s">
        <v>2220</v>
      </c>
      <c r="M31" s="29" t="s">
        <v>548</v>
      </c>
      <c r="N31" s="29" t="s">
        <v>548</v>
      </c>
      <c r="O31" s="29" t="s">
        <v>793</v>
      </c>
      <c r="P31" s="29">
        <v>1.5</v>
      </c>
      <c r="Q31" s="29">
        <v>1</v>
      </c>
      <c r="R31" s="29">
        <v>0</v>
      </c>
      <c r="S31" s="29" t="s">
        <v>548</v>
      </c>
      <c r="T31" s="29">
        <v>1</v>
      </c>
      <c r="U31" s="29">
        <v>20</v>
      </c>
      <c r="V31" s="29" t="s">
        <v>551</v>
      </c>
      <c r="W31" s="30">
        <v>4.8</v>
      </c>
      <c r="Y31" s="29">
        <v>999</v>
      </c>
      <c r="Z31" s="29" t="s">
        <v>551</v>
      </c>
      <c r="AA31" s="62"/>
      <c r="AB31" s="29">
        <v>1</v>
      </c>
      <c r="AC31" s="29">
        <v>1</v>
      </c>
      <c r="AD31" s="29" t="s">
        <v>551</v>
      </c>
      <c r="AE31" s="62">
        <v>0.24</v>
      </c>
      <c r="AF31" s="29" t="s">
        <v>546</v>
      </c>
      <c r="AG31" s="29" t="s">
        <v>548</v>
      </c>
      <c r="AH31" s="29" t="s">
        <v>546</v>
      </c>
      <c r="AI31" s="29" t="s">
        <v>546</v>
      </c>
      <c r="AJ31" s="29" t="s">
        <v>548</v>
      </c>
      <c r="AK31" s="29">
        <v>2</v>
      </c>
      <c r="AL31" s="29">
        <v>4</v>
      </c>
      <c r="AM31" s="29" t="s">
        <v>1234</v>
      </c>
      <c r="AN31" s="29" t="s">
        <v>1235</v>
      </c>
      <c r="AO31" s="29">
        <v>-4.3563408851623535</v>
      </c>
      <c r="AP31" s="29">
        <v>35.484050750732422</v>
      </c>
      <c r="AQ31" s="29">
        <v>1703.699951171875</v>
      </c>
      <c r="AR31" s="29">
        <v>10</v>
      </c>
      <c r="AS31" s="29">
        <v>1705231439</v>
      </c>
      <c r="AT31" s="29" t="s">
        <v>1236</v>
      </c>
      <c r="AU31" s="31">
        <v>42927.345289351855</v>
      </c>
      <c r="AV31" s="31">
        <v>42895.506284722222</v>
      </c>
      <c r="AW31" s="31">
        <v>42923.465960648144</v>
      </c>
      <c r="AX31" s="32">
        <v>42769</v>
      </c>
      <c r="AZ31" s="44">
        <v>4.5914657210401897</v>
      </c>
      <c r="BA31" s="44">
        <v>5.5844444444444452</v>
      </c>
      <c r="BB31" s="44">
        <v>6.4490046296296288</v>
      </c>
      <c r="BC31" s="44">
        <v>8.8906481481481485</v>
      </c>
      <c r="BD31" s="29" t="s">
        <v>2171</v>
      </c>
      <c r="BE31" s="29">
        <v>4.3402504921</v>
      </c>
      <c r="BF31" s="29" t="str">
        <f>IF(BE31&lt;0.5,"Depression",IF(BE31&lt;2,"Very gentle",IF(BE31&lt;5,"Gentle",IF(BE31&lt;9,"Moderate",IF(BE31&lt;15,"Strong",IF(BE31&lt;30,"Steep",IF(BE31&lt;1,"Very steep")))))))</f>
        <v>Gentle</v>
      </c>
      <c r="BG31" s="29" t="s">
        <v>2173</v>
      </c>
      <c r="BH31" s="29">
        <v>0.27193418145199999</v>
      </c>
      <c r="BI31" s="43">
        <v>8.3939695358299993</v>
      </c>
      <c r="BJ31" s="43">
        <f>VLOOKUP(D31,[1]SoilData!$G$15:$K$237,5,FALSE)</f>
        <v>7.5674881388867741</v>
      </c>
      <c r="BK31" s="43">
        <f>VLOOKUP(D31,[1]SoilData!$G$245:$K$451,5,FALSE)</f>
        <v>56.040792301091408</v>
      </c>
      <c r="BL31" s="43">
        <f>VLOOKUP(D31,[1]SoilData!$G$15:$M$238,7,FALSE)</f>
        <v>1.4450000000000001</v>
      </c>
      <c r="BM31" s="43">
        <f>VLOOKUP(D31,[1]SoilData!$G$245:$M$454,7,FALSE)</f>
        <v>1.306</v>
      </c>
      <c r="BN31" s="60">
        <f>BL31-BM31</f>
        <v>0.13900000000000001</v>
      </c>
      <c r="BO31" s="44">
        <f>AVERAGE(BB31:BC31)</f>
        <v>7.6698263888888887</v>
      </c>
      <c r="BP31" s="44">
        <f>AVERAGE(AZ31:BA31)</f>
        <v>5.087955082742317</v>
      </c>
      <c r="BQ31" s="43">
        <f>BP31-BO31</f>
        <v>-2.5818713061465717</v>
      </c>
      <c r="BR31" s="64">
        <f>IF(W31&gt;0.000001,W31*352,0)</f>
        <v>1689.6</v>
      </c>
      <c r="BS31" s="64">
        <f>IF(AE31&gt;0.0001,AE31*682,0)</f>
        <v>163.68</v>
      </c>
      <c r="BT31" s="64">
        <f>AA31*795</f>
        <v>0</v>
      </c>
      <c r="BU31" s="64">
        <f>BR31+BS31+BT31</f>
        <v>1853.28</v>
      </c>
      <c r="BV31" s="64">
        <f>IF(G31="YES",3.5*18.2,0)</f>
        <v>63.699999999999996</v>
      </c>
      <c r="BW31" s="64">
        <f>BU31-BV31</f>
        <v>1789.58</v>
      </c>
    </row>
    <row r="32" spans="1:75" x14ac:dyDescent="0.15">
      <c r="A32" s="29" t="s">
        <v>556</v>
      </c>
      <c r="B32" s="29">
        <v>115</v>
      </c>
      <c r="C32" s="29" t="s">
        <v>396</v>
      </c>
      <c r="D32" s="29" t="s">
        <v>396</v>
      </c>
      <c r="E32" s="29" t="str">
        <f>VLOOKUP(D32,Harvest_2017_Formulae!$C$2:$D$968,2,FALSE)</f>
        <v>SELOTO</v>
      </c>
      <c r="F32" s="29" t="s">
        <v>1310</v>
      </c>
      <c r="G32" s="61" t="s">
        <v>546</v>
      </c>
      <c r="H32" s="29" t="s">
        <v>547</v>
      </c>
      <c r="I32" s="29" t="s">
        <v>546</v>
      </c>
      <c r="J32" s="29" t="s">
        <v>546</v>
      </c>
      <c r="K32" s="29" t="s">
        <v>546</v>
      </c>
      <c r="L32" s="29" t="s">
        <v>2220</v>
      </c>
      <c r="M32" s="29" t="s">
        <v>546</v>
      </c>
      <c r="N32" s="29" t="s">
        <v>548</v>
      </c>
      <c r="O32" s="29" t="s">
        <v>550</v>
      </c>
      <c r="P32" s="29">
        <v>0.25</v>
      </c>
      <c r="Q32" s="29">
        <v>1</v>
      </c>
      <c r="R32" s="29">
        <v>0</v>
      </c>
      <c r="S32" s="29" t="s">
        <v>546</v>
      </c>
      <c r="T32" s="29">
        <v>1.5</v>
      </c>
      <c r="U32" s="29">
        <v>15</v>
      </c>
      <c r="V32" s="29" t="s">
        <v>551</v>
      </c>
      <c r="W32" s="30">
        <v>2.4</v>
      </c>
      <c r="X32" s="29">
        <v>1.5</v>
      </c>
      <c r="Y32" s="29">
        <v>1.1499999761581421</v>
      </c>
      <c r="Z32" s="29" t="s">
        <v>551</v>
      </c>
      <c r="AA32" s="62">
        <v>0.18399999618530272</v>
      </c>
      <c r="AB32" s="29">
        <v>1.5</v>
      </c>
      <c r="AC32" s="29">
        <v>1</v>
      </c>
      <c r="AD32" s="29" t="s">
        <v>551</v>
      </c>
      <c r="AE32" s="62">
        <v>0.16</v>
      </c>
      <c r="AF32" s="29" t="s">
        <v>546</v>
      </c>
      <c r="AG32" s="29" t="s">
        <v>548</v>
      </c>
      <c r="AH32" s="29" t="s">
        <v>548</v>
      </c>
      <c r="AI32" s="29" t="s">
        <v>546</v>
      </c>
      <c r="AJ32" s="29" t="s">
        <v>546</v>
      </c>
      <c r="AK32" s="29">
        <v>2</v>
      </c>
      <c r="AL32" s="29">
        <v>2</v>
      </c>
      <c r="AM32" s="29" t="s">
        <v>1321</v>
      </c>
      <c r="AN32" s="29" t="s">
        <v>1322</v>
      </c>
      <c r="AO32" s="29">
        <v>-4.2548995018005371</v>
      </c>
      <c r="AP32" s="29">
        <v>35.5269775390625</v>
      </c>
      <c r="AQ32" s="29">
        <v>1632.199951171875</v>
      </c>
      <c r="AR32" s="29">
        <v>5</v>
      </c>
      <c r="AS32" s="29">
        <v>1706031849</v>
      </c>
      <c r="AT32" s="29" t="s">
        <v>1323</v>
      </c>
      <c r="AU32" s="31">
        <v>42906.498958333337</v>
      </c>
      <c r="AV32" s="31">
        <v>42903.5081712963</v>
      </c>
      <c r="AW32" s="31">
        <v>42903.529016203705</v>
      </c>
      <c r="AX32" s="32">
        <v>43097</v>
      </c>
      <c r="AZ32" s="44">
        <v>2.4616577060931899</v>
      </c>
      <c r="BA32" s="44">
        <v>3.3549462365591403</v>
      </c>
      <c r="BB32" s="44">
        <v>5.6074572649572643</v>
      </c>
      <c r="BC32" s="44">
        <v>3.3982264957264956</v>
      </c>
      <c r="BD32" s="29" t="s">
        <v>2171</v>
      </c>
      <c r="BE32" s="29">
        <v>1.0756396055199999</v>
      </c>
      <c r="BF32" s="29" t="str">
        <f>IF(BE32&lt;0.5,"Depression",IF(BE32&lt;2,"Very gentle",IF(BE32&lt;5,"Gentle",IF(BE32&lt;9,"Moderate",IF(BE32&lt;15,"Strong",IF(BE32&lt;30,"Steep",IF(BE32&lt;1,"Very steep")))))))</f>
        <v>Very gentle</v>
      </c>
      <c r="BG32" s="29" t="s">
        <v>2173</v>
      </c>
      <c r="BH32" s="29">
        <v>0.18129228055499999</v>
      </c>
      <c r="BI32" s="43">
        <v>8.9439697265600007</v>
      </c>
      <c r="BJ32" s="43">
        <f>VLOOKUP(D32,[1]SoilData!$G$15:$K$237,5,FALSE)</f>
        <v>249.41135641267942</v>
      </c>
      <c r="BK32" s="43">
        <f>VLOOKUP(D32,[1]SoilData!$G$245:$K$451,5,FALSE)</f>
        <v>20.323620813151283</v>
      </c>
      <c r="BL32" s="43">
        <f>VLOOKUP(D32,[1]SoilData!$G$15:$M$238,7,FALSE)</f>
        <v>1.3580000000000001</v>
      </c>
      <c r="BM32" s="43">
        <f>VLOOKUP(D32,[1]SoilData!$G$245:$M$454,7,FALSE)</f>
        <v>1.29</v>
      </c>
      <c r="BN32" s="60">
        <f>BL32-BM32</f>
        <v>6.800000000000006E-2</v>
      </c>
      <c r="BO32" s="44">
        <f>AVERAGE(BB32:BC32)</f>
        <v>4.5028418803418795</v>
      </c>
      <c r="BP32" s="44">
        <f>AVERAGE(AZ32:BA32)</f>
        <v>2.9083019713261651</v>
      </c>
      <c r="BQ32" s="43">
        <f>BP32-BO32</f>
        <v>-1.5945399090157144</v>
      </c>
      <c r="BR32" s="64">
        <f>IF(W32&gt;0.000001,W32*352,0)</f>
        <v>844.8</v>
      </c>
      <c r="BS32" s="64">
        <f>IF(AE32&gt;0.0001,AE32*682,0)</f>
        <v>109.12</v>
      </c>
      <c r="BT32" s="64">
        <f>AA32*795</f>
        <v>146.27999696731567</v>
      </c>
      <c r="BU32" s="64">
        <f>BR32+BS32+BT32</f>
        <v>1100.1999969673157</v>
      </c>
      <c r="BV32" s="64">
        <f>IF(G32="YES",3.5*18.2,0)</f>
        <v>0</v>
      </c>
      <c r="BW32" s="64">
        <f>BU32-BV32</f>
        <v>1100.1999969673157</v>
      </c>
    </row>
    <row r="33" spans="1:75" x14ac:dyDescent="0.15">
      <c r="A33" s="29" t="s">
        <v>789</v>
      </c>
      <c r="B33" s="29">
        <v>82</v>
      </c>
      <c r="C33" s="29" t="s">
        <v>198</v>
      </c>
      <c r="D33" s="29" t="s">
        <v>198</v>
      </c>
      <c r="E33" s="29" t="str">
        <f>VLOOKUP(D33,Harvest_2017_Formulae!$C$2:$D$968,2,FALSE)</f>
        <v>MANDI</v>
      </c>
      <c r="F33" s="29" t="s">
        <v>1014</v>
      </c>
      <c r="G33" s="61" t="s">
        <v>548</v>
      </c>
      <c r="H33" s="29" t="s">
        <v>614</v>
      </c>
      <c r="I33" s="29" t="s">
        <v>548</v>
      </c>
      <c r="J33" s="29" t="s">
        <v>546</v>
      </c>
      <c r="K33" s="29" t="s">
        <v>546</v>
      </c>
      <c r="L33" s="29" t="s">
        <v>2219</v>
      </c>
      <c r="M33" s="29" t="s">
        <v>548</v>
      </c>
      <c r="N33" s="29" t="s">
        <v>548</v>
      </c>
      <c r="O33" s="29" t="s">
        <v>1028</v>
      </c>
      <c r="P33" s="29">
        <v>0.5</v>
      </c>
      <c r="Q33" s="29">
        <v>1.5</v>
      </c>
      <c r="R33" s="29">
        <v>0</v>
      </c>
      <c r="S33" s="29" t="s">
        <v>548</v>
      </c>
      <c r="T33" s="29">
        <v>1</v>
      </c>
      <c r="U33" s="29">
        <v>10</v>
      </c>
      <c r="V33" s="29" t="s">
        <v>551</v>
      </c>
      <c r="W33" s="30">
        <v>2.4</v>
      </c>
      <c r="X33" s="29">
        <v>1</v>
      </c>
      <c r="Y33" s="29">
        <v>1</v>
      </c>
      <c r="Z33" s="29" t="s">
        <v>551</v>
      </c>
      <c r="AA33" s="62">
        <v>0.24</v>
      </c>
      <c r="AC33" s="29">
        <v>999</v>
      </c>
      <c r="AD33" s="29" t="s">
        <v>551</v>
      </c>
      <c r="AE33" s="62"/>
      <c r="AF33" s="29" t="s">
        <v>546</v>
      </c>
      <c r="AG33" s="29" t="s">
        <v>546</v>
      </c>
      <c r="AH33" s="29" t="s">
        <v>546</v>
      </c>
      <c r="AI33" s="29" t="s">
        <v>548</v>
      </c>
      <c r="AJ33" s="29" t="s">
        <v>546</v>
      </c>
      <c r="AK33" s="29">
        <v>1</v>
      </c>
      <c r="AL33" s="29">
        <v>4</v>
      </c>
      <c r="AM33" s="29" t="s">
        <v>1029</v>
      </c>
      <c r="AN33" s="29" t="s">
        <v>1030</v>
      </c>
      <c r="AO33" s="29">
        <v>-4.3320112228393555</v>
      </c>
      <c r="AP33" s="29">
        <v>35.442691802978516</v>
      </c>
      <c r="AQ33" s="29">
        <v>1564</v>
      </c>
      <c r="AR33" s="29">
        <v>5</v>
      </c>
      <c r="AS33" s="29">
        <v>1705231439</v>
      </c>
      <c r="AT33" s="29" t="s">
        <v>1031</v>
      </c>
      <c r="AU33" s="31">
        <v>42923.387152777781</v>
      </c>
      <c r="AV33" s="31">
        <v>42907.545219907406</v>
      </c>
      <c r="AW33" s="31">
        <v>42923.382268518515</v>
      </c>
      <c r="AX33" s="32">
        <v>42789</v>
      </c>
      <c r="AZ33" s="44">
        <v>4.8893333333333331</v>
      </c>
      <c r="BA33" s="44">
        <v>2.7663333333333329</v>
      </c>
      <c r="BB33" s="44">
        <v>1.1749382716049384</v>
      </c>
      <c r="BC33" s="44">
        <v>1.3265432098765431</v>
      </c>
      <c r="BD33" s="29" t="s">
        <v>2171</v>
      </c>
      <c r="BE33" s="29">
        <v>0.65533638000500005</v>
      </c>
      <c r="BF33" s="29" t="str">
        <f>IF(BE33&lt;0.5,"Depression",IF(BE33&lt;2,"Very gentle",IF(BE33&lt;5,"Gentle",IF(BE33&lt;9,"Moderate",IF(BE33&lt;15,"Strong",IF(BE33&lt;30,"Steep",IF(BE33&lt;1,"Very steep")))))))</f>
        <v>Very gentle</v>
      </c>
      <c r="BG33" s="29" t="s">
        <v>2173</v>
      </c>
      <c r="BH33" s="29">
        <v>8.4776775111099995E-6</v>
      </c>
      <c r="BI33" s="43">
        <v>11.811529159499999</v>
      </c>
      <c r="BJ33" s="43">
        <f>VLOOKUP(D33,[1]SoilData!$G$15:$K$237,5,FALSE)</f>
        <v>256.84934752251172</v>
      </c>
      <c r="BK33" s="43">
        <f>VLOOKUP(D33,[1]SoilData!$G$245:$K$451,5,FALSE)</f>
        <v>62.776520441084614</v>
      </c>
      <c r="BL33" s="43">
        <f>VLOOKUP(D33,[1]SoilData!$G$15:$M$238,7,FALSE)</f>
        <v>1.329</v>
      </c>
      <c r="BM33" s="43">
        <f>VLOOKUP(D33,[1]SoilData!$G$245:$M$454,7,FALSE)</f>
        <v>1.0049999999999999</v>
      </c>
      <c r="BN33" s="60">
        <f>BL33-BM33</f>
        <v>0.32400000000000007</v>
      </c>
      <c r="BO33" s="44">
        <f>AVERAGE(BB33:BC33)</f>
        <v>1.2507407407407407</v>
      </c>
      <c r="BP33" s="44">
        <f>AVERAGE(AZ33:BA33)</f>
        <v>3.827833333333333</v>
      </c>
      <c r="BQ33" s="43">
        <f>BP33-BO33</f>
        <v>2.5770925925925923</v>
      </c>
      <c r="BR33" s="64">
        <f>IF(W33&gt;0.000001,W33*352,0)</f>
        <v>844.8</v>
      </c>
      <c r="BS33" s="64">
        <f>IF(AE33&gt;0.0001,AE33*682,0)</f>
        <v>0</v>
      </c>
      <c r="BT33" s="64">
        <f>AA33*795</f>
        <v>190.79999999999998</v>
      </c>
      <c r="BU33" s="64">
        <f>BR33+BS33+BT33</f>
        <v>1035.5999999999999</v>
      </c>
      <c r="BV33" s="64">
        <f>IF(G33="YES",3.5*18.2,0)</f>
        <v>63.699999999999996</v>
      </c>
      <c r="BW33" s="64">
        <f>BU33-BV33</f>
        <v>971.89999999999986</v>
      </c>
    </row>
    <row r="34" spans="1:75" x14ac:dyDescent="0.15">
      <c r="A34" s="29" t="s">
        <v>789</v>
      </c>
      <c r="B34" s="29">
        <v>81</v>
      </c>
      <c r="C34" s="29" t="s">
        <v>199</v>
      </c>
      <c r="D34" s="29" t="s">
        <v>199</v>
      </c>
      <c r="E34" s="29" t="str">
        <f>VLOOKUP(D34,Harvest_2017_Formulae!$C$2:$D$968,2,FALSE)</f>
        <v>MANDI</v>
      </c>
      <c r="F34" s="29" t="s">
        <v>1014</v>
      </c>
      <c r="G34" s="61" t="s">
        <v>548</v>
      </c>
      <c r="H34" s="29" t="s">
        <v>1033</v>
      </c>
      <c r="I34" s="29" t="s">
        <v>548</v>
      </c>
      <c r="J34" s="29" t="s">
        <v>546</v>
      </c>
      <c r="K34" s="29" t="s">
        <v>546</v>
      </c>
      <c r="L34" s="29" t="s">
        <v>2220</v>
      </c>
      <c r="M34" s="29" t="s">
        <v>548</v>
      </c>
      <c r="N34" s="29" t="s">
        <v>548</v>
      </c>
      <c r="O34" s="29" t="s">
        <v>1028</v>
      </c>
      <c r="P34" s="29">
        <v>0.5</v>
      </c>
      <c r="Q34" s="29">
        <v>1</v>
      </c>
      <c r="R34" s="29">
        <v>0</v>
      </c>
      <c r="S34" s="29" t="s">
        <v>548</v>
      </c>
      <c r="U34" s="29">
        <v>999</v>
      </c>
      <c r="V34" s="29" t="s">
        <v>551</v>
      </c>
      <c r="Y34" s="29">
        <v>999</v>
      </c>
      <c r="Z34" s="29" t="s">
        <v>551</v>
      </c>
      <c r="AA34" s="62"/>
      <c r="AC34" s="29">
        <v>999</v>
      </c>
      <c r="AD34" s="29" t="s">
        <v>551</v>
      </c>
      <c r="AE34" s="62"/>
      <c r="AF34" s="29" t="s">
        <v>548</v>
      </c>
      <c r="AG34" s="29" t="s">
        <v>546</v>
      </c>
      <c r="AH34" s="29" t="s">
        <v>546</v>
      </c>
      <c r="AI34" s="29" t="s">
        <v>548</v>
      </c>
      <c r="AJ34" s="29" t="s">
        <v>546</v>
      </c>
      <c r="AK34" s="29">
        <v>2</v>
      </c>
      <c r="AL34" s="29">
        <v>5</v>
      </c>
      <c r="AM34" s="29" t="s">
        <v>1036</v>
      </c>
      <c r="AN34" s="29" t="s">
        <v>1037</v>
      </c>
      <c r="AO34" s="29">
        <v>-4.3300871849060059</v>
      </c>
      <c r="AP34" s="29">
        <v>35.443668365478516</v>
      </c>
      <c r="AQ34" s="29">
        <v>1549.699951171875</v>
      </c>
      <c r="AR34" s="29">
        <v>5</v>
      </c>
      <c r="AS34" s="29">
        <v>1705231439</v>
      </c>
      <c r="AT34" s="29" t="s">
        <v>1038</v>
      </c>
      <c r="AU34" s="31">
        <v>42923.387141203704</v>
      </c>
      <c r="AV34" s="31">
        <v>42907.510914351849</v>
      </c>
      <c r="AW34" s="31">
        <v>42923.3825</v>
      </c>
      <c r="AX34" s="32">
        <v>42781</v>
      </c>
      <c r="AZ34" s="44">
        <v>3.9555000000000002</v>
      </c>
      <c r="BA34" s="44">
        <v>4.4749090909090903</v>
      </c>
      <c r="BB34" s="44">
        <v>4.5749360613810746</v>
      </c>
      <c r="BC34" s="44">
        <v>4.8368880455407979</v>
      </c>
      <c r="BD34" s="29" t="s">
        <v>2171</v>
      </c>
      <c r="BE34" s="29">
        <v>0</v>
      </c>
      <c r="BF34" s="29" t="str">
        <f>IF(BE34&lt;0.5,"Depression",IF(BE34&lt;2,"Very gentle",IF(BE34&lt;5,"Gentle",IF(BE34&lt;9,"Moderate",IF(BE34&lt;15,"Strong",IF(BE34&lt;30,"Steep",IF(BE34&lt;1,"Very steep")))))))</f>
        <v>Depression</v>
      </c>
      <c r="BG34" s="29" t="s">
        <v>2173</v>
      </c>
      <c r="BH34" s="29">
        <v>8.4776775111099995E-6</v>
      </c>
      <c r="BI34" s="43">
        <v>11.4374370575</v>
      </c>
      <c r="BJ34" s="43">
        <f>VLOOKUP(D34,[1]SoilData!$G$15:$K$237,5,FALSE)</f>
        <v>407.51114749361983</v>
      </c>
      <c r="BK34" s="43"/>
      <c r="BL34" s="43">
        <f>VLOOKUP(D34,[1]SoilData!$G$15:$M$238,7,FALSE)</f>
        <v>1.6459999999999999</v>
      </c>
      <c r="BM34" s="43"/>
      <c r="BN34" s="60"/>
      <c r="BO34" s="44">
        <f>AVERAGE(BB34:BC34)</f>
        <v>4.7059120534609367</v>
      </c>
      <c r="BP34" s="44">
        <f>AVERAGE(AZ34:BA34)</f>
        <v>4.2152045454545455</v>
      </c>
      <c r="BQ34" s="43">
        <f>BP34-BO34</f>
        <v>-0.49070750800639118</v>
      </c>
      <c r="BR34" s="64">
        <f>IF(W34&gt;0.000001,W34*352,0)</f>
        <v>0</v>
      </c>
      <c r="BS34" s="64">
        <f>IF(AE34&gt;0.0001,AE34*682,0)</f>
        <v>0</v>
      </c>
      <c r="BT34" s="64">
        <f>AA34*795</f>
        <v>0</v>
      </c>
      <c r="BU34" s="64">
        <f>BR34+BS34+BT34</f>
        <v>0</v>
      </c>
      <c r="BV34" s="64">
        <f>IF(G34="YES",3.5*18.2,0)</f>
        <v>63.699999999999996</v>
      </c>
      <c r="BW34" s="64">
        <f>BU34-BV34</f>
        <v>-63.699999999999996</v>
      </c>
    </row>
    <row r="35" spans="1:75" x14ac:dyDescent="0.15">
      <c r="A35" s="29" t="s">
        <v>556</v>
      </c>
      <c r="B35" s="29">
        <v>179</v>
      </c>
      <c r="C35" s="29" t="s">
        <v>660</v>
      </c>
      <c r="D35" s="29" t="s">
        <v>96</v>
      </c>
      <c r="E35" s="29" t="str">
        <f>VLOOKUP(D35,Harvest_2017_Formulae!$C$2:$D$968,2,FALSE)</f>
        <v>DURU</v>
      </c>
      <c r="F35" s="29" t="s">
        <v>645</v>
      </c>
      <c r="G35" s="61" t="s">
        <v>546</v>
      </c>
      <c r="H35" s="29" t="s">
        <v>547</v>
      </c>
      <c r="I35" s="29" t="s">
        <v>546</v>
      </c>
      <c r="J35" s="29" t="s">
        <v>546</v>
      </c>
      <c r="K35" s="29" t="s">
        <v>546</v>
      </c>
      <c r="L35" s="29" t="s">
        <v>2219</v>
      </c>
      <c r="M35" s="29" t="s">
        <v>546</v>
      </c>
      <c r="N35" s="29" t="s">
        <v>548</v>
      </c>
      <c r="O35" s="29" t="s">
        <v>550</v>
      </c>
      <c r="P35" s="29">
        <v>0.25</v>
      </c>
      <c r="Q35" s="29">
        <v>0.25</v>
      </c>
      <c r="S35" s="29" t="s">
        <v>548</v>
      </c>
      <c r="T35" s="29">
        <v>0.25</v>
      </c>
      <c r="U35" s="29">
        <v>3</v>
      </c>
      <c r="V35" s="29" t="s">
        <v>551</v>
      </c>
      <c r="W35" s="30">
        <v>2.8800000000000003</v>
      </c>
      <c r="Y35" s="29">
        <v>999</v>
      </c>
      <c r="Z35" s="29" t="s">
        <v>551</v>
      </c>
      <c r="AA35" s="62"/>
      <c r="AB35" s="29">
        <v>0.5</v>
      </c>
      <c r="AC35" s="29">
        <v>1</v>
      </c>
      <c r="AD35" s="29" t="s">
        <v>551</v>
      </c>
      <c r="AE35" s="62">
        <v>0.48</v>
      </c>
      <c r="AF35" s="29" t="s">
        <v>546</v>
      </c>
      <c r="AG35" s="29" t="s">
        <v>546</v>
      </c>
      <c r="AH35" s="29" t="s">
        <v>546</v>
      </c>
      <c r="AI35" s="29" t="s">
        <v>546</v>
      </c>
      <c r="AJ35" s="29" t="s">
        <v>546</v>
      </c>
      <c r="AK35" s="29">
        <v>0</v>
      </c>
      <c r="AL35" s="29">
        <v>2</v>
      </c>
      <c r="AM35" s="29" t="s">
        <v>661</v>
      </c>
      <c r="AN35" s="29" t="s">
        <v>662</v>
      </c>
      <c r="AO35" s="29">
        <v>-4.310173511505127</v>
      </c>
      <c r="AP35" s="29">
        <v>35.596302032470703</v>
      </c>
      <c r="AQ35" s="29">
        <v>1637.5</v>
      </c>
      <c r="AR35" s="29">
        <v>5</v>
      </c>
      <c r="AS35" s="29">
        <v>1706031849</v>
      </c>
      <c r="AT35" s="29" t="s">
        <v>663</v>
      </c>
      <c r="AU35" s="31">
        <v>42926.575868055559</v>
      </c>
      <c r="AV35" s="31">
        <v>42921.485393518524</v>
      </c>
      <c r="AW35" s="31">
        <v>42921.729143518518</v>
      </c>
      <c r="AX35" s="32">
        <v>42770</v>
      </c>
      <c r="AZ35" s="44">
        <v>4.1811188271604935</v>
      </c>
      <c r="BA35" s="44">
        <v>10.020370370370371</v>
      </c>
      <c r="BB35" s="44">
        <v>2.1583970856102006</v>
      </c>
      <c r="BC35" s="44">
        <v>0.89821493624772331</v>
      </c>
      <c r="BD35" s="29" t="s">
        <v>2180</v>
      </c>
      <c r="BE35" s="29">
        <v>4.7960176467900002</v>
      </c>
      <c r="BF35" s="29" t="str">
        <f>IF(BE35&lt;0.5,"Depression",IF(BE35&lt;2,"Very gentle",IF(BE35&lt;5,"Gentle",IF(BE35&lt;9,"Moderate",IF(BE35&lt;15,"Strong",IF(BE35&lt;30,"Steep",IF(BE35&lt;1,"Very steep")))))))</f>
        <v>Gentle</v>
      </c>
      <c r="BG35" s="29" t="s">
        <v>2173</v>
      </c>
      <c r="BH35" s="29">
        <v>0.18129228055499999</v>
      </c>
      <c r="BI35" s="43">
        <v>7.3213319778399999</v>
      </c>
      <c r="BJ35" s="43">
        <f>VLOOKUP(D35,[1]SoilData!$G$15:$K$237,5,FALSE)</f>
        <v>145.62949034461792</v>
      </c>
      <c r="BK35" s="43">
        <f>VLOOKUP(D35,[1]SoilData!$G$245:$K$451,5,FALSE)</f>
        <v>598.45102641279732</v>
      </c>
      <c r="BL35" s="43">
        <f>VLOOKUP(D35,[1]SoilData!$G$15:$M$238,7,FALSE)</f>
        <v>0.88</v>
      </c>
      <c r="BM35" s="43">
        <f>VLOOKUP(D35,[1]SoilData!$G$245:$M$454,7,FALSE)</f>
        <v>1.5820000000000001</v>
      </c>
      <c r="BN35" s="60">
        <f>BL35-BM35</f>
        <v>-0.70200000000000007</v>
      </c>
      <c r="BO35" s="44">
        <f>AVERAGE(BB35:BC35)</f>
        <v>1.5283060109289619</v>
      </c>
      <c r="BP35" s="44">
        <f>AVERAGE(AZ35:BA35)</f>
        <v>7.1007445987654325</v>
      </c>
      <c r="BQ35" s="43">
        <f>BP35-BO35</f>
        <v>5.5724385878364711</v>
      </c>
      <c r="BR35" s="64">
        <f>IF(W35&gt;0.000001,W35*352,0)</f>
        <v>1013.7600000000001</v>
      </c>
      <c r="BS35" s="64">
        <f>IF(AE35&gt;0.0001,AE35*682,0)</f>
        <v>327.36</v>
      </c>
      <c r="BT35" s="64">
        <f>AA35*795</f>
        <v>0</v>
      </c>
      <c r="BU35" s="64">
        <f>BR35+BS35+BT35</f>
        <v>1341.1200000000001</v>
      </c>
      <c r="BV35" s="64">
        <f>IF(G35="YES",3.5*18.2,0)</f>
        <v>0</v>
      </c>
      <c r="BW35" s="64">
        <f>BU35-BV35</f>
        <v>1341.1200000000001</v>
      </c>
    </row>
    <row r="36" spans="1:75" x14ac:dyDescent="0.15">
      <c r="A36" s="29" t="s">
        <v>556</v>
      </c>
      <c r="B36" s="29">
        <v>177</v>
      </c>
      <c r="C36" s="29" t="s">
        <v>329</v>
      </c>
      <c r="D36" s="29" t="s">
        <v>329</v>
      </c>
      <c r="E36" s="29" t="str">
        <f>VLOOKUP(D36,Harvest_2017_Formulae!$C$2:$D$968,2,FALSE)</f>
        <v>DURU</v>
      </c>
      <c r="F36" s="29" t="s">
        <v>645</v>
      </c>
      <c r="G36" s="61" t="s">
        <v>546</v>
      </c>
      <c r="H36" s="29" t="s">
        <v>547</v>
      </c>
      <c r="I36" s="29" t="s">
        <v>546</v>
      </c>
      <c r="J36" s="29" t="s">
        <v>546</v>
      </c>
      <c r="K36" s="29" t="s">
        <v>546</v>
      </c>
      <c r="L36" s="29" t="s">
        <v>2219</v>
      </c>
      <c r="M36" s="29" t="s">
        <v>546</v>
      </c>
      <c r="N36" s="29" t="s">
        <v>548</v>
      </c>
      <c r="O36" s="29" t="s">
        <v>550</v>
      </c>
      <c r="P36" s="29">
        <v>0.25</v>
      </c>
      <c r="Q36" s="29">
        <v>0.5</v>
      </c>
      <c r="S36" s="29" t="s">
        <v>548</v>
      </c>
      <c r="T36" s="29">
        <v>0.5</v>
      </c>
      <c r="U36" s="29">
        <v>4</v>
      </c>
      <c r="V36" s="29" t="s">
        <v>551</v>
      </c>
      <c r="W36" s="30">
        <v>1.92</v>
      </c>
      <c r="Y36" s="29">
        <v>999</v>
      </c>
      <c r="Z36" s="29" t="s">
        <v>551</v>
      </c>
      <c r="AA36" s="62"/>
      <c r="AB36" s="29">
        <v>0.5</v>
      </c>
      <c r="AC36" s="29">
        <v>4</v>
      </c>
      <c r="AD36" s="29" t="s">
        <v>551</v>
      </c>
      <c r="AE36" s="62">
        <v>1.92</v>
      </c>
      <c r="AF36" s="29" t="s">
        <v>546</v>
      </c>
      <c r="AG36" s="29" t="s">
        <v>546</v>
      </c>
      <c r="AH36" s="29" t="s">
        <v>546</v>
      </c>
      <c r="AI36" s="29" t="s">
        <v>546</v>
      </c>
      <c r="AJ36" s="29" t="s">
        <v>546</v>
      </c>
      <c r="AK36" s="29">
        <v>0</v>
      </c>
      <c r="AL36" s="29">
        <v>2</v>
      </c>
      <c r="AM36" s="29" t="s">
        <v>667</v>
      </c>
      <c r="AN36" s="29" t="s">
        <v>668</v>
      </c>
      <c r="AO36" s="29">
        <v>-4.3098268508911133</v>
      </c>
      <c r="AP36" s="29">
        <v>35.596477508544922</v>
      </c>
      <c r="AQ36" s="29">
        <v>1644.199951171875</v>
      </c>
      <c r="AR36" s="29">
        <v>5</v>
      </c>
      <c r="AS36" s="29">
        <v>1706031849</v>
      </c>
      <c r="AT36" s="29" t="s">
        <v>669</v>
      </c>
      <c r="AU36" s="31">
        <v>42926.575798611113</v>
      </c>
      <c r="AV36" s="31">
        <v>42921.480393518519</v>
      </c>
      <c r="AW36" s="31">
        <v>42921.734722222223</v>
      </c>
      <c r="AX36" s="32">
        <v>42762</v>
      </c>
      <c r="AZ36" s="44">
        <v>5.128579234972678</v>
      </c>
      <c r="BA36" s="44">
        <v>4.8093442622950819</v>
      </c>
      <c r="BB36" s="44">
        <v>4.7427160493827163</v>
      </c>
      <c r="BC36" s="44">
        <v>1.8320987654320988</v>
      </c>
      <c r="BD36" s="29" t="s">
        <v>2181</v>
      </c>
      <c r="BE36" s="29">
        <v>2.5552546978000001</v>
      </c>
      <c r="BF36" s="29" t="str">
        <f>IF(BE36&lt;0.5,"Depression",IF(BE36&lt;2,"Very gentle",IF(BE36&lt;5,"Gentle",IF(BE36&lt;9,"Moderate",IF(BE36&lt;15,"Strong",IF(BE36&lt;30,"Steep",IF(BE36&lt;1,"Very steep")))))))</f>
        <v>Gentle</v>
      </c>
      <c r="BG36" s="29" t="s">
        <v>2182</v>
      </c>
      <c r="BH36" s="29">
        <v>1.35963702202</v>
      </c>
      <c r="BI36" s="43">
        <v>7.52337741852</v>
      </c>
      <c r="BJ36" s="43">
        <f>VLOOKUP(D36,[1]SoilData!$G$15:$K$237,5,FALSE)</f>
        <v>424.28889715580522</v>
      </c>
      <c r="BK36" s="43">
        <f>VLOOKUP(D36,[1]SoilData!$G$245:$K$451,5,FALSE)</f>
        <v>427.07549122391703</v>
      </c>
      <c r="BL36" s="43">
        <f>VLOOKUP(D36,[1]SoilData!$G$15:$M$238,7,FALSE)</f>
        <v>1.488</v>
      </c>
      <c r="BM36" s="43">
        <f>VLOOKUP(D36,[1]SoilData!$G$245:$M$454,7,FALSE)</f>
        <v>1.4910000000000001</v>
      </c>
      <c r="BN36" s="60">
        <f>BL36-BM36</f>
        <v>-3.0000000000001137E-3</v>
      </c>
      <c r="BO36" s="44">
        <f>AVERAGE(BB36:BC36)</f>
        <v>3.2874074074074073</v>
      </c>
      <c r="BP36" s="44">
        <f>AVERAGE(AZ36:BA36)</f>
        <v>4.9689617486338804</v>
      </c>
      <c r="BQ36" s="43">
        <f>BP36-BO36</f>
        <v>1.6815543412264731</v>
      </c>
      <c r="BR36" s="64">
        <f>IF(W36&gt;0.000001,W36*352,0)</f>
        <v>675.83999999999992</v>
      </c>
      <c r="BS36" s="64">
        <f>IF(AE36&gt;0.0001,AE36*682,0)</f>
        <v>1309.44</v>
      </c>
      <c r="BT36" s="64">
        <f>AA36*795</f>
        <v>0</v>
      </c>
      <c r="BU36" s="64">
        <f>BR36+BS36+BT36</f>
        <v>1985.28</v>
      </c>
      <c r="BV36" s="64">
        <f>IF(G36="YES",3.5*18.2,0)</f>
        <v>0</v>
      </c>
      <c r="BW36" s="64">
        <f>BU36-BV36</f>
        <v>1985.28</v>
      </c>
    </row>
    <row r="37" spans="1:75" x14ac:dyDescent="0.15">
      <c r="A37" s="29" t="s">
        <v>556</v>
      </c>
      <c r="B37" s="29">
        <v>228</v>
      </c>
      <c r="C37" s="29" t="s">
        <v>119</v>
      </c>
      <c r="D37" s="29" t="s">
        <v>119</v>
      </c>
      <c r="E37" s="29" t="str">
        <f>VLOOKUP(D37,Harvest_2017_Formulae!$C$2:$D$968,2,FALSE)</f>
        <v>ENDAGWE</v>
      </c>
      <c r="F37" s="29" t="s">
        <v>732</v>
      </c>
      <c r="G37" s="61" t="s">
        <v>546</v>
      </c>
      <c r="H37" s="29" t="s">
        <v>547</v>
      </c>
      <c r="I37" s="29" t="s">
        <v>546</v>
      </c>
      <c r="J37" s="29" t="s">
        <v>546</v>
      </c>
      <c r="K37" s="29" t="s">
        <v>546</v>
      </c>
      <c r="L37" s="29" t="s">
        <v>2219</v>
      </c>
      <c r="M37" s="29" t="s">
        <v>546</v>
      </c>
      <c r="N37" s="29" t="s">
        <v>546</v>
      </c>
      <c r="O37" s="29" t="s">
        <v>547</v>
      </c>
      <c r="P37" s="29">
        <v>0</v>
      </c>
      <c r="Q37" s="29">
        <v>0.25</v>
      </c>
      <c r="R37" s="29">
        <v>1.75</v>
      </c>
      <c r="S37" s="29" t="s">
        <v>548</v>
      </c>
      <c r="T37" s="29">
        <v>2</v>
      </c>
      <c r="U37" s="29">
        <v>12</v>
      </c>
      <c r="V37" s="29" t="s">
        <v>551</v>
      </c>
      <c r="W37" s="30">
        <v>1.4400000000000002</v>
      </c>
      <c r="Y37" s="29">
        <v>999</v>
      </c>
      <c r="Z37" s="29" t="s">
        <v>551</v>
      </c>
      <c r="AA37" s="62"/>
      <c r="AB37" s="29">
        <v>2</v>
      </c>
      <c r="AC37" s="29">
        <v>5</v>
      </c>
      <c r="AD37" s="29" t="s">
        <v>551</v>
      </c>
      <c r="AE37" s="62">
        <v>0.6</v>
      </c>
      <c r="AF37" s="29" t="s">
        <v>546</v>
      </c>
      <c r="AG37" s="29" t="s">
        <v>546</v>
      </c>
      <c r="AH37" s="29" t="s">
        <v>546</v>
      </c>
      <c r="AI37" s="29" t="s">
        <v>546</v>
      </c>
      <c r="AJ37" s="29" t="s">
        <v>546</v>
      </c>
      <c r="AK37" s="29">
        <v>0</v>
      </c>
      <c r="AL37" s="29">
        <v>2</v>
      </c>
      <c r="AM37" s="29" t="s">
        <v>737</v>
      </c>
      <c r="AN37" s="29" t="s">
        <v>738</v>
      </c>
      <c r="AO37" s="29">
        <v>-4.3860979080200195</v>
      </c>
      <c r="AP37" s="29">
        <v>35.655014038085938</v>
      </c>
      <c r="AQ37" s="29">
        <v>1659.4000244140625</v>
      </c>
      <c r="AR37" s="29">
        <v>5</v>
      </c>
      <c r="AS37" s="29">
        <v>1706031849</v>
      </c>
      <c r="AT37" s="29" t="s">
        <v>739</v>
      </c>
      <c r="AU37" s="31">
        <v>42951.014282407406</v>
      </c>
      <c r="AV37" s="31">
        <v>42935.514340277776</v>
      </c>
      <c r="AW37" s="31">
        <v>42951.00881944444</v>
      </c>
      <c r="AX37" s="32">
        <v>42796</v>
      </c>
      <c r="AZ37" s="44">
        <v>3.0666666666666664</v>
      </c>
      <c r="BA37" s="44">
        <v>4.673976608187135</v>
      </c>
      <c r="BB37" s="44">
        <v>2.0523076923076919</v>
      </c>
      <c r="BC37" s="44">
        <v>1.5003076923076921</v>
      </c>
      <c r="BD37" s="29" t="s">
        <v>2180</v>
      </c>
      <c r="BE37" s="29">
        <v>8.3536539077800001</v>
      </c>
      <c r="BF37" s="29" t="str">
        <f>IF(BE37&lt;0.5,"Depression",IF(BE37&lt;2,"Very gentle",IF(BE37&lt;5,"Gentle",IF(BE37&lt;9,"Moderate",IF(BE37&lt;15,"Strong",IF(BE37&lt;30,"Steep",IF(BE37&lt;1,"Very steep")))))))</f>
        <v>Moderate</v>
      </c>
      <c r="BG37" s="29" t="s">
        <v>2178</v>
      </c>
      <c r="BH37" s="29">
        <v>-9.0633422136300004E-2</v>
      </c>
      <c r="BI37" s="43">
        <v>7.43101072311</v>
      </c>
      <c r="BJ37" s="43">
        <f>VLOOKUP(D37,[1]SoilData!$G$15:$K$237,5,FALSE)</f>
        <v>293.45036204599444</v>
      </c>
      <c r="BK37" s="43">
        <f>VLOOKUP(D37,[1]SoilData!$G$245:$K$451,5,FALSE)</f>
        <v>46.728885009081537</v>
      </c>
      <c r="BL37" s="43">
        <f>VLOOKUP(D37,[1]SoilData!$G$15:$M$238,7,FALSE)</f>
        <v>0.89700000000000002</v>
      </c>
      <c r="BM37" s="43">
        <f>VLOOKUP(D37,[1]SoilData!$G$245:$M$454,7,FALSE)</f>
        <v>0.81499999999999995</v>
      </c>
      <c r="BN37" s="60">
        <f>BL37-BM37</f>
        <v>8.2000000000000073E-2</v>
      </c>
      <c r="BO37" s="44">
        <f>AVERAGE(BB37:BC37)</f>
        <v>1.7763076923076921</v>
      </c>
      <c r="BP37" s="44">
        <f>AVERAGE(AZ37:BA37)</f>
        <v>3.8703216374269007</v>
      </c>
      <c r="BQ37" s="43">
        <f>BP37-BO37</f>
        <v>2.0940139451192086</v>
      </c>
      <c r="BR37" s="64">
        <f>IF(W37&gt;0.000001,W37*352,0)</f>
        <v>506.88000000000005</v>
      </c>
      <c r="BS37" s="64">
        <f>IF(AE37&gt;0.0001,AE37*682,0)</f>
        <v>409.2</v>
      </c>
      <c r="BT37" s="64">
        <f>AA37*795</f>
        <v>0</v>
      </c>
      <c r="BU37" s="64">
        <f>BR37+BS37+BT37</f>
        <v>916.08</v>
      </c>
      <c r="BV37" s="64">
        <f>IF(G37="YES",3.5*18.2,0)</f>
        <v>0</v>
      </c>
      <c r="BW37" s="64">
        <f>BU37-BV37</f>
        <v>916.08</v>
      </c>
    </row>
    <row r="38" spans="1:75" x14ac:dyDescent="0.15">
      <c r="A38" s="29" t="s">
        <v>556</v>
      </c>
      <c r="B38" s="29">
        <v>229</v>
      </c>
      <c r="C38" s="29" t="s">
        <v>752</v>
      </c>
      <c r="D38" s="33" t="s">
        <v>126</v>
      </c>
      <c r="E38" s="29" t="str">
        <f>VLOOKUP(D38,Harvest_2017_Formulae!$C$2:$D$968,2,FALSE)</f>
        <v>ENDAGWE</v>
      </c>
      <c r="F38" s="29" t="s">
        <v>732</v>
      </c>
      <c r="G38" s="61" t="s">
        <v>546</v>
      </c>
      <c r="H38" s="29" t="s">
        <v>547</v>
      </c>
      <c r="I38" s="29" t="s">
        <v>546</v>
      </c>
      <c r="J38" s="29" t="s">
        <v>546</v>
      </c>
      <c r="K38" s="29" t="s">
        <v>546</v>
      </c>
      <c r="L38" s="29" t="s">
        <v>2219</v>
      </c>
      <c r="M38" s="29" t="s">
        <v>546</v>
      </c>
      <c r="N38" s="29" t="s">
        <v>546</v>
      </c>
      <c r="O38" s="29" t="s">
        <v>547</v>
      </c>
      <c r="P38" s="29">
        <v>0.25</v>
      </c>
      <c r="Q38" s="29">
        <v>0.75</v>
      </c>
      <c r="S38" s="29" t="s">
        <v>548</v>
      </c>
      <c r="T38" s="29">
        <v>1.5</v>
      </c>
      <c r="U38" s="29">
        <v>12</v>
      </c>
      <c r="V38" s="29" t="s">
        <v>551</v>
      </c>
      <c r="W38" s="30">
        <v>1.9200000000000002</v>
      </c>
      <c r="Y38" s="29">
        <v>999</v>
      </c>
      <c r="Z38" s="29" t="s">
        <v>551</v>
      </c>
      <c r="AA38" s="62"/>
      <c r="AB38" s="29">
        <v>1.5</v>
      </c>
      <c r="AC38" s="29">
        <v>2</v>
      </c>
      <c r="AD38" s="29" t="s">
        <v>551</v>
      </c>
      <c r="AE38" s="62">
        <v>0.32</v>
      </c>
      <c r="AF38" s="29" t="s">
        <v>546</v>
      </c>
      <c r="AG38" s="29" t="s">
        <v>546</v>
      </c>
      <c r="AH38" s="29" t="s">
        <v>546</v>
      </c>
      <c r="AI38" s="29" t="s">
        <v>546</v>
      </c>
      <c r="AJ38" s="29" t="s">
        <v>546</v>
      </c>
      <c r="AK38" s="29">
        <v>0</v>
      </c>
      <c r="AL38" s="29">
        <v>2</v>
      </c>
      <c r="AM38" s="29" t="s">
        <v>753</v>
      </c>
      <c r="AN38" s="29" t="s">
        <v>754</v>
      </c>
      <c r="AO38" s="29">
        <v>-4.3854074478149414</v>
      </c>
      <c r="AP38" s="29">
        <v>35.653667449951172</v>
      </c>
      <c r="AQ38" s="29">
        <v>1661</v>
      </c>
      <c r="AR38" s="29">
        <v>5</v>
      </c>
      <c r="AS38" s="29">
        <v>1706031849</v>
      </c>
      <c r="AT38" s="29" t="s">
        <v>755</v>
      </c>
      <c r="AU38" s="31">
        <v>42951.01427083333</v>
      </c>
      <c r="AV38" s="31">
        <v>42935.498159722221</v>
      </c>
      <c r="AW38" s="31">
        <v>42951.014097222222</v>
      </c>
      <c r="AX38" s="32">
        <v>42773</v>
      </c>
      <c r="AZ38" s="44">
        <v>3.1124007936507936</v>
      </c>
      <c r="BA38" s="44">
        <v>3.5065476190476188</v>
      </c>
      <c r="BB38" s="44">
        <v>1.7349382716049384</v>
      </c>
      <c r="BC38" s="44">
        <v>0.79979423868312749</v>
      </c>
      <c r="BD38" s="29" t="s">
        <v>2174</v>
      </c>
      <c r="BE38" s="29">
        <v>6.4429926872300003</v>
      </c>
      <c r="BF38" s="29" t="str">
        <f>IF(BE38&lt;0.5,"Depression",IF(BE38&lt;2,"Very gentle",IF(BE38&lt;5,"Gentle",IF(BE38&lt;9,"Moderate",IF(BE38&lt;15,"Strong",IF(BE38&lt;30,"Steep",IF(BE38&lt;1,"Very steep")))))))</f>
        <v>Moderate</v>
      </c>
      <c r="BG38" s="29" t="s">
        <v>2177</v>
      </c>
      <c r="BH38" s="29">
        <v>0.99706941842999997</v>
      </c>
      <c r="BI38" s="43">
        <v>7.3048858642600001</v>
      </c>
      <c r="BJ38" s="43">
        <f>VLOOKUP(D38,[1]SoilData!$G$15:$K$237,5,FALSE)</f>
        <v>328.42423259977534</v>
      </c>
      <c r="BK38" s="43">
        <f>VLOOKUP(D38,[1]SoilData!$G$245:$K$451,5,FALSE)</f>
        <v>122.06806408810331</v>
      </c>
      <c r="BL38" s="43">
        <f>VLOOKUP(D38,[1]SoilData!$G$15:$M$238,7,FALSE)</f>
        <v>1.236</v>
      </c>
      <c r="BM38" s="43">
        <f>VLOOKUP(D38,[1]SoilData!$G$245:$M$454,7,FALSE)</f>
        <v>1.0509999999999999</v>
      </c>
      <c r="BN38" s="60">
        <f>BL38-BM38</f>
        <v>0.18500000000000005</v>
      </c>
      <c r="BO38" s="44">
        <f>AVERAGE(BB38:BC38)</f>
        <v>1.267366255144033</v>
      </c>
      <c r="BP38" s="44">
        <f>AVERAGE(AZ38:BA38)</f>
        <v>3.309474206349206</v>
      </c>
      <c r="BQ38" s="43">
        <f>BP38-BO38</f>
        <v>2.042107951205173</v>
      </c>
      <c r="BR38" s="64">
        <f>IF(W38&gt;0.000001,W38*352,0)</f>
        <v>675.84</v>
      </c>
      <c r="BS38" s="64">
        <f>IF(AE38&gt;0.0001,AE38*682,0)</f>
        <v>218.24</v>
      </c>
      <c r="BT38" s="64">
        <f>AA38*795</f>
        <v>0</v>
      </c>
      <c r="BU38" s="64">
        <f>BR38+BS38+BT38</f>
        <v>894.08</v>
      </c>
      <c r="BV38" s="64">
        <f>IF(G38="YES",3.5*18.2,0)</f>
        <v>0</v>
      </c>
      <c r="BW38" s="64">
        <f>BU38-BV38</f>
        <v>894.08</v>
      </c>
    </row>
    <row r="39" spans="1:75" x14ac:dyDescent="0.15">
      <c r="A39" s="29" t="s">
        <v>556</v>
      </c>
      <c r="B39" s="29">
        <v>215</v>
      </c>
      <c r="C39" s="29" t="s">
        <v>345</v>
      </c>
      <c r="D39" s="29" t="s">
        <v>345</v>
      </c>
      <c r="E39" s="29" t="str">
        <f>VLOOKUP(D39,Harvest_2017_Formulae!$C$2:$D$968,2,FALSE)</f>
        <v>ENDAGWE</v>
      </c>
      <c r="F39" s="29" t="s">
        <v>732</v>
      </c>
      <c r="G39" s="61" t="s">
        <v>546</v>
      </c>
      <c r="H39" s="29" t="s">
        <v>547</v>
      </c>
      <c r="I39" s="29" t="s">
        <v>546</v>
      </c>
      <c r="J39" s="29" t="s">
        <v>546</v>
      </c>
      <c r="K39" s="29" t="s">
        <v>546</v>
      </c>
      <c r="L39" s="29" t="s">
        <v>2219</v>
      </c>
      <c r="M39" s="29" t="s">
        <v>546</v>
      </c>
      <c r="N39" s="29" t="s">
        <v>546</v>
      </c>
      <c r="O39" s="29" t="s">
        <v>547</v>
      </c>
      <c r="P39" s="29">
        <v>0.25</v>
      </c>
      <c r="Q39" s="29">
        <v>0.75</v>
      </c>
      <c r="S39" s="29" t="s">
        <v>546</v>
      </c>
      <c r="T39" s="29">
        <v>1</v>
      </c>
      <c r="U39" s="29">
        <v>3</v>
      </c>
      <c r="V39" s="29" t="s">
        <v>551</v>
      </c>
      <c r="W39" s="30">
        <v>0.72000000000000008</v>
      </c>
      <c r="Y39" s="29">
        <v>999</v>
      </c>
      <c r="Z39" s="29" t="s">
        <v>551</v>
      </c>
      <c r="AA39" s="62"/>
      <c r="AB39" s="29">
        <v>1</v>
      </c>
      <c r="AC39" s="29">
        <v>2</v>
      </c>
      <c r="AD39" s="29" t="s">
        <v>551</v>
      </c>
      <c r="AE39" s="62">
        <v>0.48</v>
      </c>
      <c r="AF39" s="29" t="s">
        <v>546</v>
      </c>
      <c r="AG39" s="29" t="s">
        <v>546</v>
      </c>
      <c r="AH39" s="29" t="s">
        <v>546</v>
      </c>
      <c r="AI39" s="29" t="s">
        <v>546</v>
      </c>
      <c r="AJ39" s="29" t="s">
        <v>546</v>
      </c>
      <c r="AK39" s="29">
        <v>0</v>
      </c>
      <c r="AL39" s="29">
        <v>2</v>
      </c>
      <c r="AM39" s="29" t="s">
        <v>782</v>
      </c>
      <c r="AN39" s="29" t="s">
        <v>783</v>
      </c>
      <c r="AO39" s="29">
        <v>-4.3547134399414062</v>
      </c>
      <c r="AP39" s="29">
        <v>35.649200439453125</v>
      </c>
      <c r="AQ39" s="29">
        <v>1602.9000244140625</v>
      </c>
      <c r="AR39" s="29">
        <v>5</v>
      </c>
      <c r="AS39" s="29">
        <v>1706031849</v>
      </c>
      <c r="AT39" s="29" t="s">
        <v>784</v>
      </c>
      <c r="AU39" s="31">
        <v>42950.967442129629</v>
      </c>
      <c r="AV39" s="31">
        <v>42934.52643518518</v>
      </c>
      <c r="AW39" s="31">
        <v>42950.903541666667</v>
      </c>
      <c r="AX39" s="32">
        <v>42770</v>
      </c>
      <c r="AZ39" s="44">
        <v>3.6637681159420294</v>
      </c>
      <c r="BA39" s="44">
        <v>5.0682125603864741</v>
      </c>
      <c r="BB39" s="44">
        <v>2.12780193236715</v>
      </c>
      <c r="BC39" s="44">
        <v>2.9897946859903386</v>
      </c>
      <c r="BD39" s="29" t="s">
        <v>2174</v>
      </c>
      <c r="BE39" s="29">
        <v>5.1887135505700002</v>
      </c>
      <c r="BF39" s="29" t="str">
        <f>IF(BE39&lt;0.5,"Depression",IF(BE39&lt;2,"Very gentle",IF(BE39&lt;5,"Gentle",IF(BE39&lt;9,"Moderate",IF(BE39&lt;15,"Strong",IF(BE39&lt;30,"Steep",IF(BE39&lt;1,"Very steep")))))))</f>
        <v>Moderate</v>
      </c>
      <c r="BG39" s="29" t="s">
        <v>2178</v>
      </c>
      <c r="BH39" s="29">
        <v>0.45321798324599999</v>
      </c>
      <c r="BI39" s="43">
        <v>7.4710698127699997</v>
      </c>
      <c r="BJ39" s="43">
        <f>VLOOKUP(D39,[1]SoilData!$G$15:$K$237,5,FALSE)</f>
        <v>661.59333558048854</v>
      </c>
      <c r="BK39" s="43">
        <f>VLOOKUP(D39,[1]SoilData!$G$245:$K$451,5,FALSE)</f>
        <v>373.03768478836628</v>
      </c>
      <c r="BL39" s="43">
        <f>VLOOKUP(D39,[1]SoilData!$G$15:$M$238,7,FALSE)</f>
        <v>2.198</v>
      </c>
      <c r="BM39" s="43">
        <f>VLOOKUP(D39,[1]SoilData!$G$245:$M$454,7,FALSE)</f>
        <v>1.6970000000000001</v>
      </c>
      <c r="BN39" s="60">
        <f>BL39-BM39</f>
        <v>0.50099999999999989</v>
      </c>
      <c r="BO39" s="44">
        <f>AVERAGE(BB39:BC39)</f>
        <v>2.5587983091787443</v>
      </c>
      <c r="BP39" s="44">
        <f>AVERAGE(AZ39:BA39)</f>
        <v>4.3659903381642522</v>
      </c>
      <c r="BQ39" s="43">
        <f>BP39-BO39</f>
        <v>1.8071920289855079</v>
      </c>
      <c r="BR39" s="64">
        <f>IF(W39&gt;0.000001,W39*352,0)</f>
        <v>253.44000000000003</v>
      </c>
      <c r="BS39" s="64">
        <f>IF(AE39&gt;0.0001,AE39*682,0)</f>
        <v>327.36</v>
      </c>
      <c r="BT39" s="64">
        <f>AA39*795</f>
        <v>0</v>
      </c>
      <c r="BU39" s="64">
        <f>BR39+BS39+BT39</f>
        <v>580.80000000000007</v>
      </c>
      <c r="BV39" s="64">
        <f>IF(G39="YES",3.5*18.2,0)</f>
        <v>0</v>
      </c>
      <c r="BW39" s="64">
        <f>BU39-BV39</f>
        <v>580.80000000000007</v>
      </c>
    </row>
    <row r="40" spans="1:75" x14ac:dyDescent="0.15">
      <c r="A40" s="29" t="s">
        <v>556</v>
      </c>
      <c r="B40" s="29">
        <v>230</v>
      </c>
      <c r="C40" s="29" t="s">
        <v>403</v>
      </c>
      <c r="D40" s="29" t="s">
        <v>403</v>
      </c>
      <c r="E40" s="29" t="str">
        <f>VLOOKUP(D40,Harvest_2017_Formulae!$C$2:$D$968,2,FALSE)</f>
        <v>TSAMASI</v>
      </c>
      <c r="F40" s="29" t="s">
        <v>1014</v>
      </c>
      <c r="G40" s="61" t="s">
        <v>546</v>
      </c>
      <c r="H40" s="29" t="s">
        <v>547</v>
      </c>
      <c r="I40" s="29" t="s">
        <v>546</v>
      </c>
      <c r="J40" s="29" t="s">
        <v>546</v>
      </c>
      <c r="K40" s="29" t="s">
        <v>546</v>
      </c>
      <c r="L40" s="29" t="s">
        <v>2219</v>
      </c>
      <c r="M40" s="29" t="s">
        <v>546</v>
      </c>
      <c r="N40" s="29" t="s">
        <v>546</v>
      </c>
      <c r="O40" s="29" t="s">
        <v>547</v>
      </c>
      <c r="P40" s="29">
        <v>0.25</v>
      </c>
      <c r="Q40" s="29">
        <v>0.75</v>
      </c>
      <c r="S40" s="29" t="s">
        <v>548</v>
      </c>
      <c r="T40" s="29">
        <v>1</v>
      </c>
      <c r="U40" s="29">
        <v>4</v>
      </c>
      <c r="V40" s="29" t="s">
        <v>551</v>
      </c>
      <c r="W40" s="30">
        <v>0.96</v>
      </c>
      <c r="Y40" s="29">
        <v>999</v>
      </c>
      <c r="Z40" s="29" t="s">
        <v>551</v>
      </c>
      <c r="AA40" s="62"/>
      <c r="AB40" s="29">
        <v>1</v>
      </c>
      <c r="AC40" s="29">
        <v>4</v>
      </c>
      <c r="AD40" s="29" t="s">
        <v>552</v>
      </c>
      <c r="AE40" s="62">
        <v>0.16031999999999999</v>
      </c>
      <c r="AF40" s="29" t="s">
        <v>546</v>
      </c>
      <c r="AG40" s="29" t="s">
        <v>546</v>
      </c>
      <c r="AH40" s="29" t="s">
        <v>546</v>
      </c>
      <c r="AI40" s="29" t="s">
        <v>546</v>
      </c>
      <c r="AJ40" s="29" t="s">
        <v>546</v>
      </c>
      <c r="AK40" s="29">
        <v>0</v>
      </c>
      <c r="AL40" s="29">
        <v>2</v>
      </c>
      <c r="AM40" s="29" t="s">
        <v>1365</v>
      </c>
      <c r="AN40" s="29" t="s">
        <v>1366</v>
      </c>
      <c r="AO40" s="29">
        <v>-4.294283390045166</v>
      </c>
      <c r="AP40" s="29">
        <v>35.813655853271484</v>
      </c>
      <c r="AQ40" s="29">
        <v>1377.0999755859375</v>
      </c>
      <c r="AR40" s="29">
        <v>5</v>
      </c>
      <c r="AS40" s="29">
        <v>1706031849</v>
      </c>
      <c r="AT40" s="29" t="s">
        <v>1367</v>
      </c>
      <c r="AU40" s="31">
        <v>42951.014293981483</v>
      </c>
      <c r="AV40" s="31">
        <v>42938.556921296295</v>
      </c>
      <c r="AW40" s="31">
        <v>42951.011446759258</v>
      </c>
      <c r="AX40" s="32">
        <v>42774</v>
      </c>
      <c r="AZ40" s="44">
        <v>0.72891975308641976</v>
      </c>
      <c r="BA40" s="44">
        <v>0.74665895061728393</v>
      </c>
      <c r="BB40" s="44">
        <v>1.8089954337899545</v>
      </c>
      <c r="BC40" s="44">
        <v>1.8455936073059362</v>
      </c>
      <c r="BD40" s="29" t="s">
        <v>2174</v>
      </c>
      <c r="BE40" s="29">
        <v>10.450006484999999</v>
      </c>
      <c r="BF40" s="29" t="str">
        <f>IF(BE40&lt;0.5,"Depression",IF(BE40&lt;2,"Very gentle",IF(BE40&lt;5,"Gentle",IF(BE40&lt;9,"Moderate",IF(BE40&lt;15,"Strong",IF(BE40&lt;30,"Steep",IF(BE40&lt;1,"Very steep")))))))</f>
        <v>Strong</v>
      </c>
      <c r="BG40" s="29" t="s">
        <v>2177</v>
      </c>
      <c r="BH40" s="29">
        <v>0.815785527229</v>
      </c>
      <c r="BI40" s="43">
        <v>6.82558727264</v>
      </c>
      <c r="BJ40" s="43">
        <f>VLOOKUP(D40,[1]SoilData!$G$15:$K$237,5,FALSE)</f>
        <v>6.3412939092600542</v>
      </c>
      <c r="BK40" s="43">
        <f>VLOOKUP(D40,[1]SoilData!$G$245:$K$451,5,FALSE)</f>
        <v>281.01808577952613</v>
      </c>
      <c r="BL40" s="43">
        <f>VLOOKUP(D40,[1]SoilData!$G$15:$M$238,7,FALSE)</f>
        <v>0.81499999999999995</v>
      </c>
      <c r="BM40" s="43">
        <f>VLOOKUP(D40,[1]SoilData!$G$245:$M$454,7,FALSE)</f>
        <v>1.1679999999999999</v>
      </c>
      <c r="BN40" s="60">
        <f>BL40-BM40</f>
        <v>-0.35299999999999998</v>
      </c>
      <c r="BO40" s="44">
        <f>AVERAGE(BB40:BC40)</f>
        <v>1.8272945205479454</v>
      </c>
      <c r="BP40" s="44">
        <f>AVERAGE(AZ40:BA40)</f>
        <v>0.7377893518518519</v>
      </c>
      <c r="BQ40" s="43">
        <f>BP40-BO40</f>
        <v>-1.0895051686960935</v>
      </c>
      <c r="BR40" s="64">
        <f>IF(W40&gt;0.000001,W40*352,0)</f>
        <v>337.91999999999996</v>
      </c>
      <c r="BS40" s="64">
        <f>IF(AE40&gt;0.0001,AE40*682,0)</f>
        <v>109.33824</v>
      </c>
      <c r="BT40" s="64">
        <f>AA40*795</f>
        <v>0</v>
      </c>
      <c r="BU40" s="64">
        <f>BR40+BS40+BT40</f>
        <v>447.25823999999994</v>
      </c>
      <c r="BV40" s="64">
        <f>IF(G40="YES",3.5*18.2,0)</f>
        <v>0</v>
      </c>
      <c r="BW40" s="64">
        <f>BU40-BV40</f>
        <v>447.25823999999994</v>
      </c>
    </row>
    <row r="41" spans="1:75" x14ac:dyDescent="0.15">
      <c r="A41" s="29" t="s">
        <v>556</v>
      </c>
      <c r="B41" s="29">
        <v>178</v>
      </c>
      <c r="C41" s="29" t="s">
        <v>656</v>
      </c>
      <c r="D41" s="29" t="s">
        <v>327</v>
      </c>
      <c r="E41" s="29" t="str">
        <f>VLOOKUP(D41,Harvest_2017_Formulae!$C$2:$D$968,2,FALSE)</f>
        <v>DURU</v>
      </c>
      <c r="F41" s="29" t="s">
        <v>645</v>
      </c>
      <c r="G41" s="61" t="s">
        <v>548</v>
      </c>
      <c r="H41" s="29" t="s">
        <v>614</v>
      </c>
      <c r="I41" s="29" t="s">
        <v>546</v>
      </c>
      <c r="J41" s="29" t="s">
        <v>546</v>
      </c>
      <c r="K41" s="29" t="s">
        <v>546</v>
      </c>
      <c r="L41" s="29" t="s">
        <v>2219</v>
      </c>
      <c r="M41" s="29" t="s">
        <v>546</v>
      </c>
      <c r="N41" s="29" t="s">
        <v>548</v>
      </c>
      <c r="O41" s="29" t="s">
        <v>550</v>
      </c>
      <c r="P41" s="29">
        <v>0.25</v>
      </c>
      <c r="Q41" s="29">
        <v>0.25</v>
      </c>
      <c r="S41" s="29" t="s">
        <v>548</v>
      </c>
      <c r="T41" s="29">
        <v>0.25</v>
      </c>
      <c r="U41" s="29">
        <v>3</v>
      </c>
      <c r="V41" s="29" t="s">
        <v>551</v>
      </c>
      <c r="W41" s="30">
        <v>2.8800000000000003</v>
      </c>
      <c r="Y41" s="29">
        <v>999</v>
      </c>
      <c r="Z41" s="29" t="s">
        <v>551</v>
      </c>
      <c r="AA41" s="62"/>
      <c r="AB41" s="29">
        <v>0.25</v>
      </c>
      <c r="AC41" s="29">
        <v>5</v>
      </c>
      <c r="AD41" s="29" t="s">
        <v>552</v>
      </c>
      <c r="AE41" s="62">
        <v>0.80159999999999998</v>
      </c>
      <c r="AF41" s="29" t="s">
        <v>546</v>
      </c>
      <c r="AG41" s="29" t="s">
        <v>546</v>
      </c>
      <c r="AH41" s="29" t="s">
        <v>546</v>
      </c>
      <c r="AI41" s="29" t="s">
        <v>546</v>
      </c>
      <c r="AJ41" s="29" t="s">
        <v>546</v>
      </c>
      <c r="AK41" s="29">
        <v>0</v>
      </c>
      <c r="AL41" s="29">
        <v>3</v>
      </c>
      <c r="AM41" s="29" t="s">
        <v>657</v>
      </c>
      <c r="AN41" s="29" t="s">
        <v>658</v>
      </c>
      <c r="AO41" s="29">
        <v>-4.3101954460144043</v>
      </c>
      <c r="AP41" s="29">
        <v>35.596420288085938</v>
      </c>
      <c r="AQ41" s="29">
        <v>1636.4000244140625</v>
      </c>
      <c r="AR41" s="29">
        <v>5</v>
      </c>
      <c r="AS41" s="29">
        <v>1706031849</v>
      </c>
      <c r="AT41" s="29" t="s">
        <v>659</v>
      </c>
      <c r="AU41" s="31">
        <v>42926.575833333336</v>
      </c>
      <c r="AV41" s="31">
        <v>42921.482060185182</v>
      </c>
      <c r="AW41" s="31">
        <v>42921.713842592595</v>
      </c>
      <c r="AX41" s="32">
        <v>42770</v>
      </c>
      <c r="AZ41" s="44">
        <v>3.0334697855750496</v>
      </c>
      <c r="BA41" s="44">
        <v>2.3793177387914239</v>
      </c>
      <c r="BB41" s="44">
        <v>3.1139412997903562</v>
      </c>
      <c r="BC41" s="44">
        <v>3.4406498951781974</v>
      </c>
      <c r="BD41" s="29" t="s">
        <v>2180</v>
      </c>
      <c r="BE41" s="29">
        <v>4.7960176467900002</v>
      </c>
      <c r="BF41" s="29" t="str">
        <f>IF(BE41&lt;0.5,"Depression",IF(BE41&lt;2,"Very gentle",IF(BE41&lt;5,"Gentle",IF(BE41&lt;9,"Moderate",IF(BE41&lt;15,"Strong",IF(BE41&lt;30,"Steep",IF(BE41&lt;1,"Very steep")))))))</f>
        <v>Gentle</v>
      </c>
      <c r="BG41" s="29" t="s">
        <v>2173</v>
      </c>
      <c r="BH41" s="29">
        <v>0.18129228055499999</v>
      </c>
      <c r="BI41" s="43">
        <v>7.3213319778399999</v>
      </c>
      <c r="BJ41" s="43">
        <f>VLOOKUP(D41,[1]SoilData!$G$15:$K$237,5,FALSE)</f>
        <v>449.36824376881202</v>
      </c>
      <c r="BK41" s="43">
        <f>VLOOKUP(D41,[1]SoilData!$G$245:$K$451,5,FALSE)</f>
        <v>414.53581791741368</v>
      </c>
      <c r="BL41" s="43">
        <f>VLOOKUP(D41,[1]SoilData!$G$15:$M$238,7,FALSE)</f>
        <v>1.262</v>
      </c>
      <c r="BM41" s="43">
        <f>VLOOKUP(D41,[1]SoilData!$G$245:$M$454,7,FALSE)</f>
        <v>1.542</v>
      </c>
      <c r="BN41" s="60">
        <f>BL41-BM41</f>
        <v>-0.28000000000000003</v>
      </c>
      <c r="BO41" s="44">
        <f>AVERAGE(BB41:BC41)</f>
        <v>3.2772955974842768</v>
      </c>
      <c r="BP41" s="44">
        <f>AVERAGE(AZ41:BA41)</f>
        <v>2.7063937621832368</v>
      </c>
      <c r="BQ41" s="43">
        <f>BP41-BO41</f>
        <v>-0.57090183530103999</v>
      </c>
      <c r="BR41" s="64">
        <f>IF(W41&gt;0.000001,W41*352,0)</f>
        <v>1013.7600000000001</v>
      </c>
      <c r="BS41" s="64">
        <f>IF(AE41&gt;0.0001,AE41*682,0)</f>
        <v>546.69119999999998</v>
      </c>
      <c r="BT41" s="64">
        <f>AA41*795</f>
        <v>0</v>
      </c>
      <c r="BU41" s="64">
        <f>BR41+BS41+BT41</f>
        <v>1560.4512</v>
      </c>
      <c r="BV41" s="64">
        <f>IF(G41="YES",3.5*18.2,0)</f>
        <v>63.699999999999996</v>
      </c>
      <c r="BW41" s="64">
        <f>BU41-BV41</f>
        <v>1496.7511999999999</v>
      </c>
    </row>
    <row r="42" spans="1:75" x14ac:dyDescent="0.15">
      <c r="A42" s="29" t="s">
        <v>1182</v>
      </c>
      <c r="B42" s="29">
        <v>86</v>
      </c>
      <c r="C42" s="29" t="s">
        <v>1462</v>
      </c>
      <c r="D42" s="29" t="s">
        <v>1462</v>
      </c>
      <c r="E42" s="29" t="e">
        <f>VLOOKUP(D42,Harvest_2017_Formulae!$C$2:$D$968,2,FALSE)</f>
        <v>#N/A</v>
      </c>
      <c r="F42" s="29" t="s">
        <v>1175</v>
      </c>
      <c r="G42" s="61" t="s">
        <v>548</v>
      </c>
      <c r="H42" s="29" t="s">
        <v>568</v>
      </c>
      <c r="I42" s="29" t="s">
        <v>548</v>
      </c>
      <c r="J42" s="29" t="s">
        <v>546</v>
      </c>
      <c r="K42" s="29" t="s">
        <v>546</v>
      </c>
      <c r="L42" s="29" t="s">
        <v>2219</v>
      </c>
      <c r="M42" s="29" t="s">
        <v>546</v>
      </c>
      <c r="N42" s="29" t="s">
        <v>546</v>
      </c>
      <c r="O42" s="29" t="s">
        <v>547</v>
      </c>
      <c r="P42" s="29">
        <v>0</v>
      </c>
      <c r="Q42" s="29">
        <v>0.75</v>
      </c>
      <c r="R42" s="29">
        <v>0</v>
      </c>
      <c r="S42" s="29" t="s">
        <v>546</v>
      </c>
      <c r="T42" s="29">
        <v>1</v>
      </c>
      <c r="U42" s="29">
        <v>2</v>
      </c>
      <c r="V42" s="29" t="s">
        <v>551</v>
      </c>
      <c r="W42" s="30">
        <v>0.48</v>
      </c>
      <c r="X42" s="29">
        <v>1</v>
      </c>
      <c r="Y42" s="29">
        <v>0.20000000298023224</v>
      </c>
      <c r="Z42" s="29" t="s">
        <v>551</v>
      </c>
      <c r="AA42" s="62">
        <v>4.8000000715255738E-2</v>
      </c>
      <c r="AB42" s="29">
        <v>1</v>
      </c>
      <c r="AC42" s="29">
        <v>0.20000000298023224</v>
      </c>
      <c r="AD42" s="29" t="s">
        <v>551</v>
      </c>
      <c r="AE42" s="62">
        <v>4.8000000715255738E-2</v>
      </c>
      <c r="AF42" s="29" t="s">
        <v>546</v>
      </c>
      <c r="AG42" s="29" t="s">
        <v>546</v>
      </c>
      <c r="AH42" s="29" t="s">
        <v>546</v>
      </c>
      <c r="AI42" s="29" t="s">
        <v>548</v>
      </c>
      <c r="AJ42" s="29" t="s">
        <v>548</v>
      </c>
      <c r="AK42" s="29">
        <v>2</v>
      </c>
      <c r="AL42" s="29">
        <v>3</v>
      </c>
      <c r="AM42" s="29" t="s">
        <v>1463</v>
      </c>
      <c r="AN42" s="29" t="s">
        <v>1464</v>
      </c>
      <c r="AO42" s="29">
        <v>-4.3513932228088379</v>
      </c>
      <c r="AP42" s="29">
        <v>35.466178894042969</v>
      </c>
      <c r="AQ42" s="29">
        <v>1658.4000244140625</v>
      </c>
      <c r="AR42" s="29">
        <v>15</v>
      </c>
      <c r="AS42" s="29">
        <v>1705231439</v>
      </c>
      <c r="AT42" s="29" t="s">
        <v>1465</v>
      </c>
      <c r="AU42" s="31">
        <v>42927.345266203702</v>
      </c>
      <c r="AV42" s="31">
        <v>42894.533541666664</v>
      </c>
      <c r="AW42" s="31">
        <v>42927.344236111108</v>
      </c>
      <c r="AX42" s="32">
        <v>42762</v>
      </c>
      <c r="BD42" s="29" t="s">
        <v>2171</v>
      </c>
      <c r="BE42" s="29">
        <v>3.5062229633299999</v>
      </c>
      <c r="BF42" s="29" t="str">
        <f>IF(BE42&lt;0.5,"Depression",IF(BE42&lt;2,"Very gentle",IF(BE42&lt;5,"Gentle",IF(BE42&lt;9,"Moderate",IF(BE42&lt;15,"Strong",IF(BE42&lt;30,"Steep",IF(BE42&lt;1,"Very steep")))))))</f>
        <v>Gentle</v>
      </c>
      <c r="BG42" s="29" t="s">
        <v>2173</v>
      </c>
      <c r="BH42" s="29">
        <v>8.4776775111099995E-6</v>
      </c>
      <c r="BI42" s="43">
        <v>8.4191064834600002</v>
      </c>
      <c r="BJ42" s="43"/>
      <c r="BK42" s="43"/>
      <c r="BL42" s="43"/>
      <c r="BM42" s="43"/>
      <c r="BN42" s="60"/>
      <c r="BO42" s="43"/>
      <c r="BP42" s="43"/>
      <c r="BQ42" s="43"/>
      <c r="BR42" s="64">
        <f>IF(W42&gt;0.000001,W42*352,0)</f>
        <v>168.95999999999998</v>
      </c>
      <c r="BS42" s="64">
        <f>IF(AE42&gt;0.0001,AE42*682,0)</f>
        <v>32.736000487804411</v>
      </c>
      <c r="BT42" s="64">
        <f>AA42*795</f>
        <v>38.160000568628313</v>
      </c>
      <c r="BU42" s="64">
        <f>BR42+BS42+BT42</f>
        <v>239.85600105643269</v>
      </c>
      <c r="BV42" s="64">
        <f>IF(G42="YES",3.5*18.2,0)</f>
        <v>63.699999999999996</v>
      </c>
      <c r="BW42" s="64">
        <f>BU42-BV42</f>
        <v>176.1560010564327</v>
      </c>
    </row>
    <row r="43" spans="1:75" x14ac:dyDescent="0.15">
      <c r="A43" s="29" t="s">
        <v>573</v>
      </c>
      <c r="B43" s="29">
        <v>233</v>
      </c>
      <c r="C43" s="29" t="s">
        <v>574</v>
      </c>
      <c r="D43" s="33" t="s">
        <v>69</v>
      </c>
      <c r="E43" s="29" t="str">
        <f>VLOOKUP(D43,Harvest_2017_Formulae!$C$2:$D$968,2,FALSE)</f>
        <v>AYAMANGO</v>
      </c>
      <c r="F43" s="29" t="s">
        <v>196</v>
      </c>
      <c r="G43" s="61" t="s">
        <v>546</v>
      </c>
      <c r="H43" s="29" t="s">
        <v>547</v>
      </c>
      <c r="I43" s="29" t="s">
        <v>546</v>
      </c>
      <c r="J43" s="29" t="s">
        <v>546</v>
      </c>
      <c r="K43" s="29" t="s">
        <v>546</v>
      </c>
      <c r="L43" s="29" t="s">
        <v>2219</v>
      </c>
      <c r="M43" s="29" t="s">
        <v>546</v>
      </c>
      <c r="N43" s="29" t="s">
        <v>546</v>
      </c>
      <c r="O43" s="29" t="s">
        <v>547</v>
      </c>
      <c r="P43" s="29">
        <v>0.25</v>
      </c>
      <c r="Q43" s="29">
        <v>2.25</v>
      </c>
      <c r="S43" s="29" t="s">
        <v>548</v>
      </c>
      <c r="T43" s="29">
        <v>1.5</v>
      </c>
      <c r="U43" s="29">
        <v>12</v>
      </c>
      <c r="V43" s="29" t="s">
        <v>551</v>
      </c>
      <c r="W43" s="30">
        <v>1.9200000000000002</v>
      </c>
      <c r="Y43" s="29">
        <v>999</v>
      </c>
      <c r="Z43" s="29" t="s">
        <v>551</v>
      </c>
      <c r="AA43" s="62"/>
      <c r="AB43" s="29">
        <v>0.5</v>
      </c>
      <c r="AC43" s="29">
        <v>1</v>
      </c>
      <c r="AD43" s="29" t="s">
        <v>551</v>
      </c>
      <c r="AE43" s="62">
        <v>0.48</v>
      </c>
      <c r="AF43" s="29" t="s">
        <v>546</v>
      </c>
      <c r="AG43" s="29" t="s">
        <v>546</v>
      </c>
      <c r="AH43" s="29" t="s">
        <v>546</v>
      </c>
      <c r="AI43" s="29" t="s">
        <v>546</v>
      </c>
      <c r="AJ43" s="29" t="s">
        <v>546</v>
      </c>
      <c r="AK43" s="29">
        <v>0</v>
      </c>
      <c r="AL43" s="29">
        <v>1</v>
      </c>
      <c r="AM43" s="29" t="s">
        <v>576</v>
      </c>
      <c r="AN43" s="29" t="s">
        <v>577</v>
      </c>
      <c r="AO43" s="29">
        <v>-4.3398313522338867</v>
      </c>
      <c r="AP43" s="29">
        <v>35.44287109375</v>
      </c>
      <c r="AQ43" s="29">
        <v>1590.5999755859375</v>
      </c>
      <c r="AR43" s="29">
        <v>5</v>
      </c>
      <c r="AS43" s="29">
        <v>1706031849</v>
      </c>
      <c r="AT43" s="29" t="s">
        <v>578</v>
      </c>
      <c r="AU43" s="31">
        <v>42951.125902777778</v>
      </c>
      <c r="AV43" s="31">
        <v>42928.60802083333</v>
      </c>
      <c r="AW43" s="31">
        <v>42951.120011574079</v>
      </c>
      <c r="AX43" s="32">
        <v>42951</v>
      </c>
      <c r="AZ43" s="44">
        <v>0.6656293222683265</v>
      </c>
      <c r="BA43" s="44">
        <v>0.53884278469340718</v>
      </c>
      <c r="BB43" s="44">
        <v>1.14741816505302</v>
      </c>
      <c r="BC43" s="44">
        <v>1.6165283540802216</v>
      </c>
      <c r="BD43" s="29" t="s">
        <v>2171</v>
      </c>
      <c r="BE43" s="29">
        <v>3.3609845638300002</v>
      </c>
      <c r="BF43" s="29" t="str">
        <f>IF(BE43&lt;0.5,"Depression",IF(BE43&lt;2,"Very gentle",IF(BE43&lt;5,"Gentle",IF(BE43&lt;9,"Moderate",IF(BE43&lt;15,"Strong",IF(BE43&lt;30,"Steep",IF(BE43&lt;1,"Very steep")))))))</f>
        <v>Gentle</v>
      </c>
      <c r="BG43" s="29" t="s">
        <v>2173</v>
      </c>
      <c r="BH43" s="29">
        <v>-9.0633422136300004E-2</v>
      </c>
      <c r="BI43" s="43">
        <v>9.3972558975199991</v>
      </c>
      <c r="BJ43" s="43"/>
      <c r="BK43" s="43"/>
      <c r="BL43" s="43"/>
      <c r="BM43" s="43"/>
      <c r="BN43" s="60"/>
      <c r="BO43" s="44">
        <f>AVERAGE(BB43:BC43)</f>
        <v>1.3819732595666208</v>
      </c>
      <c r="BP43" s="44">
        <f>AVERAGE(AZ43:BA43)</f>
        <v>0.60223605348086684</v>
      </c>
      <c r="BQ43" s="43">
        <f>BP43-BO43</f>
        <v>-0.77973720608575392</v>
      </c>
      <c r="BR43" s="64">
        <f>IF(W43&gt;0.000001,W43*352,0)</f>
        <v>675.84</v>
      </c>
      <c r="BS43" s="64">
        <f>IF(AE43&gt;0.0001,AE43*682,0)</f>
        <v>327.36</v>
      </c>
      <c r="BT43" s="64">
        <f>AA43*795</f>
        <v>0</v>
      </c>
      <c r="BU43" s="64">
        <f>BR43+BS43+BT43</f>
        <v>1003.2</v>
      </c>
      <c r="BV43" s="64">
        <f>IF(G43="YES",3.5*18.2,0)</f>
        <v>0</v>
      </c>
      <c r="BW43" s="64">
        <f>BU43-BV43</f>
        <v>1003.2</v>
      </c>
    </row>
    <row r="44" spans="1:75" x14ac:dyDescent="0.15">
      <c r="A44" s="29" t="s">
        <v>544</v>
      </c>
      <c r="B44" s="29">
        <v>238</v>
      </c>
      <c r="C44" s="29" t="s">
        <v>573</v>
      </c>
      <c r="D44" s="29" t="s">
        <v>200</v>
      </c>
      <c r="E44" s="29" t="str">
        <f>VLOOKUP(D44,Harvest_2017_Formulae!$C$2:$D$968,2,FALSE)</f>
        <v>MANDI</v>
      </c>
      <c r="F44" s="29" t="s">
        <v>1042</v>
      </c>
      <c r="G44" s="61" t="s">
        <v>546</v>
      </c>
      <c r="H44" s="29" t="s">
        <v>547</v>
      </c>
      <c r="I44" s="29" t="s">
        <v>546</v>
      </c>
      <c r="J44" s="29" t="s">
        <v>546</v>
      </c>
      <c r="K44" s="29" t="s">
        <v>546</v>
      </c>
      <c r="L44" s="29" t="s">
        <v>2219</v>
      </c>
      <c r="M44" s="29" t="s">
        <v>546</v>
      </c>
      <c r="N44" s="29" t="s">
        <v>546</v>
      </c>
      <c r="O44" s="29" t="s">
        <v>547</v>
      </c>
      <c r="P44" s="29">
        <v>0.25</v>
      </c>
      <c r="S44" s="29" t="s">
        <v>546</v>
      </c>
      <c r="T44" s="29">
        <v>2</v>
      </c>
      <c r="U44" s="29">
        <v>14</v>
      </c>
      <c r="V44" s="29" t="s">
        <v>551</v>
      </c>
      <c r="W44" s="30">
        <v>1.6800000000000002</v>
      </c>
      <c r="Y44" s="29">
        <v>999</v>
      </c>
      <c r="Z44" s="29" t="s">
        <v>551</v>
      </c>
      <c r="AA44" s="62"/>
      <c r="AB44" s="29">
        <v>999</v>
      </c>
      <c r="AC44" s="29">
        <v>999</v>
      </c>
      <c r="AD44" s="29" t="s">
        <v>551</v>
      </c>
      <c r="AE44" s="62"/>
      <c r="AF44" s="29" t="s">
        <v>546</v>
      </c>
      <c r="AG44" s="29" t="s">
        <v>546</v>
      </c>
      <c r="AH44" s="29" t="s">
        <v>546</v>
      </c>
      <c r="AI44" s="29" t="s">
        <v>546</v>
      </c>
      <c r="AJ44" s="29" t="s">
        <v>546</v>
      </c>
      <c r="AK44" s="29">
        <v>0</v>
      </c>
      <c r="AL44" s="29">
        <v>2</v>
      </c>
      <c r="AM44" s="29" t="s">
        <v>1074</v>
      </c>
      <c r="AN44" s="29" t="s">
        <v>1075</v>
      </c>
      <c r="AO44" s="29">
        <v>-4.2970261573791504</v>
      </c>
      <c r="AP44" s="29">
        <v>35.864570617675781</v>
      </c>
      <c r="AQ44" s="29">
        <v>1262.4000244140625</v>
      </c>
      <c r="AR44" s="29">
        <v>5</v>
      </c>
      <c r="AS44" s="29">
        <v>1706031849</v>
      </c>
      <c r="AT44" s="29" t="s">
        <v>1076</v>
      </c>
      <c r="AU44" s="31">
        <v>42951.125937500001</v>
      </c>
      <c r="AV44" s="31">
        <v>42949.562291666662</v>
      </c>
      <c r="AW44" s="31">
        <v>42951.125740740739</v>
      </c>
      <c r="AX44" s="32">
        <v>42798</v>
      </c>
      <c r="AZ44" s="44"/>
      <c r="BA44" s="44">
        <v>3.710984848484848</v>
      </c>
      <c r="BB44" s="44">
        <v>1.8542592592592591</v>
      </c>
      <c r="BC44" s="44">
        <v>1.7088271604938272</v>
      </c>
      <c r="BD44" s="29" t="s">
        <v>2171</v>
      </c>
      <c r="BE44" s="29">
        <v>0.900638759136</v>
      </c>
      <c r="BF44" s="29" t="str">
        <f>IF(BE44&lt;0.5,"Depression",IF(BE44&lt;2,"Very gentle",IF(BE44&lt;5,"Gentle",IF(BE44&lt;9,"Moderate",IF(BE44&lt;15,"Strong",IF(BE44&lt;30,"Steep",IF(BE44&lt;1,"Very steep")))))))</f>
        <v>Very gentle</v>
      </c>
      <c r="BG44" s="29" t="s">
        <v>2173</v>
      </c>
      <c r="BH44" s="29">
        <v>0.18129228055499999</v>
      </c>
      <c r="BI44" s="43">
        <v>8.7377004623399994</v>
      </c>
      <c r="BJ44" s="56">
        <f>VLOOKUP(D44,[1]SoilData!$G$15:$K$237,5,FALSE)</f>
        <v>24.412648381751445</v>
      </c>
      <c r="BK44" s="43">
        <f>VLOOKUP(D44,[1]SoilData!$G$245:$K$451,5,FALSE)</f>
        <v>439.61516453042049</v>
      </c>
      <c r="BL44" s="43">
        <f>VLOOKUP(D44,[1]SoilData!$G$15:$M$238,7,FALSE)</f>
        <v>1.486</v>
      </c>
      <c r="BM44" s="43">
        <f>VLOOKUP(D44,[1]SoilData!$G$245:$M$454,7,FALSE)</f>
        <v>1.65</v>
      </c>
      <c r="BN44" s="60">
        <f>BL44-BM44</f>
        <v>-0.16399999999999992</v>
      </c>
      <c r="BO44" s="44">
        <f>AVERAGE(BB44:BC44)</f>
        <v>1.7815432098765431</v>
      </c>
      <c r="BP44" s="44">
        <f>AVERAGE(AZ44:BA44)</f>
        <v>3.710984848484848</v>
      </c>
      <c r="BQ44" s="43">
        <f>BP44-BO44</f>
        <v>1.9294416386083049</v>
      </c>
      <c r="BR44" s="64">
        <f>IF(W44&gt;0.000001,W44*352,0)</f>
        <v>591.36</v>
      </c>
      <c r="BS44" s="64">
        <f>IF(AE44&gt;0.0001,AE44*682,0)</f>
        <v>0</v>
      </c>
      <c r="BT44" s="64">
        <f>AA44*795</f>
        <v>0</v>
      </c>
      <c r="BU44" s="64">
        <f>BR44+BS44+BT44</f>
        <v>591.36</v>
      </c>
      <c r="BV44" s="64">
        <f>IF(G44="YES",3.5*18.2,0)</f>
        <v>0</v>
      </c>
      <c r="BW44" s="64">
        <f>BU44-BV44</f>
        <v>591.36</v>
      </c>
    </row>
    <row r="45" spans="1:75" x14ac:dyDescent="0.15">
      <c r="A45" s="29" t="s">
        <v>556</v>
      </c>
      <c r="B45" s="29">
        <v>163</v>
      </c>
      <c r="C45" s="29" t="s">
        <v>691</v>
      </c>
      <c r="D45" s="29" t="s">
        <v>336</v>
      </c>
      <c r="E45" s="29" t="str">
        <f>VLOOKUP(D45,Harvest_2017_Formulae!$C$2:$D$968,2,FALSE)</f>
        <v>DURU</v>
      </c>
      <c r="F45" s="29" t="s">
        <v>645</v>
      </c>
      <c r="G45" s="61" t="s">
        <v>548</v>
      </c>
      <c r="H45" s="29" t="s">
        <v>568</v>
      </c>
      <c r="I45" s="29" t="s">
        <v>546</v>
      </c>
      <c r="J45" s="29" t="s">
        <v>546</v>
      </c>
      <c r="K45" s="29" t="s">
        <v>546</v>
      </c>
      <c r="L45" s="29" t="s">
        <v>2219</v>
      </c>
      <c r="M45" s="29" t="s">
        <v>546</v>
      </c>
      <c r="N45" s="29" t="s">
        <v>546</v>
      </c>
      <c r="O45" s="29" t="s">
        <v>547</v>
      </c>
      <c r="P45" s="29">
        <v>0.25</v>
      </c>
      <c r="Q45" s="29">
        <v>1.75</v>
      </c>
      <c r="S45" s="29" t="s">
        <v>548</v>
      </c>
      <c r="T45" s="29">
        <v>2</v>
      </c>
      <c r="U45" s="29">
        <v>6</v>
      </c>
      <c r="V45" s="29" t="s">
        <v>551</v>
      </c>
      <c r="W45" s="30">
        <v>0.72000000000000008</v>
      </c>
      <c r="Y45" s="29">
        <v>999</v>
      </c>
      <c r="Z45" s="29" t="s">
        <v>551</v>
      </c>
      <c r="AA45" s="62"/>
      <c r="AB45" s="29">
        <v>2</v>
      </c>
      <c r="AC45" s="29">
        <v>2</v>
      </c>
      <c r="AD45" s="29" t="s">
        <v>551</v>
      </c>
      <c r="AE45" s="62">
        <v>0.24</v>
      </c>
      <c r="AF45" s="29" t="s">
        <v>548</v>
      </c>
      <c r="AG45" s="29" t="s">
        <v>548</v>
      </c>
      <c r="AH45" s="29" t="s">
        <v>548</v>
      </c>
      <c r="AI45" s="29" t="s">
        <v>548</v>
      </c>
      <c r="AJ45" s="29" t="s">
        <v>548</v>
      </c>
      <c r="AK45" s="29">
        <v>5</v>
      </c>
      <c r="AL45" s="29">
        <v>2</v>
      </c>
      <c r="AM45" s="29" t="s">
        <v>692</v>
      </c>
      <c r="AN45" s="29" t="s">
        <v>693</v>
      </c>
      <c r="AO45" s="29">
        <v>-4.3193278312683105</v>
      </c>
      <c r="AP45" s="29">
        <v>35.604427337646484</v>
      </c>
      <c r="AQ45" s="29">
        <v>1582.5999755859375</v>
      </c>
      <c r="AR45" s="29">
        <v>5</v>
      </c>
      <c r="AS45" s="29">
        <v>1706031849</v>
      </c>
      <c r="AT45" s="29" t="s">
        <v>694</v>
      </c>
      <c r="AU45" s="31">
        <v>42921.432523148149</v>
      </c>
      <c r="AV45" s="31">
        <v>42919.499236111107</v>
      </c>
      <c r="AW45" s="31">
        <v>42919.51180555555</v>
      </c>
      <c r="AX45" s="32">
        <v>42763</v>
      </c>
      <c r="AZ45" s="44">
        <v>4.4800000000000004</v>
      </c>
      <c r="BA45" s="44">
        <v>3.71</v>
      </c>
      <c r="BB45" s="44">
        <v>3.2060000000000004</v>
      </c>
      <c r="BC45" s="44">
        <v>2.8000000000000003</v>
      </c>
      <c r="BD45" s="29" t="s">
        <v>2175</v>
      </c>
      <c r="BE45" s="29">
        <v>12.7252845764</v>
      </c>
      <c r="BF45" s="29" t="str">
        <f>IF(BE45&lt;0.5,"Depression",IF(BE45&lt;2,"Very gentle",IF(BE45&lt;5,"Gentle",IF(BE45&lt;9,"Moderate",IF(BE45&lt;15,"Strong",IF(BE45&lt;30,"Steep",IF(BE45&lt;1,"Very steep")))))))</f>
        <v>Strong</v>
      </c>
      <c r="BG45" s="29" t="s">
        <v>2176</v>
      </c>
      <c r="BH45" s="29">
        <v>-1.35961997509</v>
      </c>
      <c r="BI45" s="43">
        <v>7.5343203544600001</v>
      </c>
      <c r="BJ45" s="43">
        <f>VLOOKUP(D45,[1]SoilData!$G$15:$K$237,5,FALSE)</f>
        <v>495.68682152580686</v>
      </c>
      <c r="BK45" s="43">
        <f>VLOOKUP(D45,[1]SoilData!$G$245:$K$451,5,FALSE)</f>
        <v>563.09897468574434</v>
      </c>
      <c r="BL45" s="43">
        <f>VLOOKUP(D45,[1]SoilData!$G$15:$M$238,7,FALSE)</f>
        <v>2.4119999999999999</v>
      </c>
      <c r="BM45" s="43">
        <f>VLOOKUP(D45,[1]SoilData!$G$245:$M$454,7,FALSE)</f>
        <v>2.1949999999999998</v>
      </c>
      <c r="BN45" s="60">
        <f>BL45-BM45</f>
        <v>0.21700000000000008</v>
      </c>
      <c r="BO45" s="44">
        <f>AVERAGE(BB45:BC45)</f>
        <v>3.0030000000000001</v>
      </c>
      <c r="BP45" s="44">
        <f>AVERAGE(AZ45:BA45)</f>
        <v>4.0950000000000006</v>
      </c>
      <c r="BQ45" s="43">
        <f>BP45-BO45</f>
        <v>1.0920000000000005</v>
      </c>
      <c r="BR45" s="64">
        <f>IF(W45&gt;0.000001,W45*352,0)</f>
        <v>253.44000000000003</v>
      </c>
      <c r="BS45" s="64">
        <f>IF(AE45&gt;0.0001,AE45*682,0)</f>
        <v>163.68</v>
      </c>
      <c r="BT45" s="64">
        <f>AA45*795</f>
        <v>0</v>
      </c>
      <c r="BU45" s="64">
        <f>BR45+BS45+BT45</f>
        <v>417.12</v>
      </c>
      <c r="BV45" s="64">
        <f>IF(G45="YES",3.5*18.2,0)</f>
        <v>63.699999999999996</v>
      </c>
      <c r="BW45" s="64">
        <f>BU45-BV45</f>
        <v>353.42</v>
      </c>
    </row>
    <row r="46" spans="1:75" x14ac:dyDescent="0.15">
      <c r="A46" s="29" t="s">
        <v>770</v>
      </c>
      <c r="B46" s="29">
        <v>235</v>
      </c>
      <c r="C46" s="29" t="s">
        <v>573</v>
      </c>
      <c r="D46" s="29" t="s">
        <v>125</v>
      </c>
      <c r="E46" s="29" t="str">
        <f>VLOOKUP(D46,Harvest_2017_Formulae!$C$2:$D$968,2,FALSE)</f>
        <v>ENDAGWE</v>
      </c>
      <c r="F46" s="29" t="s">
        <v>732</v>
      </c>
      <c r="G46" s="61" t="s">
        <v>546</v>
      </c>
      <c r="H46" s="29" t="s">
        <v>547</v>
      </c>
      <c r="I46" s="29" t="s">
        <v>546</v>
      </c>
      <c r="J46" s="29" t="s">
        <v>546</v>
      </c>
      <c r="K46" s="29" t="s">
        <v>546</v>
      </c>
      <c r="L46" s="29" t="s">
        <v>2219</v>
      </c>
      <c r="M46" s="29" t="s">
        <v>546</v>
      </c>
      <c r="N46" s="29" t="s">
        <v>546</v>
      </c>
      <c r="O46" s="29" t="s">
        <v>547</v>
      </c>
      <c r="P46" s="29">
        <v>0.25</v>
      </c>
      <c r="Q46" s="29">
        <v>2.75</v>
      </c>
      <c r="S46" s="29" t="s">
        <v>548</v>
      </c>
      <c r="T46" s="29">
        <v>2</v>
      </c>
      <c r="U46" s="29">
        <v>10</v>
      </c>
      <c r="V46" s="29" t="s">
        <v>551</v>
      </c>
      <c r="W46" s="30">
        <v>1.2</v>
      </c>
      <c r="Y46" s="29">
        <v>999</v>
      </c>
      <c r="Z46" s="29" t="s">
        <v>551</v>
      </c>
      <c r="AA46" s="62"/>
      <c r="AB46" s="29">
        <v>2</v>
      </c>
      <c r="AC46" s="29">
        <v>4</v>
      </c>
      <c r="AD46" s="29" t="s">
        <v>551</v>
      </c>
      <c r="AE46" s="62">
        <v>0.48</v>
      </c>
      <c r="AF46" s="29" t="s">
        <v>546</v>
      </c>
      <c r="AG46" s="29" t="s">
        <v>546</v>
      </c>
      <c r="AH46" s="29" t="s">
        <v>546</v>
      </c>
      <c r="AI46" s="29" t="s">
        <v>546</v>
      </c>
      <c r="AJ46" s="29" t="s">
        <v>546</v>
      </c>
      <c r="AK46" s="29">
        <v>0</v>
      </c>
      <c r="AL46" s="29">
        <v>1</v>
      </c>
      <c r="AM46" s="29" t="s">
        <v>771</v>
      </c>
      <c r="AN46" s="29" t="s">
        <v>772</v>
      </c>
      <c r="AO46" s="29">
        <v>-4.3537940979003906</v>
      </c>
      <c r="AP46" s="29">
        <v>35.646560668945312</v>
      </c>
      <c r="AQ46" s="29">
        <v>1611.9000244140625</v>
      </c>
      <c r="AR46" s="29">
        <v>5</v>
      </c>
      <c r="AS46" s="29">
        <v>1706031849</v>
      </c>
      <c r="AT46" s="29" t="s">
        <v>773</v>
      </c>
      <c r="AU46" s="31">
        <v>42951.125914351855</v>
      </c>
      <c r="AV46" s="31">
        <v>42934.415405092594</v>
      </c>
      <c r="AW46" s="31">
        <v>42951.028831018513</v>
      </c>
      <c r="AX46" s="32">
        <v>42790</v>
      </c>
      <c r="AZ46" s="44">
        <v>2.6414141414141419</v>
      </c>
      <c r="BA46" s="44">
        <v>2.5885858585858594</v>
      </c>
      <c r="BB46" s="44">
        <v>0.97472222222222227</v>
      </c>
      <c r="BC46" s="44">
        <v>0.63861111111111113</v>
      </c>
      <c r="BD46" s="29" t="s">
        <v>2171</v>
      </c>
      <c r="BE46" s="29">
        <v>0.900638759136</v>
      </c>
      <c r="BF46" s="29" t="str">
        <f>IF(BE46&lt;0.5,"Depression",IF(BE46&lt;2,"Very gentle",IF(BE46&lt;5,"Gentle",IF(BE46&lt;9,"Moderate",IF(BE46&lt;15,"Strong",IF(BE46&lt;30,"Steep",IF(BE46&lt;1,"Very steep")))))))</f>
        <v>Very gentle</v>
      </c>
      <c r="BG46" s="29" t="s">
        <v>2173</v>
      </c>
      <c r="BH46" s="29">
        <v>0.18129228055499999</v>
      </c>
      <c r="BI46" s="43">
        <v>8.7377004623399994</v>
      </c>
      <c r="BJ46" s="43">
        <f>VLOOKUP(D46,[1]SoilData!$G$15:$K$237,5,FALSE)</f>
        <v>53.838956036018736</v>
      </c>
      <c r="BK46" s="43">
        <f>VLOOKUP(D46,[1]SoilData!$G$245:$K$451,5,FALSE)</f>
        <v>178.96485770693903</v>
      </c>
      <c r="BL46" s="43">
        <f>VLOOKUP(D46,[1]SoilData!$G$15:$M$238,7,FALSE)</f>
        <v>0.88900000000000001</v>
      </c>
      <c r="BM46" s="43">
        <f>VLOOKUP(D46,[1]SoilData!$G$245:$M$454,7,FALSE)</f>
        <v>0.98299999999999998</v>
      </c>
      <c r="BN46" s="60">
        <f>BL46-BM46</f>
        <v>-9.3999999999999972E-2</v>
      </c>
      <c r="BO46" s="44">
        <f>AVERAGE(BB46:BC46)</f>
        <v>0.80666666666666664</v>
      </c>
      <c r="BP46" s="44">
        <f>AVERAGE(AZ46:BA46)</f>
        <v>2.6150000000000007</v>
      </c>
      <c r="BQ46" s="43">
        <f>BP46-BO46</f>
        <v>1.808333333333334</v>
      </c>
      <c r="BR46" s="64">
        <f>IF(W46&gt;0.000001,W46*352,0)</f>
        <v>422.4</v>
      </c>
      <c r="BS46" s="64">
        <f>IF(AE46&gt;0.0001,AE46*682,0)</f>
        <v>327.36</v>
      </c>
      <c r="BT46" s="64">
        <f>AA46*795</f>
        <v>0</v>
      </c>
      <c r="BU46" s="64">
        <f>BR46+BS46+BT46</f>
        <v>749.76</v>
      </c>
      <c r="BV46" s="64">
        <f>IF(G46="YES",3.5*18.2,0)</f>
        <v>0</v>
      </c>
      <c r="BW46" s="64">
        <f>BU46-BV46</f>
        <v>749.76</v>
      </c>
    </row>
    <row r="47" spans="1:75" x14ac:dyDescent="0.15">
      <c r="A47" s="29" t="s">
        <v>556</v>
      </c>
      <c r="B47" s="29">
        <v>234</v>
      </c>
      <c r="C47" s="29" t="s">
        <v>573</v>
      </c>
      <c r="D47" s="29" t="s">
        <v>418</v>
      </c>
      <c r="E47" s="29" t="str">
        <f>VLOOKUP(D47,Harvest_2017_Formulae!$C$2:$D$968,2,FALSE)</f>
        <v>ENDAGWE</v>
      </c>
      <c r="F47" s="29" t="s">
        <v>732</v>
      </c>
      <c r="G47" s="61" t="s">
        <v>546</v>
      </c>
      <c r="H47" s="29" t="s">
        <v>547</v>
      </c>
      <c r="I47" s="29" t="s">
        <v>546</v>
      </c>
      <c r="J47" s="29" t="s">
        <v>546</v>
      </c>
      <c r="K47" s="29" t="s">
        <v>546</v>
      </c>
      <c r="L47" s="29" t="s">
        <v>2220</v>
      </c>
      <c r="M47" s="29" t="s">
        <v>546</v>
      </c>
      <c r="N47" s="29" t="s">
        <v>546</v>
      </c>
      <c r="O47" s="29" t="s">
        <v>547</v>
      </c>
      <c r="P47" s="29">
        <v>0.25</v>
      </c>
      <c r="Q47" s="29">
        <v>0.75</v>
      </c>
      <c r="S47" s="29" t="s">
        <v>546</v>
      </c>
      <c r="T47" s="29">
        <v>4</v>
      </c>
      <c r="U47" s="29">
        <v>35</v>
      </c>
      <c r="V47" s="29" t="s">
        <v>551</v>
      </c>
      <c r="W47" s="30">
        <v>2.1</v>
      </c>
      <c r="Y47" s="29">
        <v>999</v>
      </c>
      <c r="Z47" s="29" t="s">
        <v>551</v>
      </c>
      <c r="AA47" s="62"/>
      <c r="AB47" s="29">
        <v>1</v>
      </c>
      <c r="AC47" s="29">
        <v>2.5</v>
      </c>
      <c r="AD47" s="29" t="s">
        <v>551</v>
      </c>
      <c r="AE47" s="62">
        <v>0.6</v>
      </c>
      <c r="AF47" s="29" t="s">
        <v>546</v>
      </c>
      <c r="AG47" s="29" t="s">
        <v>546</v>
      </c>
      <c r="AH47" s="29" t="s">
        <v>546</v>
      </c>
      <c r="AI47" s="29" t="s">
        <v>546</v>
      </c>
      <c r="AJ47" s="29" t="s">
        <v>546</v>
      </c>
      <c r="AK47" s="29">
        <v>0</v>
      </c>
      <c r="AL47" s="29">
        <v>1</v>
      </c>
      <c r="AM47" s="29" t="s">
        <v>764</v>
      </c>
      <c r="AN47" s="29" t="s">
        <v>765</v>
      </c>
      <c r="AO47" s="29">
        <v>-4.2783560752868652</v>
      </c>
      <c r="AP47" s="29">
        <v>35.890415191650391</v>
      </c>
      <c r="AQ47" s="29">
        <v>1226.0999755859375</v>
      </c>
      <c r="AR47" s="29">
        <v>5</v>
      </c>
      <c r="AS47" s="29">
        <v>1706031849</v>
      </c>
      <c r="AT47" s="29" t="s">
        <v>766</v>
      </c>
      <c r="AU47" s="31">
        <v>42951.125891203701</v>
      </c>
      <c r="AV47" s="31">
        <v>42913.427199074074</v>
      </c>
      <c r="AW47" s="31">
        <v>42951.115960648152</v>
      </c>
      <c r="AX47" s="32">
        <v>42790</v>
      </c>
      <c r="AZ47" s="44">
        <v>1.3547463768115942</v>
      </c>
      <c r="BA47" s="44">
        <v>1.3094202898550724</v>
      </c>
      <c r="BB47" s="44">
        <v>0.54986568986568995</v>
      </c>
      <c r="BC47" s="44">
        <v>0.75374847374847387</v>
      </c>
      <c r="BD47" s="29" t="s">
        <v>2171</v>
      </c>
      <c r="BE47" s="29">
        <v>0.900638759136</v>
      </c>
      <c r="BF47" s="29" t="str">
        <f>IF(BE47&lt;0.5,"Depression",IF(BE47&lt;2,"Very gentle",IF(BE47&lt;5,"Gentle",IF(BE47&lt;9,"Moderate",IF(BE47&lt;15,"Strong",IF(BE47&lt;30,"Steep",IF(BE47&lt;1,"Very steep")))))))</f>
        <v>Very gentle</v>
      </c>
      <c r="BG47" s="29" t="s">
        <v>2173</v>
      </c>
      <c r="BH47" s="29">
        <v>0.18129228055499999</v>
      </c>
      <c r="BI47" s="43">
        <v>8.7377004623399994</v>
      </c>
      <c r="BJ47" s="43"/>
      <c r="BK47" s="43">
        <f>VLOOKUP(D47,[1]SoilData!$G$245:$K$451,5,FALSE)</f>
        <v>198.75447806203553</v>
      </c>
      <c r="BL47" s="43"/>
      <c r="BM47" s="43">
        <f>VLOOKUP(D47,[1]SoilData!$G$245:$M$454,7,FALSE)</f>
        <v>1.258</v>
      </c>
      <c r="BN47" s="60"/>
      <c r="BO47" s="44">
        <f>AVERAGE(BB47:BC47)</f>
        <v>0.65180708180708191</v>
      </c>
      <c r="BP47" s="44">
        <f>AVERAGE(AZ47:BA47)</f>
        <v>1.3320833333333333</v>
      </c>
      <c r="BQ47" s="43">
        <f>BP47-BO47</f>
        <v>0.68027625152625137</v>
      </c>
      <c r="BR47" s="64">
        <f>IF(W47&gt;0.000001,W47*352,0)</f>
        <v>739.2</v>
      </c>
      <c r="BS47" s="64">
        <f>IF(AE47&gt;0.0001,AE47*682,0)</f>
        <v>409.2</v>
      </c>
      <c r="BT47" s="64">
        <f>AA47*795</f>
        <v>0</v>
      </c>
      <c r="BU47" s="64">
        <f>BR47+BS47+BT47</f>
        <v>1148.4000000000001</v>
      </c>
      <c r="BV47" s="64">
        <f>IF(G47="YES",3.5*18.2,0)</f>
        <v>0</v>
      </c>
      <c r="BW47" s="64">
        <f>BU47-BV47</f>
        <v>1148.4000000000001</v>
      </c>
    </row>
    <row r="48" spans="1:75" x14ac:dyDescent="0.15">
      <c r="A48" s="29" t="s">
        <v>556</v>
      </c>
      <c r="B48" s="29">
        <v>213</v>
      </c>
      <c r="C48" s="29" t="s">
        <v>341</v>
      </c>
      <c r="D48" s="29" t="s">
        <v>341</v>
      </c>
      <c r="E48" s="29" t="str">
        <f>VLOOKUP(D48,Harvest_2017_Formulae!$C$2:$D$968,2,FALSE)</f>
        <v>ENDAGWE</v>
      </c>
      <c r="F48" s="29" t="s">
        <v>732</v>
      </c>
      <c r="G48" s="61" t="s">
        <v>546</v>
      </c>
      <c r="H48" s="29" t="s">
        <v>547</v>
      </c>
      <c r="I48" s="29" t="s">
        <v>546</v>
      </c>
      <c r="J48" s="29" t="s">
        <v>546</v>
      </c>
      <c r="K48" s="29" t="s">
        <v>546</v>
      </c>
      <c r="L48" s="29" t="s">
        <v>2220</v>
      </c>
      <c r="M48" s="29" t="s">
        <v>546</v>
      </c>
      <c r="N48" s="29" t="s">
        <v>546</v>
      </c>
      <c r="O48" s="29" t="s">
        <v>547</v>
      </c>
      <c r="P48" s="29">
        <v>0.25</v>
      </c>
      <c r="Q48" s="29">
        <v>0.25</v>
      </c>
      <c r="S48" s="29" t="s">
        <v>546</v>
      </c>
      <c r="T48" s="29">
        <v>0.75</v>
      </c>
      <c r="U48" s="29">
        <v>4</v>
      </c>
      <c r="V48" s="29" t="s">
        <v>551</v>
      </c>
      <c r="W48" s="30">
        <v>1.28</v>
      </c>
      <c r="Y48" s="29">
        <v>999</v>
      </c>
      <c r="Z48" s="29" t="s">
        <v>551</v>
      </c>
      <c r="AA48" s="62"/>
      <c r="AB48" s="29">
        <v>0.75</v>
      </c>
      <c r="AC48" s="29">
        <v>1</v>
      </c>
      <c r="AD48" s="29" t="s">
        <v>551</v>
      </c>
      <c r="AE48" s="62">
        <v>0.32</v>
      </c>
      <c r="AF48" s="29" t="s">
        <v>546</v>
      </c>
      <c r="AG48" s="29" t="s">
        <v>546</v>
      </c>
      <c r="AH48" s="29" t="s">
        <v>546</v>
      </c>
      <c r="AI48" s="29" t="s">
        <v>546</v>
      </c>
      <c r="AJ48" s="29" t="s">
        <v>546</v>
      </c>
      <c r="AK48" s="29">
        <v>0</v>
      </c>
      <c r="AL48" s="29">
        <v>2</v>
      </c>
      <c r="AM48" s="29" t="s">
        <v>740</v>
      </c>
      <c r="AN48" s="29" t="s">
        <v>741</v>
      </c>
      <c r="AO48" s="29">
        <v>-4.3540863990783691</v>
      </c>
      <c r="AP48" s="29">
        <v>35.648262023925781</v>
      </c>
      <c r="AQ48" s="29">
        <v>1601.300048828125</v>
      </c>
      <c r="AR48" s="29">
        <v>5</v>
      </c>
      <c r="AS48" s="29">
        <v>1706031849</v>
      </c>
      <c r="AT48" s="29" t="s">
        <v>742</v>
      </c>
      <c r="AU48" s="31">
        <v>42950.967233796298</v>
      </c>
      <c r="AV48" s="31">
        <v>42934.445150462961</v>
      </c>
      <c r="AW48" s="31">
        <v>42950.950196759259</v>
      </c>
      <c r="AX48" s="32">
        <v>42770</v>
      </c>
      <c r="AZ48" s="44">
        <v>1.4793795093795095</v>
      </c>
      <c r="BA48" s="44">
        <v>1.8562914862914865</v>
      </c>
      <c r="BB48" s="44">
        <v>0.5861333333333334</v>
      </c>
      <c r="BC48" s="44">
        <v>0.65591111111111111</v>
      </c>
      <c r="BD48" s="29" t="s">
        <v>2174</v>
      </c>
      <c r="BE48" s="29">
        <v>6.2356286048899996</v>
      </c>
      <c r="BF48" s="29" t="str">
        <f>IF(BE48&lt;0.5,"Depression",IF(BE48&lt;2,"Very gentle",IF(BE48&lt;5,"Gentle",IF(BE48&lt;9,"Moderate",IF(BE48&lt;15,"Strong",IF(BE48&lt;30,"Steep",IF(BE48&lt;1,"Very steep")))))))</f>
        <v>Moderate</v>
      </c>
      <c r="BG48" s="29" t="s">
        <v>2178</v>
      </c>
      <c r="BH48" s="29">
        <v>-9.0633422136300004E-2</v>
      </c>
      <c r="BI48" s="43">
        <v>7.4885134697</v>
      </c>
      <c r="BJ48" s="43"/>
      <c r="BK48" s="43">
        <f>VLOOKUP(D48,[1]SoilData!$G$245:$K$451,5,FALSE)</f>
        <v>241.52780854239919</v>
      </c>
      <c r="BL48" s="43"/>
      <c r="BM48" s="43">
        <f>VLOOKUP(D48,[1]SoilData!$G$245:$M$454,7,FALSE)</f>
        <v>1.472</v>
      </c>
      <c r="BN48" s="60"/>
      <c r="BO48" s="44">
        <f>AVERAGE(BB48:BC48)</f>
        <v>0.62102222222222225</v>
      </c>
      <c r="BP48" s="44">
        <f>AVERAGE(AZ48:BA48)</f>
        <v>1.6678354978354979</v>
      </c>
      <c r="BQ48" s="43">
        <f>BP48-BO48</f>
        <v>1.0468132756132755</v>
      </c>
      <c r="BR48" s="64">
        <f>IF(W48&gt;0.000001,W48*352,0)</f>
        <v>450.56</v>
      </c>
      <c r="BS48" s="64">
        <f>IF(AE48&gt;0.0001,AE48*682,0)</f>
        <v>218.24</v>
      </c>
      <c r="BT48" s="64">
        <f>AA48*795</f>
        <v>0</v>
      </c>
      <c r="BU48" s="64">
        <f>BR48+BS48+BT48</f>
        <v>668.8</v>
      </c>
      <c r="BV48" s="64">
        <f>IF(G48="YES",3.5*18.2,0)</f>
        <v>0</v>
      </c>
      <c r="BW48" s="64">
        <f>BU48-BV48</f>
        <v>668.8</v>
      </c>
    </row>
    <row r="49" spans="1:75" x14ac:dyDescent="0.15">
      <c r="A49" s="29" t="s">
        <v>556</v>
      </c>
      <c r="B49" s="29">
        <v>175</v>
      </c>
      <c r="C49" s="29" t="s">
        <v>333</v>
      </c>
      <c r="D49" s="29" t="s">
        <v>333</v>
      </c>
      <c r="E49" s="29" t="str">
        <f>VLOOKUP(D49,Harvest_2017_Formulae!$C$2:$D$968,2,FALSE)</f>
        <v>DURU</v>
      </c>
      <c r="F49" s="29" t="s">
        <v>645</v>
      </c>
      <c r="G49" s="61" t="s">
        <v>546</v>
      </c>
      <c r="H49" s="29" t="s">
        <v>547</v>
      </c>
      <c r="I49" s="29" t="s">
        <v>546</v>
      </c>
      <c r="J49" s="29" t="s">
        <v>546</v>
      </c>
      <c r="K49" s="29" t="s">
        <v>546</v>
      </c>
      <c r="L49" s="29" t="s">
        <v>2220</v>
      </c>
      <c r="M49" s="29" t="s">
        <v>546</v>
      </c>
      <c r="N49" s="29" t="s">
        <v>548</v>
      </c>
      <c r="O49" s="29" t="s">
        <v>550</v>
      </c>
      <c r="P49" s="29">
        <v>0.25</v>
      </c>
      <c r="Q49" s="29">
        <v>0.25</v>
      </c>
      <c r="S49" s="29" t="s">
        <v>548</v>
      </c>
      <c r="T49" s="29">
        <v>0.5</v>
      </c>
      <c r="U49" s="29">
        <v>5</v>
      </c>
      <c r="V49" s="29" t="s">
        <v>551</v>
      </c>
      <c r="W49" s="30">
        <v>2.4</v>
      </c>
      <c r="Y49" s="29">
        <v>999</v>
      </c>
      <c r="Z49" s="29" t="s">
        <v>551</v>
      </c>
      <c r="AA49" s="62"/>
      <c r="AB49" s="29">
        <v>0.5</v>
      </c>
      <c r="AC49" s="29">
        <v>3</v>
      </c>
      <c r="AD49" s="29" t="s">
        <v>551</v>
      </c>
      <c r="AE49" s="62">
        <v>1.44</v>
      </c>
      <c r="AF49" s="29" t="s">
        <v>546</v>
      </c>
      <c r="AG49" s="29" t="s">
        <v>546</v>
      </c>
      <c r="AH49" s="29" t="s">
        <v>546</v>
      </c>
      <c r="AI49" s="29" t="s">
        <v>546</v>
      </c>
      <c r="AJ49" s="29" t="s">
        <v>546</v>
      </c>
      <c r="AK49" s="29">
        <v>0</v>
      </c>
      <c r="AL49" s="29">
        <v>2</v>
      </c>
      <c r="AM49" s="29" t="s">
        <v>684</v>
      </c>
      <c r="AN49" s="29" t="s">
        <v>685</v>
      </c>
      <c r="AO49" s="29">
        <v>-4.3097758293151855</v>
      </c>
      <c r="AP49" s="29">
        <v>35.596157073974609</v>
      </c>
      <c r="AQ49" s="29">
        <v>1632.5</v>
      </c>
      <c r="AR49" s="29">
        <v>5</v>
      </c>
      <c r="AS49" s="29">
        <v>1706031849</v>
      </c>
      <c r="AT49" s="29" t="s">
        <v>686</v>
      </c>
      <c r="AU49" s="31">
        <v>42926.575682870374</v>
      </c>
      <c r="AV49" s="31">
        <v>42921.433472222227</v>
      </c>
      <c r="AW49" s="31">
        <v>42921.724583333329</v>
      </c>
      <c r="AX49" s="32">
        <v>42739</v>
      </c>
      <c r="AZ49" s="44">
        <v>4.7516239316239322</v>
      </c>
      <c r="BA49" s="44">
        <v>4.2922317188983863</v>
      </c>
      <c r="BB49" s="44">
        <v>1.7026337448559672</v>
      </c>
      <c r="BC49" s="44">
        <v>2.0009053497942388</v>
      </c>
      <c r="BD49" s="29" t="s">
        <v>2181</v>
      </c>
      <c r="BE49" s="29">
        <v>2.5552546978000001</v>
      </c>
      <c r="BF49" s="29" t="str">
        <f>IF(BE49&lt;0.5,"Depression",IF(BE49&lt;2,"Very gentle",IF(BE49&lt;5,"Gentle",IF(BE49&lt;9,"Moderate",IF(BE49&lt;15,"Strong",IF(BE49&lt;30,"Steep",IF(BE49&lt;1,"Very steep")))))))</f>
        <v>Gentle</v>
      </c>
      <c r="BG49" s="29" t="s">
        <v>2182</v>
      </c>
      <c r="BH49" s="29">
        <v>1.35963702202</v>
      </c>
      <c r="BI49" s="43">
        <v>7.52337741852</v>
      </c>
      <c r="BJ49" s="43"/>
      <c r="BK49" s="43">
        <f>VLOOKUP(D49,[1]SoilData!$G$245:$K$451,5,FALSE)</f>
        <v>502.31353106293767</v>
      </c>
      <c r="BL49" s="43"/>
      <c r="BM49" s="43">
        <f>VLOOKUP(D49,[1]SoilData!$G$245:$M$454,7,FALSE)</f>
        <v>1.5740000000000001</v>
      </c>
      <c r="BN49" s="60"/>
      <c r="BO49" s="44">
        <f>AVERAGE(BB49:BC49)</f>
        <v>1.851769547325103</v>
      </c>
      <c r="BP49" s="44">
        <f>AVERAGE(AZ49:BA49)</f>
        <v>4.5219278252611588</v>
      </c>
      <c r="BQ49" s="43">
        <f>BP49-BO49</f>
        <v>2.6701582779360558</v>
      </c>
      <c r="BR49" s="64">
        <f>IF(W49&gt;0.000001,W49*352,0)</f>
        <v>844.8</v>
      </c>
      <c r="BS49" s="64">
        <f>IF(AE49&gt;0.0001,AE49*682,0)</f>
        <v>982.07999999999993</v>
      </c>
      <c r="BT49" s="64">
        <f>AA49*795</f>
        <v>0</v>
      </c>
      <c r="BU49" s="64">
        <f>BR49+BS49+BT49</f>
        <v>1826.8799999999999</v>
      </c>
      <c r="BV49" s="64">
        <f>IF(G49="YES",3.5*18.2,0)</f>
        <v>0</v>
      </c>
      <c r="BW49" s="64">
        <f>BU49-BV49</f>
        <v>1826.8799999999999</v>
      </c>
    </row>
    <row r="50" spans="1:75" x14ac:dyDescent="0.15">
      <c r="A50" s="34" t="s">
        <v>556</v>
      </c>
      <c r="B50" s="34">
        <v>239</v>
      </c>
      <c r="C50" s="34" t="s">
        <v>1116</v>
      </c>
      <c r="D50" s="34" t="s">
        <v>221</v>
      </c>
      <c r="E50" s="29" t="str">
        <f>VLOOKUP(D50,Harvest_2017_Formulae!$C$2:$D$968,2,FALSE)</f>
        <v>ORNGADIDA</v>
      </c>
      <c r="F50" s="34" t="s">
        <v>777</v>
      </c>
      <c r="G50" s="61" t="s">
        <v>546</v>
      </c>
      <c r="H50" s="34" t="s">
        <v>547</v>
      </c>
      <c r="I50" s="34" t="s">
        <v>546</v>
      </c>
      <c r="J50" s="34" t="s">
        <v>546</v>
      </c>
      <c r="K50" s="34" t="s">
        <v>546</v>
      </c>
      <c r="L50" s="29" t="s">
        <v>2220</v>
      </c>
      <c r="M50" s="34" t="s">
        <v>546</v>
      </c>
      <c r="N50" s="34" t="s">
        <v>546</v>
      </c>
      <c r="O50" s="34" t="s">
        <v>547</v>
      </c>
      <c r="P50" s="34">
        <v>0.25</v>
      </c>
      <c r="Q50" s="34">
        <v>2.25</v>
      </c>
      <c r="R50" s="34"/>
      <c r="S50" s="34" t="s">
        <v>548</v>
      </c>
      <c r="T50" s="34">
        <v>2.5</v>
      </c>
      <c r="U50" s="34">
        <v>16</v>
      </c>
      <c r="V50" s="34" t="s">
        <v>551</v>
      </c>
      <c r="W50" s="34">
        <v>1.536</v>
      </c>
      <c r="X50" s="34"/>
      <c r="Y50" s="34">
        <v>999</v>
      </c>
      <c r="Z50" s="34" t="s">
        <v>551</v>
      </c>
      <c r="AA50" s="56"/>
      <c r="AB50" s="34">
        <v>2.5</v>
      </c>
      <c r="AC50" s="34">
        <v>4</v>
      </c>
      <c r="AD50" s="34" t="s">
        <v>551</v>
      </c>
      <c r="AE50" s="56">
        <v>0.38400000000000001</v>
      </c>
      <c r="AF50" s="34" t="s">
        <v>546</v>
      </c>
      <c r="AG50" s="34" t="s">
        <v>546</v>
      </c>
      <c r="AH50" s="34" t="s">
        <v>546</v>
      </c>
      <c r="AI50" s="34" t="s">
        <v>546</v>
      </c>
      <c r="AJ50" s="34" t="s">
        <v>546</v>
      </c>
      <c r="AK50" s="34">
        <v>0</v>
      </c>
      <c r="AL50" s="34">
        <v>3</v>
      </c>
      <c r="AM50" s="34" t="s">
        <v>1117</v>
      </c>
      <c r="AN50" s="34" t="s">
        <v>1118</v>
      </c>
      <c r="AO50" s="34">
        <v>-4.2963466644287109</v>
      </c>
      <c r="AP50" s="34">
        <v>35.860977172851562</v>
      </c>
      <c r="AQ50" s="34">
        <v>1258.300048828125</v>
      </c>
      <c r="AR50" s="34">
        <v>5</v>
      </c>
      <c r="AS50" s="34">
        <v>1706031849</v>
      </c>
      <c r="AT50" s="34" t="s">
        <v>1119</v>
      </c>
      <c r="AU50" s="35">
        <v>42951.125925925924</v>
      </c>
      <c r="AV50" s="35">
        <v>42949.533645833333</v>
      </c>
      <c r="AW50" s="35">
        <v>42951.019085648149</v>
      </c>
      <c r="AX50" s="36">
        <v>42798</v>
      </c>
      <c r="AY50" s="34"/>
      <c r="AZ50" s="44">
        <v>4.1023391812865491</v>
      </c>
      <c r="BA50" s="44">
        <v>3.2953216374269005</v>
      </c>
      <c r="BB50" s="44">
        <v>2.7136363636363638</v>
      </c>
      <c r="BC50" s="44">
        <v>2.0454545454545454</v>
      </c>
      <c r="BD50" s="29" t="s">
        <v>2171</v>
      </c>
      <c r="BE50" s="29">
        <v>0.48846834898000002</v>
      </c>
      <c r="BF50" s="29" t="str">
        <f>IF(BE50&lt;0.5,"Depression",IF(BE50&lt;2,"Very gentle",IF(BE50&lt;5,"Gentle",IF(BE50&lt;9,"Moderate",IF(BE50&lt;15,"Strong",IF(BE50&lt;30,"Steep",IF(BE50&lt;1,"Very steep")))))))</f>
        <v>Depression</v>
      </c>
      <c r="BG50" s="29" t="s">
        <v>2173</v>
      </c>
      <c r="BH50" s="29">
        <v>0.18129228055499999</v>
      </c>
      <c r="BI50" s="43">
        <v>8.6934442520099999</v>
      </c>
      <c r="BJ50" s="43">
        <f>VLOOKUP(D50,[1]SoilData!$G$15:$K$237,5,FALSE)</f>
        <v>434.39091372739068</v>
      </c>
      <c r="BK50" s="43">
        <f>VLOOKUP(D50,[1]SoilData!$G$245:$K$451,5,FALSE)</f>
        <v>439.39978236426435</v>
      </c>
      <c r="BL50" s="43">
        <f>VLOOKUP(D50,[1]SoilData!$G$15:$M$238,7,FALSE)</f>
        <v>1.3169999999999999</v>
      </c>
      <c r="BM50" s="43">
        <f>VLOOKUP(D50,[1]SoilData!$G$245:$M$454,7,FALSE)</f>
        <v>1.4430000000000001</v>
      </c>
      <c r="BN50" s="60">
        <f>BL50-BM50</f>
        <v>-0.12600000000000011</v>
      </c>
      <c r="BO50" s="44"/>
      <c r="BP50" s="44"/>
      <c r="BQ50" s="43"/>
      <c r="BR50" s="64">
        <f>IF(W50&gt;0.000001,W50*352,0)</f>
        <v>540.67200000000003</v>
      </c>
      <c r="BS50" s="64">
        <f>IF(AE50&gt;0.0001,AE50*682,0)</f>
        <v>261.88800000000003</v>
      </c>
      <c r="BT50" s="64">
        <f>AA50*795</f>
        <v>0</v>
      </c>
      <c r="BU50" s="64">
        <f>BR50+BS50+BT50</f>
        <v>802.56000000000006</v>
      </c>
      <c r="BV50" s="64">
        <f>IF(G50="YES",3.5*18.2,0)</f>
        <v>0</v>
      </c>
      <c r="BW50" s="64">
        <f>BU50-BV50</f>
        <v>802.56000000000006</v>
      </c>
    </row>
    <row r="51" spans="1:75" x14ac:dyDescent="0.15">
      <c r="A51" s="29" t="s">
        <v>556</v>
      </c>
      <c r="B51" s="29">
        <v>152</v>
      </c>
      <c r="C51" s="29" t="s">
        <v>978</v>
      </c>
      <c r="D51" s="29" t="s">
        <v>181</v>
      </c>
      <c r="E51" s="29" t="str">
        <f>VLOOKUP(D51,Harvest_2017_Formulae!$C$2:$D$968,2,FALSE)</f>
        <v>HALLU</v>
      </c>
      <c r="F51" s="29" t="s">
        <v>938</v>
      </c>
      <c r="G51" s="61" t="s">
        <v>546</v>
      </c>
      <c r="H51" s="29" t="s">
        <v>547</v>
      </c>
      <c r="I51" s="29" t="s">
        <v>546</v>
      </c>
      <c r="J51" s="29" t="s">
        <v>546</v>
      </c>
      <c r="K51" s="29" t="s">
        <v>546</v>
      </c>
      <c r="L51" s="29" t="s">
        <v>2221</v>
      </c>
      <c r="M51" s="29" t="s">
        <v>546</v>
      </c>
      <c r="N51" s="29" t="s">
        <v>546</v>
      </c>
      <c r="O51" s="29" t="s">
        <v>547</v>
      </c>
      <c r="P51" s="29">
        <v>1</v>
      </c>
      <c r="Q51" s="29">
        <v>8</v>
      </c>
      <c r="S51" s="29" t="s">
        <v>548</v>
      </c>
      <c r="T51" s="29">
        <v>1</v>
      </c>
      <c r="U51" s="29">
        <v>8</v>
      </c>
      <c r="V51" s="29" t="s">
        <v>551</v>
      </c>
      <c r="W51" s="30">
        <v>1.92</v>
      </c>
      <c r="Y51" s="29">
        <v>999</v>
      </c>
      <c r="Z51" s="29" t="s">
        <v>551</v>
      </c>
      <c r="AA51" s="62"/>
      <c r="AB51" s="29">
        <v>1</v>
      </c>
      <c r="AC51" s="29">
        <v>3</v>
      </c>
      <c r="AD51" s="29" t="s">
        <v>551</v>
      </c>
      <c r="AE51" s="62">
        <v>0.72</v>
      </c>
      <c r="AF51" s="29" t="s">
        <v>546</v>
      </c>
      <c r="AG51" s="29" t="s">
        <v>546</v>
      </c>
      <c r="AH51" s="29" t="s">
        <v>546</v>
      </c>
      <c r="AI51" s="29" t="s">
        <v>546</v>
      </c>
      <c r="AJ51" s="29" t="s">
        <v>546</v>
      </c>
      <c r="AK51" s="29">
        <v>0</v>
      </c>
      <c r="AL51" s="29">
        <v>3</v>
      </c>
      <c r="AM51" s="29" t="s">
        <v>979</v>
      </c>
      <c r="AN51" s="29" t="s">
        <v>980</v>
      </c>
      <c r="AO51" s="29">
        <v>-4.2948718070983887</v>
      </c>
      <c r="AP51" s="29">
        <v>35.893413543701172</v>
      </c>
      <c r="AQ51" s="29">
        <v>1230.9000244140625</v>
      </c>
      <c r="AR51" s="29">
        <v>5</v>
      </c>
      <c r="AS51" s="29">
        <v>1706031849</v>
      </c>
      <c r="AT51" s="29" t="s">
        <v>981</v>
      </c>
      <c r="AU51" s="31">
        <v>42913.63863425926</v>
      </c>
      <c r="AV51" s="31">
        <v>42909.641944444447</v>
      </c>
      <c r="AW51" s="31">
        <v>42909.65116898148</v>
      </c>
      <c r="AX51" s="32">
        <v>42775</v>
      </c>
      <c r="AZ51" s="44">
        <v>5.2430078563411895</v>
      </c>
      <c r="BA51" s="44">
        <v>4.7903254769921446</v>
      </c>
      <c r="BB51" s="44">
        <v>4.8930370370370371</v>
      </c>
      <c r="BC51" s="44">
        <v>6.1810370370370382</v>
      </c>
      <c r="BD51" s="29" t="s">
        <v>2171</v>
      </c>
      <c r="BE51" s="29">
        <v>1.0756396055199999</v>
      </c>
      <c r="BF51" s="29" t="str">
        <f>IF(BE51&lt;0.5,"Depression",IF(BE51&lt;2,"Very gentle",IF(BE51&lt;5,"Gentle",IF(BE51&lt;9,"Moderate",IF(BE51&lt;15,"Strong",IF(BE51&lt;30,"Steep",IF(BE51&lt;1,"Very steep")))))))</f>
        <v>Very gentle</v>
      </c>
      <c r="BG51" s="29" t="s">
        <v>2173</v>
      </c>
      <c r="BH51" s="29">
        <v>0.45321798324599999</v>
      </c>
      <c r="BI51" s="43">
        <v>8.1580381393400003</v>
      </c>
      <c r="BJ51" s="43"/>
      <c r="BK51" s="43"/>
      <c r="BL51" s="43"/>
      <c r="BM51" s="43"/>
      <c r="BN51" s="60"/>
      <c r="BO51" s="44">
        <f>AVERAGE(BB51:BC51)</f>
        <v>5.5370370370370381</v>
      </c>
      <c r="BP51" s="44">
        <f>AVERAGE(AZ51:BA51)</f>
        <v>5.0166666666666675</v>
      </c>
      <c r="BQ51" s="43">
        <f>BP51-BO51</f>
        <v>-0.52037037037037059</v>
      </c>
      <c r="BR51" s="64">
        <f>IF(W51&gt;0.000001,W51*352,0)</f>
        <v>675.83999999999992</v>
      </c>
      <c r="BS51" s="64">
        <f>IF(AE51&gt;0.0001,AE51*682,0)</f>
        <v>491.03999999999996</v>
      </c>
      <c r="BT51" s="64">
        <f>AA51*795</f>
        <v>0</v>
      </c>
      <c r="BU51" s="64">
        <f>BR51+BS51+BT51</f>
        <v>1166.8799999999999</v>
      </c>
      <c r="BV51" s="64">
        <f>IF(G51="YES",3.5*18.2,0)</f>
        <v>0</v>
      </c>
      <c r="BW51" s="64">
        <f>BU51-BV51</f>
        <v>1166.8799999999999</v>
      </c>
    </row>
    <row r="52" spans="1:75" x14ac:dyDescent="0.15">
      <c r="A52" s="29" t="s">
        <v>556</v>
      </c>
      <c r="B52" s="29">
        <v>200</v>
      </c>
      <c r="C52" s="29" t="s">
        <v>411</v>
      </c>
      <c r="D52" s="29" t="s">
        <v>411</v>
      </c>
      <c r="E52" s="29" t="str">
        <f>VLOOKUP(D52,Harvest_2017_Formulae!$C$2:$D$968,2,FALSE)</f>
        <v>TSAMASI</v>
      </c>
      <c r="F52" s="29" t="s">
        <v>1014</v>
      </c>
      <c r="G52" s="61" t="s">
        <v>546</v>
      </c>
      <c r="H52" s="29" t="s">
        <v>547</v>
      </c>
      <c r="I52" s="29" t="s">
        <v>546</v>
      </c>
      <c r="J52" s="29" t="s">
        <v>546</v>
      </c>
      <c r="K52" s="29" t="s">
        <v>546</v>
      </c>
      <c r="L52" s="29" t="s">
        <v>2219</v>
      </c>
      <c r="M52" s="29" t="s">
        <v>546</v>
      </c>
      <c r="N52" s="29" t="s">
        <v>548</v>
      </c>
      <c r="O52" s="29" t="s">
        <v>550</v>
      </c>
      <c r="P52" s="29">
        <v>0.25</v>
      </c>
      <c r="Q52" s="29">
        <v>1</v>
      </c>
      <c r="S52" s="29" t="s">
        <v>546</v>
      </c>
      <c r="T52" s="29">
        <v>2</v>
      </c>
      <c r="U52" s="29">
        <v>0</v>
      </c>
      <c r="V52" s="29" t="s">
        <v>552</v>
      </c>
      <c r="W52" s="30">
        <v>0</v>
      </c>
      <c r="Y52" s="29">
        <v>999</v>
      </c>
      <c r="Z52" s="29" t="s">
        <v>552</v>
      </c>
      <c r="AA52" s="62"/>
      <c r="AB52" s="29">
        <v>2</v>
      </c>
      <c r="AC52" s="29">
        <v>0</v>
      </c>
      <c r="AD52" s="29" t="s">
        <v>552</v>
      </c>
      <c r="AE52" s="62">
        <v>0</v>
      </c>
      <c r="AF52" s="29" t="s">
        <v>546</v>
      </c>
      <c r="AG52" s="29" t="s">
        <v>546</v>
      </c>
      <c r="AH52" s="29" t="s">
        <v>546</v>
      </c>
      <c r="AI52" s="29" t="s">
        <v>546</v>
      </c>
      <c r="AJ52" s="29" t="s">
        <v>546</v>
      </c>
      <c r="AK52" s="29">
        <v>0</v>
      </c>
      <c r="AL52" s="29">
        <v>4</v>
      </c>
      <c r="AM52" s="29" t="s">
        <v>1395</v>
      </c>
      <c r="AN52" s="29" t="s">
        <v>1396</v>
      </c>
      <c r="AO52" s="29">
        <v>-4.2902736663818359</v>
      </c>
      <c r="AP52" s="29">
        <v>35.828704833984375</v>
      </c>
      <c r="AQ52" s="29">
        <v>1331.800048828125</v>
      </c>
      <c r="AR52" s="29">
        <v>5</v>
      </c>
      <c r="AS52" s="29">
        <v>1706031849</v>
      </c>
      <c r="AT52" s="29" t="s">
        <v>1397</v>
      </c>
      <c r="AU52" s="31">
        <v>42948.908449074079</v>
      </c>
      <c r="AV52" s="31">
        <v>42938.465682870374</v>
      </c>
      <c r="AW52" s="31">
        <v>42938.485023148147</v>
      </c>
      <c r="AX52" s="32">
        <v>42794</v>
      </c>
      <c r="AZ52" s="44">
        <v>3.0618948824343022</v>
      </c>
      <c r="BA52" s="44">
        <v>3.3598432457353624</v>
      </c>
      <c r="BB52" s="44"/>
      <c r="BC52" s="44"/>
      <c r="BD52" s="29" t="s">
        <v>2179</v>
      </c>
      <c r="BE52" s="29">
        <v>0.63687402010000005</v>
      </c>
      <c r="BF52" s="29" t="str">
        <f>IF(BE52&lt;0.5,"Depression",IF(BE52&lt;2,"Very gentle",IF(BE52&lt;5,"Gentle",IF(BE52&lt;9,"Moderate",IF(BE52&lt;15,"Strong",IF(BE52&lt;30,"Steep",IF(BE52&lt;1,"Very steep")))))))</f>
        <v>Very gentle</v>
      </c>
      <c r="BG52" s="29" t="s">
        <v>2173</v>
      </c>
      <c r="BH52" s="29">
        <v>-0.45320102572400001</v>
      </c>
      <c r="BI52" s="43">
        <v>14.599243164100001</v>
      </c>
      <c r="BJ52" s="43">
        <f>VLOOKUP(D52,[1]SoilData!$G$15:$K$237,5,FALSE)</f>
        <v>462.50512873591418</v>
      </c>
      <c r="BK52" s="43"/>
      <c r="BL52" s="43">
        <f>VLOOKUP(D52,[1]SoilData!$G$15:$M$238,7,FALSE)</f>
        <v>1.476</v>
      </c>
      <c r="BM52" s="43"/>
      <c r="BN52" s="60"/>
      <c r="BO52" s="44"/>
      <c r="BP52" s="44">
        <f>AVERAGE(AZ52:BA52)</f>
        <v>3.2108690640848323</v>
      </c>
      <c r="BQ52" s="43"/>
      <c r="BR52" s="64">
        <f>IF(W52&gt;0.000001,W52*352,0)</f>
        <v>0</v>
      </c>
      <c r="BS52" s="64">
        <f>IF(AE52&gt;0.0001,AE52*682,0)</f>
        <v>0</v>
      </c>
      <c r="BT52" s="64">
        <f>AA52*795</f>
        <v>0</v>
      </c>
      <c r="BU52" s="64">
        <f>BR52+BS52+BT52</f>
        <v>0</v>
      </c>
      <c r="BV52" s="64">
        <f>IF(G52="YES",3.5*18.2,0)</f>
        <v>0</v>
      </c>
      <c r="BW52" s="64">
        <f>BU52-BV52</f>
        <v>0</v>
      </c>
    </row>
    <row r="53" spans="1:75" x14ac:dyDescent="0.15">
      <c r="A53" s="29" t="s">
        <v>556</v>
      </c>
      <c r="B53" s="29">
        <v>9</v>
      </c>
      <c r="C53" s="29" t="s">
        <v>1125</v>
      </c>
      <c r="D53" s="29" t="s">
        <v>224</v>
      </c>
      <c r="E53" s="29" t="str">
        <f>VLOOKUP(D53,Harvest_2017_Formulae!$C$2:$D$968,2,FALSE)</f>
        <v>ORNGADIDA</v>
      </c>
      <c r="F53" s="29" t="s">
        <v>777</v>
      </c>
      <c r="G53" s="61" t="s">
        <v>546</v>
      </c>
      <c r="H53" s="29" t="s">
        <v>547</v>
      </c>
      <c r="I53" s="29" t="s">
        <v>546</v>
      </c>
      <c r="J53" s="29" t="s">
        <v>546</v>
      </c>
      <c r="K53" s="29" t="s">
        <v>546</v>
      </c>
      <c r="L53" s="29" t="s">
        <v>2219</v>
      </c>
      <c r="M53" s="29" t="s">
        <v>546</v>
      </c>
      <c r="N53" s="29" t="s">
        <v>548</v>
      </c>
      <c r="O53" s="29" t="s">
        <v>550</v>
      </c>
      <c r="P53" s="29">
        <v>0.25</v>
      </c>
      <c r="R53" s="29">
        <v>0.75</v>
      </c>
      <c r="S53" s="29" t="s">
        <v>548</v>
      </c>
      <c r="U53" s="29">
        <v>999</v>
      </c>
      <c r="V53" s="29" t="s">
        <v>551</v>
      </c>
      <c r="Y53" s="29">
        <v>999</v>
      </c>
      <c r="Z53" s="29" t="s">
        <v>551</v>
      </c>
      <c r="AA53" s="62"/>
      <c r="AB53" s="29">
        <v>1</v>
      </c>
      <c r="AC53" s="29">
        <v>3</v>
      </c>
      <c r="AD53" s="29" t="s">
        <v>551</v>
      </c>
      <c r="AE53" s="62">
        <v>0.72</v>
      </c>
      <c r="AF53" s="29" t="s">
        <v>546</v>
      </c>
      <c r="AG53" s="29" t="s">
        <v>546</v>
      </c>
      <c r="AH53" s="29" t="s">
        <v>546</v>
      </c>
      <c r="AI53" s="29" t="s">
        <v>546</v>
      </c>
      <c r="AJ53" s="29" t="s">
        <v>546</v>
      </c>
      <c r="AK53" s="29">
        <v>0</v>
      </c>
      <c r="AL53" s="29">
        <v>2</v>
      </c>
      <c r="AM53" s="29" t="s">
        <v>1126</v>
      </c>
      <c r="AN53" s="29" t="s">
        <v>1127</v>
      </c>
      <c r="AO53" s="29">
        <v>-4.316126823425293</v>
      </c>
      <c r="AP53" s="29">
        <v>35.874771118164062</v>
      </c>
      <c r="AQ53" s="29">
        <v>1232.699951171875</v>
      </c>
      <c r="AR53" s="29">
        <v>5</v>
      </c>
      <c r="AS53" s="29">
        <v>1705231439</v>
      </c>
      <c r="AT53" s="29" t="s">
        <v>1128</v>
      </c>
      <c r="AU53" s="31">
        <v>42893.595659722225</v>
      </c>
      <c r="AV53" s="31">
        <v>42892.59878472222</v>
      </c>
      <c r="AW53" s="31">
        <v>42892.606678240743</v>
      </c>
      <c r="AX53" s="32">
        <v>42820</v>
      </c>
      <c r="AZ53" s="44">
        <v>4.3090381426202322</v>
      </c>
      <c r="BA53" s="44">
        <v>5.6303897180762856</v>
      </c>
      <c r="BB53" s="44">
        <v>5.3979091995221022</v>
      </c>
      <c r="BC53" s="44">
        <v>4.3430704898446839</v>
      </c>
      <c r="BD53" s="29" t="s">
        <v>2171</v>
      </c>
      <c r="BE53" s="29">
        <v>0.900638759136</v>
      </c>
      <c r="BF53" s="29" t="str">
        <f>IF(BE53&lt;0.5,"Depression",IF(BE53&lt;2,"Very gentle",IF(BE53&lt;5,"Gentle",IF(BE53&lt;9,"Moderate",IF(BE53&lt;15,"Strong",IF(BE53&lt;30,"Steep",IF(BE53&lt;1,"Very steep")))))))</f>
        <v>Very gentle</v>
      </c>
      <c r="BG53" s="29" t="s">
        <v>2173</v>
      </c>
      <c r="BH53" s="29">
        <v>9.0650379657699995E-2</v>
      </c>
      <c r="BI53" s="43">
        <v>9.4924430847199996</v>
      </c>
      <c r="BJ53" s="43">
        <f>VLOOKUP(D53,[1]SoilData!$G$15:$K$237,5,FALSE)</f>
        <v>363.31130398402144</v>
      </c>
      <c r="BK53" s="43">
        <f>VLOOKUP(D53,[1]SoilData!$G$245:$K$451,5,FALSE)</f>
        <v>357.70449975345872</v>
      </c>
      <c r="BL53" s="43">
        <f>VLOOKUP(D53,[1]SoilData!$G$15:$M$238,7,FALSE)</f>
        <v>2.0019999999999998</v>
      </c>
      <c r="BM53" s="43">
        <f>VLOOKUP(D53,[1]SoilData!$G$245:$M$454,7,FALSE)</f>
        <v>1.6839999999999999</v>
      </c>
      <c r="BN53" s="60">
        <f>BL53-BM53</f>
        <v>0.31799999999999984</v>
      </c>
      <c r="BO53" s="44">
        <f>AVERAGE(BB53:BC53)</f>
        <v>4.8704898446833926</v>
      </c>
      <c r="BP53" s="44">
        <f>AVERAGE(AZ53:BA53)</f>
        <v>4.9697139303482594</v>
      </c>
      <c r="BQ53" s="43">
        <f>BP53-BO53</f>
        <v>9.9224085664866735E-2</v>
      </c>
      <c r="BR53" s="64">
        <f>IF(W53&gt;0.000001,W53*352,0)</f>
        <v>0</v>
      </c>
      <c r="BS53" s="64">
        <f>IF(AE53&gt;0.0001,AE53*682,0)</f>
        <v>491.03999999999996</v>
      </c>
      <c r="BT53" s="64">
        <f>AA53*795</f>
        <v>0</v>
      </c>
      <c r="BU53" s="64">
        <f>BR53+BS53+BT53</f>
        <v>491.03999999999996</v>
      </c>
      <c r="BV53" s="64">
        <f>IF(G53="YES",3.5*18.2,0)</f>
        <v>0</v>
      </c>
      <c r="BW53" s="64">
        <f>BU53-BV53</f>
        <v>491.03999999999996</v>
      </c>
    </row>
    <row r="54" spans="1:75" x14ac:dyDescent="0.15">
      <c r="A54" s="29" t="s">
        <v>556</v>
      </c>
      <c r="B54" s="29">
        <v>219</v>
      </c>
      <c r="C54" s="29" t="s">
        <v>1137</v>
      </c>
      <c r="D54" s="29" t="s">
        <v>227</v>
      </c>
      <c r="E54" s="29" t="str">
        <f>VLOOKUP(D54,Harvest_2017_Formulae!$C$2:$D$968,2,FALSE)</f>
        <v>ORNGADIDA</v>
      </c>
      <c r="F54" s="29" t="s">
        <v>777</v>
      </c>
      <c r="G54" s="61" t="s">
        <v>546</v>
      </c>
      <c r="H54" s="29" t="s">
        <v>547</v>
      </c>
      <c r="I54" s="29" t="s">
        <v>546</v>
      </c>
      <c r="J54" s="29" t="s">
        <v>546</v>
      </c>
      <c r="K54" s="29" t="s">
        <v>546</v>
      </c>
      <c r="L54" s="29" t="s">
        <v>2219</v>
      </c>
      <c r="M54" s="29" t="s">
        <v>546</v>
      </c>
      <c r="N54" s="29" t="s">
        <v>548</v>
      </c>
      <c r="O54" s="29" t="s">
        <v>550</v>
      </c>
      <c r="P54" s="29">
        <v>0.25</v>
      </c>
      <c r="Q54" s="29">
        <v>0.5</v>
      </c>
      <c r="S54" s="29" t="s">
        <v>546</v>
      </c>
      <c r="T54" s="29">
        <v>0.75</v>
      </c>
      <c r="U54" s="29">
        <v>4</v>
      </c>
      <c r="V54" s="29" t="s">
        <v>551</v>
      </c>
      <c r="W54" s="30">
        <v>1.28</v>
      </c>
      <c r="Y54" s="29">
        <v>999</v>
      </c>
      <c r="Z54" s="29" t="s">
        <v>551</v>
      </c>
      <c r="AA54" s="62"/>
      <c r="AB54" s="29">
        <v>0.75</v>
      </c>
      <c r="AC54" s="29">
        <v>2</v>
      </c>
      <c r="AD54" s="29" t="s">
        <v>551</v>
      </c>
      <c r="AE54" s="62">
        <v>0.64</v>
      </c>
      <c r="AF54" s="29" t="s">
        <v>546</v>
      </c>
      <c r="AG54" s="29" t="s">
        <v>546</v>
      </c>
      <c r="AH54" s="29" t="s">
        <v>546</v>
      </c>
      <c r="AI54" s="29" t="s">
        <v>546</v>
      </c>
      <c r="AJ54" s="29" t="s">
        <v>546</v>
      </c>
      <c r="AK54" s="29">
        <v>0</v>
      </c>
      <c r="AL54" s="29">
        <v>2</v>
      </c>
      <c r="AM54" s="29" t="s">
        <v>1138</v>
      </c>
      <c r="AN54" s="29" t="s">
        <v>1139</v>
      </c>
      <c r="AO54" s="29">
        <v>-4.3043117523193359</v>
      </c>
      <c r="AP54" s="29">
        <v>35.865875244140625</v>
      </c>
      <c r="AQ54" s="29">
        <v>1246.800048828125</v>
      </c>
      <c r="AR54" s="29">
        <v>5</v>
      </c>
      <c r="AS54" s="29">
        <v>1706031849</v>
      </c>
      <c r="AT54" s="29" t="s">
        <v>1140</v>
      </c>
      <c r="AU54" s="31">
        <v>42950.967638888891</v>
      </c>
      <c r="AV54" s="31">
        <v>42949.569479166668</v>
      </c>
      <c r="AW54" s="31">
        <v>42950.856122685189</v>
      </c>
      <c r="AX54" s="32">
        <v>42797</v>
      </c>
      <c r="AZ54" s="44">
        <v>5.1265020576131688</v>
      </c>
      <c r="BA54" s="44">
        <v>5.5359670781893007</v>
      </c>
      <c r="BB54" s="44">
        <v>3.8335294117647063</v>
      </c>
      <c r="BC54" s="44">
        <v>4.6309803921568626</v>
      </c>
      <c r="BD54" s="29" t="s">
        <v>2171</v>
      </c>
      <c r="BE54" s="29">
        <v>1.0361100435299999</v>
      </c>
      <c r="BF54" s="29" t="str">
        <f>IF(BE54&lt;0.5,"Depression",IF(BE54&lt;2,"Very gentle",IF(BE54&lt;5,"Gentle",IF(BE54&lt;9,"Moderate",IF(BE54&lt;15,"Strong",IF(BE54&lt;30,"Steep",IF(BE54&lt;1,"Very steep")))))))</f>
        <v>Very gentle</v>
      </c>
      <c r="BG54" s="29" t="s">
        <v>2177</v>
      </c>
      <c r="BH54" s="29">
        <v>0.54385989904400001</v>
      </c>
      <c r="BI54" s="43">
        <v>8.8965396881099998</v>
      </c>
      <c r="BJ54" s="43">
        <f>VLOOKUP(D54,[1]SoilData!$G$15:$K$237,5,FALSE)</f>
        <v>29.985836517975233</v>
      </c>
      <c r="BK54" s="43">
        <f>VLOOKUP(D54,[1]SoilData!$G$245:$K$451,5,FALSE)</f>
        <v>391.12919621651605</v>
      </c>
      <c r="BL54" s="43">
        <f>VLOOKUP(D54,[1]SoilData!$G$15:$M$238,7,FALSE)</f>
        <v>0.68400000000000005</v>
      </c>
      <c r="BM54" s="43"/>
      <c r="BN54" s="60"/>
      <c r="BO54" s="44">
        <f>AVERAGE(BB54:BC54)</f>
        <v>4.2322549019607845</v>
      </c>
      <c r="BP54" s="44">
        <f>AVERAGE(AZ54:BA54)</f>
        <v>5.3312345679012347</v>
      </c>
      <c r="BQ54" s="43">
        <f>BP54-BO54</f>
        <v>1.0989796659404503</v>
      </c>
      <c r="BR54" s="64">
        <f>IF(W54&gt;0.000001,W54*352,0)</f>
        <v>450.56</v>
      </c>
      <c r="BS54" s="64">
        <f>IF(AE54&gt;0.0001,AE54*682,0)</f>
        <v>436.48</v>
      </c>
      <c r="BT54" s="64">
        <f>AA54*795</f>
        <v>0</v>
      </c>
      <c r="BU54" s="64">
        <f>BR54+BS54+BT54</f>
        <v>887.04</v>
      </c>
      <c r="BV54" s="64">
        <f>IF(G54="YES",3.5*18.2,0)</f>
        <v>0</v>
      </c>
      <c r="BW54" s="64">
        <f>BU54-BV54</f>
        <v>887.04</v>
      </c>
    </row>
    <row r="55" spans="1:75" x14ac:dyDescent="0.15">
      <c r="A55" s="29" t="s">
        <v>556</v>
      </c>
      <c r="B55" s="29">
        <v>214</v>
      </c>
      <c r="C55" s="29" t="s">
        <v>344</v>
      </c>
      <c r="D55" s="29" t="s">
        <v>344</v>
      </c>
      <c r="E55" s="29" t="str">
        <f>VLOOKUP(D55,Harvest_2017_Formulae!$C$2:$D$968,2,FALSE)</f>
        <v>ENDAGWE</v>
      </c>
      <c r="F55" s="29" t="s">
        <v>732</v>
      </c>
      <c r="G55" s="61" t="s">
        <v>546</v>
      </c>
      <c r="H55" s="29" t="s">
        <v>547</v>
      </c>
      <c r="I55" s="29" t="s">
        <v>546</v>
      </c>
      <c r="J55" s="29" t="s">
        <v>546</v>
      </c>
      <c r="K55" s="29" t="s">
        <v>546</v>
      </c>
      <c r="L55" s="29" t="s">
        <v>2220</v>
      </c>
      <c r="M55" s="29" t="s">
        <v>546</v>
      </c>
      <c r="N55" s="29" t="s">
        <v>548</v>
      </c>
      <c r="O55" s="29" t="s">
        <v>550</v>
      </c>
      <c r="P55" s="29">
        <v>0.25</v>
      </c>
      <c r="Q55" s="29">
        <v>0.75</v>
      </c>
      <c r="S55" s="29" t="s">
        <v>548</v>
      </c>
      <c r="T55" s="29">
        <v>1</v>
      </c>
      <c r="U55" s="29">
        <v>11</v>
      </c>
      <c r="V55" s="29" t="s">
        <v>551</v>
      </c>
      <c r="W55" s="30">
        <v>2.64</v>
      </c>
      <c r="Y55" s="29">
        <v>999</v>
      </c>
      <c r="Z55" s="29" t="s">
        <v>551</v>
      </c>
      <c r="AA55" s="62"/>
      <c r="AB55" s="29">
        <v>1</v>
      </c>
      <c r="AC55" s="29">
        <v>2</v>
      </c>
      <c r="AD55" s="29" t="s">
        <v>551</v>
      </c>
      <c r="AE55" s="62">
        <v>0.48</v>
      </c>
      <c r="AF55" s="29" t="s">
        <v>546</v>
      </c>
      <c r="AG55" s="29" t="s">
        <v>548</v>
      </c>
      <c r="AH55" s="29" t="s">
        <v>548</v>
      </c>
      <c r="AI55" s="29" t="s">
        <v>546</v>
      </c>
      <c r="AJ55" s="29" t="s">
        <v>546</v>
      </c>
      <c r="AK55" s="29">
        <v>2</v>
      </c>
      <c r="AL55" s="29">
        <v>2</v>
      </c>
      <c r="AM55" s="29" t="s">
        <v>774</v>
      </c>
      <c r="AN55" s="29" t="s">
        <v>775</v>
      </c>
      <c r="AO55" s="29">
        <v>-4.3520464897155762</v>
      </c>
      <c r="AP55" s="29">
        <v>35.650688171386719</v>
      </c>
      <c r="AQ55" s="29">
        <v>1591.699951171875</v>
      </c>
      <c r="AR55" s="29">
        <v>5</v>
      </c>
      <c r="AS55" s="29">
        <v>1706031849</v>
      </c>
      <c r="AT55" s="29" t="s">
        <v>776</v>
      </c>
      <c r="AU55" s="31">
        <v>42950.967233796298</v>
      </c>
      <c r="AV55" s="31">
        <v>42934.492743055554</v>
      </c>
      <c r="AW55" s="31">
        <v>42950.961736111116</v>
      </c>
      <c r="AX55" s="32">
        <v>42772</v>
      </c>
      <c r="AZ55" s="44">
        <v>3.7722147651006712</v>
      </c>
      <c r="BA55" s="44">
        <v>2.5218344519015661</v>
      </c>
      <c r="BB55" s="44">
        <v>3.452519561815337</v>
      </c>
      <c r="BC55" s="44">
        <v>3.2545539906103294</v>
      </c>
      <c r="BD55" s="29" t="s">
        <v>2179</v>
      </c>
      <c r="BE55" s="29">
        <v>3.9993274211899998</v>
      </c>
      <c r="BF55" s="29" t="str">
        <f>IF(BE55&lt;0.5,"Depression",IF(BE55&lt;2,"Very gentle",IF(BE55&lt;5,"Gentle",IF(BE55&lt;9,"Moderate",IF(BE55&lt;15,"Strong",IF(BE55&lt;30,"Steep",IF(BE55&lt;1,"Very steep")))))))</f>
        <v>Gentle</v>
      </c>
      <c r="BG55" s="29" t="s">
        <v>2172</v>
      </c>
      <c r="BH55" s="29">
        <v>-0.725126743317</v>
      </c>
      <c r="BI55" s="43">
        <v>10.1581029892</v>
      </c>
      <c r="BJ55" s="43">
        <f>VLOOKUP(D55,[1]SoilData!$G$15:$K$237,5,FALSE)</f>
        <v>311.75152886791551</v>
      </c>
      <c r="BK55" s="43">
        <f>VLOOKUP(D55,[1]SoilData!$G$245:$K$451,5,FALSE)</f>
        <v>550.51217797467154</v>
      </c>
      <c r="BL55" s="43">
        <f>VLOOKUP(D55,[1]SoilData!$G$15:$M$238,7,FALSE)</f>
        <v>1.4390000000000001</v>
      </c>
      <c r="BM55" s="43">
        <f>VLOOKUP(D55,[1]SoilData!$G$245:$M$454,7,FALSE)</f>
        <v>1.599</v>
      </c>
      <c r="BN55" s="60">
        <f>BL55-BM55</f>
        <v>-0.15999999999999992</v>
      </c>
      <c r="BO55" s="44">
        <f>AVERAGE(BB55:BC55)</f>
        <v>3.3535367762128332</v>
      </c>
      <c r="BP55" s="44">
        <f>AVERAGE(AZ55:BA55)</f>
        <v>3.1470246085011189</v>
      </c>
      <c r="BQ55" s="43">
        <f>BP55-BO55</f>
        <v>-0.20651216771171432</v>
      </c>
      <c r="BR55" s="64">
        <f>IF(W55&gt;0.000001,W55*352,0)</f>
        <v>929.28000000000009</v>
      </c>
      <c r="BS55" s="64">
        <f>IF(AE55&gt;0.0001,AE55*682,0)</f>
        <v>327.36</v>
      </c>
      <c r="BT55" s="64">
        <f>AA55*795</f>
        <v>0</v>
      </c>
      <c r="BU55" s="64">
        <f>BR55+BS55+BT55</f>
        <v>1256.6400000000001</v>
      </c>
      <c r="BV55" s="64">
        <f>IF(G55="YES",3.5*18.2,0)</f>
        <v>0</v>
      </c>
      <c r="BW55" s="64">
        <f>BU55-BV55</f>
        <v>1256.6400000000001</v>
      </c>
    </row>
    <row r="56" spans="1:75" x14ac:dyDescent="0.15">
      <c r="A56" s="29" t="s">
        <v>556</v>
      </c>
      <c r="B56" s="29">
        <v>203</v>
      </c>
      <c r="C56" s="29" t="s">
        <v>408</v>
      </c>
      <c r="D56" s="29" t="s">
        <v>408</v>
      </c>
      <c r="E56" s="29" t="str">
        <f>VLOOKUP(D56,Harvest_2017_Formulae!$C$2:$D$968,2,FALSE)</f>
        <v>TSAMASI</v>
      </c>
      <c r="F56" s="29" t="s">
        <v>1014</v>
      </c>
      <c r="G56" s="61" t="s">
        <v>546</v>
      </c>
      <c r="H56" s="29" t="s">
        <v>547</v>
      </c>
      <c r="I56" s="29" t="s">
        <v>546</v>
      </c>
      <c r="J56" s="29" t="s">
        <v>546</v>
      </c>
      <c r="K56" s="29" t="s">
        <v>546</v>
      </c>
      <c r="L56" s="29" t="s">
        <v>2221</v>
      </c>
      <c r="M56" s="29" t="s">
        <v>546</v>
      </c>
      <c r="N56" s="29" t="s">
        <v>546</v>
      </c>
      <c r="O56" s="29" t="s">
        <v>547</v>
      </c>
      <c r="P56" s="29">
        <v>0.25</v>
      </c>
      <c r="Q56" s="29">
        <v>3.25</v>
      </c>
      <c r="S56" s="29" t="s">
        <v>546</v>
      </c>
      <c r="T56" s="29">
        <v>2</v>
      </c>
      <c r="U56" s="29">
        <v>40</v>
      </c>
      <c r="V56" s="29" t="s">
        <v>551</v>
      </c>
      <c r="W56" s="30">
        <v>4.8</v>
      </c>
      <c r="Y56" s="29">
        <v>999</v>
      </c>
      <c r="Z56" s="29" t="s">
        <v>551</v>
      </c>
      <c r="AA56" s="62"/>
      <c r="AB56" s="29">
        <v>3</v>
      </c>
      <c r="AC56" s="29">
        <v>6</v>
      </c>
      <c r="AD56" s="29" t="s">
        <v>551</v>
      </c>
      <c r="AE56" s="62">
        <v>0.48</v>
      </c>
      <c r="AF56" s="29" t="s">
        <v>546</v>
      </c>
      <c r="AG56" s="29" t="s">
        <v>546</v>
      </c>
      <c r="AH56" s="29" t="s">
        <v>546</v>
      </c>
      <c r="AI56" s="29" t="s">
        <v>546</v>
      </c>
      <c r="AJ56" s="29" t="s">
        <v>546</v>
      </c>
      <c r="AK56" s="29">
        <v>0</v>
      </c>
      <c r="AL56" s="29">
        <v>2</v>
      </c>
      <c r="AM56" s="29" t="s">
        <v>1385</v>
      </c>
      <c r="AN56" s="29" t="s">
        <v>1386</v>
      </c>
      <c r="AO56" s="29">
        <v>-4.2916555404663086</v>
      </c>
      <c r="AP56" s="29">
        <v>35.814193725585938</v>
      </c>
      <c r="AQ56" s="29">
        <v>1378.800048828125</v>
      </c>
      <c r="AR56" s="29">
        <v>5</v>
      </c>
      <c r="AS56" s="29">
        <v>1706031849</v>
      </c>
      <c r="AT56" s="29" t="s">
        <v>1387</v>
      </c>
      <c r="AU56" s="31">
        <v>42948.908530092594</v>
      </c>
      <c r="AV56" s="31">
        <v>42938.579432870371</v>
      </c>
      <c r="AW56" s="31">
        <v>42938.585405092592</v>
      </c>
      <c r="AX56" s="32">
        <v>42794</v>
      </c>
      <c r="AZ56" s="44">
        <v>3.558085585585586</v>
      </c>
      <c r="BA56" s="44">
        <v>3.5257882882882883</v>
      </c>
      <c r="BB56" s="44">
        <v>1.732936507936508</v>
      </c>
      <c r="BC56" s="44">
        <v>2.7989550264550269</v>
      </c>
      <c r="BD56" s="29" t="s">
        <v>2174</v>
      </c>
      <c r="BE56" s="29">
        <v>7.8896226882900002</v>
      </c>
      <c r="BF56" s="29" t="str">
        <f>IF(BE56&lt;0.5,"Depression",IF(BE56&lt;2,"Very gentle",IF(BE56&lt;5,"Gentle",IF(BE56&lt;9,"Moderate",IF(BE56&lt;15,"Strong",IF(BE56&lt;30,"Steep",IF(BE56&lt;1,"Very steep")))))))</f>
        <v>Moderate</v>
      </c>
      <c r="BG56" s="29" t="s">
        <v>2178</v>
      </c>
      <c r="BH56" s="29">
        <v>-9.0633422136300004E-2</v>
      </c>
      <c r="BI56" s="43">
        <v>8.8443002700799997</v>
      </c>
      <c r="BJ56" s="43">
        <f>VLOOKUP(D56,[1]SoilData!$G$15:$K$237,5,FALSE)</f>
        <v>267.07510142062972</v>
      </c>
      <c r="BK56" s="43">
        <f>VLOOKUP(D56,[1]SoilData!$G$245:$K$451,5,FALSE)</f>
        <v>190.38868744669747</v>
      </c>
      <c r="BL56" s="43">
        <f>VLOOKUP(D56,[1]SoilData!$G$15:$M$238,7,FALSE)</f>
        <v>1.056</v>
      </c>
      <c r="BM56" s="43">
        <f>VLOOKUP(D56,[1]SoilData!$G$245:$M$454,7,FALSE)</f>
        <v>0.88800000000000001</v>
      </c>
      <c r="BN56" s="60">
        <f>BL56-BM56</f>
        <v>0.16800000000000004</v>
      </c>
      <c r="BO56" s="44">
        <f>AVERAGE(BB56:BC56)</f>
        <v>2.2659457671957677</v>
      </c>
      <c r="BP56" s="44">
        <f>AVERAGE(AZ56:BA56)</f>
        <v>3.5419369369369371</v>
      </c>
      <c r="BQ56" s="43">
        <f>BP56-BO56</f>
        <v>1.2759911697411694</v>
      </c>
      <c r="BR56" s="64">
        <f>IF(W56&gt;0.000001,W56*352,0)</f>
        <v>1689.6</v>
      </c>
      <c r="BS56" s="64">
        <f>IF(AE56&gt;0.0001,AE56*682,0)</f>
        <v>327.36</v>
      </c>
      <c r="BT56" s="64">
        <f>AA56*795</f>
        <v>0</v>
      </c>
      <c r="BU56" s="64">
        <f>BR56+BS56+BT56</f>
        <v>2016.96</v>
      </c>
      <c r="BV56" s="64">
        <f>IF(G56="YES",3.5*18.2,0)</f>
        <v>0</v>
      </c>
      <c r="BW56" s="64">
        <f>BU56-BV56</f>
        <v>2016.96</v>
      </c>
    </row>
    <row r="57" spans="1:75" s="57" customFormat="1" x14ac:dyDescent="0.15">
      <c r="A57" s="29" t="s">
        <v>556</v>
      </c>
      <c r="B57" s="29">
        <v>221</v>
      </c>
      <c r="C57" s="29" t="s">
        <v>1100</v>
      </c>
      <c r="D57" s="29" t="s">
        <v>369</v>
      </c>
      <c r="E57" s="29" t="str">
        <f>VLOOKUP(D57,Harvest_2017_Formulae!$C$2:$D$968,2,FALSE)</f>
        <v>ORNGADIDA</v>
      </c>
      <c r="F57" s="29" t="s">
        <v>777</v>
      </c>
      <c r="G57" s="61" t="s">
        <v>546</v>
      </c>
      <c r="H57" s="29" t="s">
        <v>547</v>
      </c>
      <c r="I57" s="29" t="s">
        <v>546</v>
      </c>
      <c r="J57" s="29" t="s">
        <v>546</v>
      </c>
      <c r="K57" s="29" t="s">
        <v>546</v>
      </c>
      <c r="L57" s="29" t="s">
        <v>2219</v>
      </c>
      <c r="M57" s="29" t="s">
        <v>546</v>
      </c>
      <c r="N57" s="29" t="s">
        <v>546</v>
      </c>
      <c r="O57" s="29" t="s">
        <v>547</v>
      </c>
      <c r="P57" s="29">
        <v>0.25</v>
      </c>
      <c r="Q57" s="29"/>
      <c r="R57" s="29"/>
      <c r="S57" s="29" t="s">
        <v>546</v>
      </c>
      <c r="T57" s="29">
        <v>0.25</v>
      </c>
      <c r="U57" s="29">
        <v>2</v>
      </c>
      <c r="V57" s="29" t="s">
        <v>552</v>
      </c>
      <c r="W57" s="30">
        <v>0.32063999999999998</v>
      </c>
      <c r="X57" s="29">
        <v>0.25</v>
      </c>
      <c r="Y57" s="29">
        <v>999</v>
      </c>
      <c r="Z57" s="29" t="s">
        <v>551</v>
      </c>
      <c r="AA57" s="62"/>
      <c r="AB57" s="29">
        <v>0.25</v>
      </c>
      <c r="AC57" s="29">
        <v>2</v>
      </c>
      <c r="AD57" s="29" t="s">
        <v>552</v>
      </c>
      <c r="AE57" s="62">
        <v>0.32063999999999998</v>
      </c>
      <c r="AF57" s="29" t="s">
        <v>546</v>
      </c>
      <c r="AG57" s="29" t="s">
        <v>546</v>
      </c>
      <c r="AH57" s="29" t="s">
        <v>546</v>
      </c>
      <c r="AI57" s="29" t="s">
        <v>546</v>
      </c>
      <c r="AJ57" s="29" t="s">
        <v>546</v>
      </c>
      <c r="AK57" s="29">
        <v>0</v>
      </c>
      <c r="AL57" s="29">
        <v>2</v>
      </c>
      <c r="AM57" s="29" t="s">
        <v>1101</v>
      </c>
      <c r="AN57" s="29" t="s">
        <v>1102</v>
      </c>
      <c r="AO57" s="29">
        <v>-4.3045344352722168</v>
      </c>
      <c r="AP57" s="29">
        <v>35.866374969482422</v>
      </c>
      <c r="AQ57" s="29">
        <v>1243.699951171875</v>
      </c>
      <c r="AR57" s="29">
        <v>5</v>
      </c>
      <c r="AS57" s="29">
        <v>1706031849</v>
      </c>
      <c r="AT57" s="29" t="s">
        <v>1103</v>
      </c>
      <c r="AU57" s="31">
        <v>42950.967650462961</v>
      </c>
      <c r="AV57" s="31">
        <v>42949.572800925926</v>
      </c>
      <c r="AW57" s="31">
        <v>42950.852106481485</v>
      </c>
      <c r="AX57" s="32">
        <v>42794</v>
      </c>
      <c r="AY57" s="29"/>
      <c r="AZ57" s="44">
        <v>7.1560905349794242</v>
      </c>
      <c r="BA57" s="44">
        <v>5.4881893004115225</v>
      </c>
      <c r="BB57" s="44">
        <v>5.0021241830065355</v>
      </c>
      <c r="BC57" s="44">
        <v>4.5060457516339865</v>
      </c>
      <c r="BD57" s="29" t="s">
        <v>2171</v>
      </c>
      <c r="BE57" s="29">
        <v>1.0361100435299999</v>
      </c>
      <c r="BF57" s="29" t="str">
        <f>IF(BE57&lt;0.5,"Depression",IF(BE57&lt;2,"Very gentle",IF(BE57&lt;5,"Gentle",IF(BE57&lt;9,"Moderate",IF(BE57&lt;15,"Strong",IF(BE57&lt;30,"Steep",IF(BE57&lt;1,"Very steep")))))))</f>
        <v>Very gentle</v>
      </c>
      <c r="BG57" s="29" t="s">
        <v>2177</v>
      </c>
      <c r="BH57" s="29">
        <v>0.54385989904400001</v>
      </c>
      <c r="BI57" s="43">
        <v>8.8965396881099998</v>
      </c>
      <c r="BJ57" s="43">
        <f>VLOOKUP(D57,[1]SoilData!$G$15:$K$237,5,FALSE)</f>
        <v>253.25475489831277</v>
      </c>
      <c r="BK57" s="43">
        <f>VLOOKUP(D57,[1]SoilData!$G$245:$K$451,5,FALSE)</f>
        <v>331.97159242310181</v>
      </c>
      <c r="BL57" s="43">
        <f>VLOOKUP(D57,[1]SoilData!$G$15:$M$238,7,FALSE)</f>
        <v>1.5629999999999999</v>
      </c>
      <c r="BM57" s="43">
        <f>VLOOKUP(D57,[1]SoilData!$G$245:$M$454,7,FALSE)</f>
        <v>1.734</v>
      </c>
      <c r="BN57" s="60">
        <f>BL57-BM57</f>
        <v>-0.17100000000000004</v>
      </c>
      <c r="BO57" s="44">
        <f>AVERAGE(BB57:BC57)</f>
        <v>4.754084967320261</v>
      </c>
      <c r="BP57" s="44">
        <f>AVERAGE(AZ57:BA57)</f>
        <v>6.3221399176954733</v>
      </c>
      <c r="BQ57" s="43">
        <f>BP57-BO57</f>
        <v>1.5680549503752124</v>
      </c>
      <c r="BR57" s="64">
        <f>IF(W57&gt;0.000001,W57*352,0)</f>
        <v>112.86528</v>
      </c>
      <c r="BS57" s="64">
        <f>IF(AE57&gt;0.0001,AE57*682,0)</f>
        <v>218.67648</v>
      </c>
      <c r="BT57" s="64">
        <f>AA57*795</f>
        <v>0</v>
      </c>
      <c r="BU57" s="64">
        <f>BR57+BS57+BT57</f>
        <v>331.54176000000001</v>
      </c>
      <c r="BV57" s="64">
        <f>IF(G57="YES",3.5*18.2,0)</f>
        <v>0</v>
      </c>
      <c r="BW57" s="64">
        <f>BU57-BV57</f>
        <v>331.54176000000001</v>
      </c>
    </row>
    <row r="58" spans="1:75" x14ac:dyDescent="0.15">
      <c r="A58" s="29" t="s">
        <v>556</v>
      </c>
      <c r="B58" s="29">
        <v>216</v>
      </c>
      <c r="C58" s="29" t="s">
        <v>131</v>
      </c>
      <c r="D58" s="29" t="s">
        <v>131</v>
      </c>
      <c r="E58" s="29" t="str">
        <f>VLOOKUP(D58,Harvest_2017_Formulae!$C$2:$D$968,2,FALSE)</f>
        <v>ENDAGWE</v>
      </c>
      <c r="F58" s="29" t="s">
        <v>777</v>
      </c>
      <c r="G58" s="61" t="s">
        <v>546</v>
      </c>
      <c r="H58" s="29" t="s">
        <v>547</v>
      </c>
      <c r="I58" s="29" t="s">
        <v>546</v>
      </c>
      <c r="J58" s="29" t="s">
        <v>546</v>
      </c>
      <c r="K58" s="29" t="s">
        <v>546</v>
      </c>
      <c r="L58" s="29" t="s">
        <v>2221</v>
      </c>
      <c r="M58" s="29" t="s">
        <v>548</v>
      </c>
      <c r="N58" s="29" t="s">
        <v>548</v>
      </c>
      <c r="O58" s="29" t="s">
        <v>550</v>
      </c>
      <c r="P58" s="29">
        <v>0.25</v>
      </c>
      <c r="Q58" s="29">
        <v>0.25</v>
      </c>
      <c r="S58" s="29" t="s">
        <v>548</v>
      </c>
      <c r="T58" s="29">
        <v>0.5</v>
      </c>
      <c r="U58" s="29">
        <v>7</v>
      </c>
      <c r="V58" s="29" t="s">
        <v>551</v>
      </c>
      <c r="W58" s="30">
        <v>3.3600000000000003</v>
      </c>
      <c r="Y58" s="29">
        <v>999</v>
      </c>
      <c r="Z58" s="29" t="s">
        <v>551</v>
      </c>
      <c r="AA58" s="62"/>
      <c r="AB58" s="29">
        <v>0.5</v>
      </c>
      <c r="AC58" s="29">
        <v>5</v>
      </c>
      <c r="AD58" s="29" t="s">
        <v>552</v>
      </c>
      <c r="AE58" s="62">
        <v>0.40079999999999999</v>
      </c>
      <c r="AF58" s="29" t="s">
        <v>546</v>
      </c>
      <c r="AG58" s="29" t="s">
        <v>546</v>
      </c>
      <c r="AH58" s="29" t="s">
        <v>546</v>
      </c>
      <c r="AI58" s="29" t="s">
        <v>546</v>
      </c>
      <c r="AJ58" s="29" t="s">
        <v>546</v>
      </c>
      <c r="AK58" s="29">
        <v>0</v>
      </c>
      <c r="AL58" s="29">
        <v>2</v>
      </c>
      <c r="AM58" s="29" t="s">
        <v>779</v>
      </c>
      <c r="AN58" s="29" t="s">
        <v>780</v>
      </c>
      <c r="AO58" s="29">
        <v>-4.3781700134277344</v>
      </c>
      <c r="AP58" s="29">
        <v>35.645359039306641</v>
      </c>
      <c r="AQ58" s="29">
        <v>1671.199951171875</v>
      </c>
      <c r="AR58" s="29">
        <v>5</v>
      </c>
      <c r="AS58" s="29">
        <v>1706031849</v>
      </c>
      <c r="AT58" s="29" t="s">
        <v>781</v>
      </c>
      <c r="AU58" s="31">
        <v>42950.967453703706</v>
      </c>
      <c r="AV58" s="31">
        <v>42935.456076388888</v>
      </c>
      <c r="AW58" s="31">
        <v>42950.893634259264</v>
      </c>
      <c r="AX58" s="32">
        <v>42827</v>
      </c>
      <c r="AZ58" s="44">
        <v>1.4233766233766234</v>
      </c>
      <c r="BA58" s="44">
        <v>1.2335930735930736</v>
      </c>
      <c r="BB58" s="44">
        <v>1.9072628726287266</v>
      </c>
      <c r="BC58" s="44">
        <v>2.359308943089431</v>
      </c>
      <c r="BD58" s="29" t="s">
        <v>2180</v>
      </c>
      <c r="BE58" s="29">
        <v>1.3195674419400001</v>
      </c>
      <c r="BF58" s="29" t="str">
        <f>IF(BE58&lt;0.5,"Depression",IF(BE58&lt;2,"Very gentle",IF(BE58&lt;5,"Gentle",IF(BE58&lt;9,"Moderate",IF(BE58&lt;15,"Strong",IF(BE58&lt;30,"Steep",IF(BE58&lt;1,"Very steep")))))))</f>
        <v>Very gentle</v>
      </c>
      <c r="BG58" s="29" t="s">
        <v>2177</v>
      </c>
      <c r="BH58" s="29">
        <v>0.815785527229</v>
      </c>
      <c r="BI58" s="43">
        <v>7.9470510482799996</v>
      </c>
      <c r="BJ58" s="43">
        <f>VLOOKUP(D58,[1]SoilData!$G$15:$K$237,5,FALSE)</f>
        <v>120.10482534901254</v>
      </c>
      <c r="BK58" s="43">
        <f>VLOOKUP(D58,[1]SoilData!$G$245:$K$451,5,FALSE)</f>
        <v>139.12203732794822</v>
      </c>
      <c r="BL58" s="43">
        <f>VLOOKUP(D58,[1]SoilData!$G$15:$M$238,7,FALSE)</f>
        <v>0.79600000000000004</v>
      </c>
      <c r="BM58" s="43">
        <f>VLOOKUP(D58,[1]SoilData!$G$245:$M$454,7,FALSE)</f>
        <v>1.0389999999999999</v>
      </c>
      <c r="BN58" s="60">
        <f>BL58-BM58</f>
        <v>-0.24299999999999988</v>
      </c>
      <c r="BO58" s="44">
        <f>AVERAGE(BB58:BC58)</f>
        <v>2.1332859078590789</v>
      </c>
      <c r="BP58" s="44">
        <f>AVERAGE(AZ58:BA58)</f>
        <v>1.3284848484848486</v>
      </c>
      <c r="BQ58" s="43">
        <f>BP58-BO58</f>
        <v>-0.8048010593742303</v>
      </c>
      <c r="BR58" s="64">
        <f>IF(W58&gt;0.000001,W58*352,0)</f>
        <v>1182.72</v>
      </c>
      <c r="BS58" s="64">
        <f>IF(AE58&gt;0.0001,AE58*682,0)</f>
        <v>273.34559999999999</v>
      </c>
      <c r="BT58" s="64">
        <f>AA58*795</f>
        <v>0</v>
      </c>
      <c r="BU58" s="64">
        <f>BR58+BS58+BT58</f>
        <v>1456.0655999999999</v>
      </c>
      <c r="BV58" s="64">
        <f>IF(G58="YES",3.5*18.2,0)</f>
        <v>0</v>
      </c>
      <c r="BW58" s="64">
        <f>BU58-BV58</f>
        <v>1456.0655999999999</v>
      </c>
    </row>
    <row r="59" spans="1:75" x14ac:dyDescent="0.15">
      <c r="A59" s="33" t="s">
        <v>556</v>
      </c>
      <c r="B59" s="33">
        <v>131</v>
      </c>
      <c r="C59" s="33" t="s">
        <v>174</v>
      </c>
      <c r="D59" s="33" t="s">
        <v>174</v>
      </c>
      <c r="E59" s="33" t="str">
        <f>VLOOKUP(D59,Harvest_2017_Formulae!$C$2:$D$968,2,FALSE)</f>
        <v>HALLU</v>
      </c>
      <c r="F59" s="33" t="s">
        <v>938</v>
      </c>
      <c r="G59" s="61" t="s">
        <v>546</v>
      </c>
      <c r="H59" s="33" t="s">
        <v>547</v>
      </c>
      <c r="I59" s="33" t="s">
        <v>546</v>
      </c>
      <c r="J59" s="33" t="s">
        <v>546</v>
      </c>
      <c r="K59" s="33" t="s">
        <v>546</v>
      </c>
      <c r="L59" s="29" t="s">
        <v>2219</v>
      </c>
      <c r="M59" s="33" t="s">
        <v>546</v>
      </c>
      <c r="N59" s="33" t="s">
        <v>546</v>
      </c>
      <c r="O59" s="33" t="s">
        <v>547</v>
      </c>
      <c r="P59" s="33">
        <v>0.25</v>
      </c>
      <c r="Q59" s="33">
        <v>1.75</v>
      </c>
      <c r="R59" s="33"/>
      <c r="S59" s="33" t="s">
        <v>548</v>
      </c>
      <c r="T59" s="33">
        <v>2</v>
      </c>
      <c r="U59" s="33">
        <v>13</v>
      </c>
      <c r="V59" s="33" t="s">
        <v>551</v>
      </c>
      <c r="W59" s="33">
        <v>1.56</v>
      </c>
      <c r="X59" s="33"/>
      <c r="Y59" s="33">
        <v>999</v>
      </c>
      <c r="Z59" s="33" t="s">
        <v>551</v>
      </c>
      <c r="AA59" s="63"/>
      <c r="AB59" s="33">
        <v>2</v>
      </c>
      <c r="AC59" s="33">
        <v>1.5</v>
      </c>
      <c r="AD59" s="33" t="s">
        <v>551</v>
      </c>
      <c r="AE59" s="63">
        <v>0.18</v>
      </c>
      <c r="AF59" s="33" t="s">
        <v>546</v>
      </c>
      <c r="AG59" s="33" t="s">
        <v>546</v>
      </c>
      <c r="AH59" s="33" t="s">
        <v>548</v>
      </c>
      <c r="AI59" s="33" t="s">
        <v>546</v>
      </c>
      <c r="AJ59" s="33" t="s">
        <v>546</v>
      </c>
      <c r="AK59" s="33">
        <v>1</v>
      </c>
      <c r="AL59" s="33">
        <v>2</v>
      </c>
      <c r="AM59" s="33" t="s">
        <v>950</v>
      </c>
      <c r="AN59" s="33" t="s">
        <v>951</v>
      </c>
      <c r="AO59" s="33">
        <v>-4.28460693359375</v>
      </c>
      <c r="AP59" s="33">
        <v>35.8924560546875</v>
      </c>
      <c r="AQ59" s="33">
        <v>1222.0999755859375</v>
      </c>
      <c r="AR59" s="33">
        <v>5</v>
      </c>
      <c r="AS59" s="33">
        <v>1706031849</v>
      </c>
      <c r="AT59" s="33" t="s">
        <v>952</v>
      </c>
      <c r="AU59" s="37">
        <v>42907.59306712963</v>
      </c>
      <c r="AV59" s="37">
        <v>42906.673738425925</v>
      </c>
      <c r="AW59" s="37">
        <v>42906.678935185184</v>
      </c>
      <c r="AX59" s="38">
        <v>42789</v>
      </c>
      <c r="AZ59" s="44">
        <v>6.7044444444444444</v>
      </c>
      <c r="BA59" s="44">
        <v>4.511111111111112</v>
      </c>
      <c r="BB59" s="44">
        <v>4.1539094650205763</v>
      </c>
      <c r="BC59" s="44">
        <v>4.5947325102880656</v>
      </c>
      <c r="BD59" s="29" t="s">
        <v>2171</v>
      </c>
      <c r="BE59" s="29">
        <v>0.87375217676200001</v>
      </c>
      <c r="BF59" s="29" t="str">
        <f>IF(BE59&lt;0.5,"Depression",IF(BE59&lt;2,"Very gentle",IF(BE59&lt;5,"Gentle",IF(BE59&lt;9,"Moderate",IF(BE59&lt;15,"Strong",IF(BE59&lt;30,"Steep",IF(BE59&lt;1,"Very steep")))))))</f>
        <v>Very gentle</v>
      </c>
      <c r="BG59" s="29" t="s">
        <v>2173</v>
      </c>
      <c r="BH59" s="29">
        <v>-9.0633422136300004E-2</v>
      </c>
      <c r="BI59" s="43">
        <v>10.7202291489</v>
      </c>
      <c r="BJ59" s="43">
        <f>VLOOKUP(D59,[1]SoilData!$G$15:$K$237,5,FALSE)</f>
        <v>374.43608098413478</v>
      </c>
      <c r="BK59" s="43">
        <f>VLOOKUP(D59,[1]SoilData!$G$245:$K$451,5,FALSE)</f>
        <v>338.18432165100319</v>
      </c>
      <c r="BL59" s="43">
        <f>VLOOKUP(D59,[1]SoilData!$G$15:$M$238,7,FALSE)</f>
        <v>1.9690000000000001</v>
      </c>
      <c r="BM59" s="43">
        <f>VLOOKUP(D59,[1]SoilData!$G$245:$M$454,7,FALSE)</f>
        <v>1.758</v>
      </c>
      <c r="BN59" s="60">
        <f>BL59-BM59</f>
        <v>0.21100000000000008</v>
      </c>
      <c r="BO59" s="44">
        <f>AVERAGE(BB59:BC59)</f>
        <v>4.374320987654321</v>
      </c>
      <c r="BP59" s="44">
        <f>AVERAGE(AZ59:BA59)</f>
        <v>5.6077777777777786</v>
      </c>
      <c r="BQ59" s="43">
        <f>BP59-BO59</f>
        <v>1.2334567901234577</v>
      </c>
      <c r="BR59" s="64">
        <f>IF(W59&gt;0.000001,W59*352,0)</f>
        <v>549.12</v>
      </c>
      <c r="BS59" s="64">
        <f>IF(AE59&gt;0.0001,AE59*682,0)</f>
        <v>122.75999999999999</v>
      </c>
      <c r="BT59" s="64">
        <f>AA59*795</f>
        <v>0</v>
      </c>
      <c r="BU59" s="64">
        <f>BR59+BS59+BT59</f>
        <v>671.88</v>
      </c>
      <c r="BV59" s="64">
        <f>IF(G59="YES",3.5*18.2,0)</f>
        <v>0</v>
      </c>
      <c r="BW59" s="64">
        <f>BU59-BV59</f>
        <v>671.88</v>
      </c>
    </row>
    <row r="60" spans="1:75" x14ac:dyDescent="0.15">
      <c r="A60" s="29" t="s">
        <v>556</v>
      </c>
      <c r="B60" s="29">
        <v>226</v>
      </c>
      <c r="C60" s="29" t="s">
        <v>756</v>
      </c>
      <c r="D60" s="29" t="s">
        <v>127</v>
      </c>
      <c r="E60" s="29" t="str">
        <f>VLOOKUP(D60,Harvest_2017_Formulae!$C$2:$D$968,2,FALSE)</f>
        <v>ENDAGWE</v>
      </c>
      <c r="F60" s="29" t="s">
        <v>732</v>
      </c>
      <c r="G60" s="61" t="s">
        <v>546</v>
      </c>
      <c r="H60" s="29" t="s">
        <v>547</v>
      </c>
      <c r="I60" s="29" t="s">
        <v>548</v>
      </c>
      <c r="J60" s="29" t="s">
        <v>546</v>
      </c>
      <c r="K60" s="29" t="s">
        <v>546</v>
      </c>
      <c r="L60" s="29" t="s">
        <v>2220</v>
      </c>
      <c r="M60" s="29" t="s">
        <v>546</v>
      </c>
      <c r="N60" s="29" t="s">
        <v>546</v>
      </c>
      <c r="O60" s="29" t="s">
        <v>547</v>
      </c>
      <c r="P60" s="29">
        <v>0.25</v>
      </c>
      <c r="Q60" s="29">
        <v>0.25</v>
      </c>
      <c r="S60" s="29" t="s">
        <v>546</v>
      </c>
      <c r="T60" s="29">
        <v>0.5</v>
      </c>
      <c r="U60" s="29">
        <v>4</v>
      </c>
      <c r="V60" s="29" t="s">
        <v>551</v>
      </c>
      <c r="W60" s="30">
        <v>1.92</v>
      </c>
      <c r="Y60" s="29">
        <v>999</v>
      </c>
      <c r="Z60" s="29" t="s">
        <v>551</v>
      </c>
      <c r="AA60" s="62"/>
      <c r="AB60" s="29">
        <v>0.5</v>
      </c>
      <c r="AC60" s="29">
        <v>4</v>
      </c>
      <c r="AD60" s="29" t="s">
        <v>552</v>
      </c>
      <c r="AE60" s="62">
        <v>0.32063999999999998</v>
      </c>
      <c r="AF60" s="29" t="s">
        <v>546</v>
      </c>
      <c r="AG60" s="29" t="s">
        <v>546</v>
      </c>
      <c r="AH60" s="29" t="s">
        <v>546</v>
      </c>
      <c r="AI60" s="29" t="s">
        <v>546</v>
      </c>
      <c r="AJ60" s="29" t="s">
        <v>546</v>
      </c>
      <c r="AK60" s="29">
        <v>0</v>
      </c>
      <c r="AL60" s="29">
        <v>2</v>
      </c>
      <c r="AM60" s="29" t="s">
        <v>757</v>
      </c>
      <c r="AN60" s="29" t="s">
        <v>758</v>
      </c>
      <c r="AO60" s="29">
        <v>-4.3485698699951172</v>
      </c>
      <c r="AP60" s="29">
        <v>35.658477783203125</v>
      </c>
      <c r="AQ60" s="29">
        <v>1633.4000244140625</v>
      </c>
      <c r="AR60" s="29">
        <v>5</v>
      </c>
      <c r="AS60" s="29">
        <v>1706031849</v>
      </c>
      <c r="AT60" s="29" t="s">
        <v>759</v>
      </c>
      <c r="AU60" s="31">
        <v>42950.967800925922</v>
      </c>
      <c r="AV60" s="31">
        <v>42950.68677083333</v>
      </c>
      <c r="AW60" s="31">
        <v>42950.833680555559</v>
      </c>
      <c r="AX60" s="32">
        <v>42793</v>
      </c>
      <c r="AZ60" s="44">
        <v>1.1444444444444446</v>
      </c>
      <c r="BA60" s="44">
        <v>1.4907894736842107</v>
      </c>
      <c r="BB60" s="44">
        <v>0.98685185185185198</v>
      </c>
      <c r="BC60" s="44"/>
      <c r="BD60" s="29" t="s">
        <v>2180</v>
      </c>
      <c r="BE60" s="29">
        <v>11.3292856216</v>
      </c>
      <c r="BF60" s="29" t="str">
        <f>IF(BE60&lt;0.5,"Depression",IF(BE60&lt;2,"Very gentle",IF(BE60&lt;5,"Gentle",IF(BE60&lt;9,"Moderate",IF(BE60&lt;15,"Strong",IF(BE60&lt;30,"Steep",IF(BE60&lt;1,"Very steep")))))))</f>
        <v>Strong</v>
      </c>
      <c r="BG60" s="29" t="s">
        <v>2178</v>
      </c>
      <c r="BH60" s="29">
        <v>9.0650379657699995E-2</v>
      </c>
      <c r="BI60" s="43">
        <v>6.8279480934099999</v>
      </c>
      <c r="BJ60" s="56">
        <f>VLOOKUP(D60,[1]SoilData!$G$15:$K$237,5,FALSE)</f>
        <v>9.1511340106900931</v>
      </c>
      <c r="BK60" s="43">
        <f>VLOOKUP(D60,[1]SoilData!$G$245:$K$451,5,FALSE)</f>
        <v>95.973188231328663</v>
      </c>
      <c r="BL60" s="43">
        <f>VLOOKUP(D60,[1]SoilData!$G$15:$M$238,7,FALSE)</f>
        <v>0.56399999999999995</v>
      </c>
      <c r="BM60" s="43">
        <f>VLOOKUP(D60,[1]SoilData!$G$245:$M$454,7,FALSE)</f>
        <v>0.77</v>
      </c>
      <c r="BN60" s="60">
        <f>BL60-BM60</f>
        <v>-0.20600000000000007</v>
      </c>
      <c r="BO60" s="44">
        <f>AVERAGE(BB60:BC60)</f>
        <v>0.98685185185185198</v>
      </c>
      <c r="BP60" s="44">
        <f>AVERAGE(AZ60:BA60)</f>
        <v>1.3176169590643276</v>
      </c>
      <c r="BQ60" s="43">
        <f>BP60-BO60</f>
        <v>0.33076510721247565</v>
      </c>
      <c r="BR60" s="64">
        <f>IF(W60&gt;0.000001,W60*352,0)</f>
        <v>675.83999999999992</v>
      </c>
      <c r="BS60" s="64">
        <f>IF(AE60&gt;0.0001,AE60*682,0)</f>
        <v>218.67648</v>
      </c>
      <c r="BT60" s="64">
        <f>AA60*795</f>
        <v>0</v>
      </c>
      <c r="BU60" s="64">
        <f>BR60+BS60+BT60</f>
        <v>894.51647999999989</v>
      </c>
      <c r="BV60" s="64">
        <f>IF(G60="YES",3.5*18.2,0)</f>
        <v>0</v>
      </c>
      <c r="BW60" s="64">
        <f>BU60-BV60</f>
        <v>894.51647999999989</v>
      </c>
    </row>
    <row r="61" spans="1:75" x14ac:dyDescent="0.15">
      <c r="A61" s="29" t="s">
        <v>841</v>
      </c>
      <c r="B61" s="29">
        <v>248</v>
      </c>
      <c r="C61" s="29" t="s">
        <v>853</v>
      </c>
      <c r="D61" s="33" t="s">
        <v>147</v>
      </c>
      <c r="E61" s="29" t="str">
        <f>VLOOKUP(D61,Harvest_2017_Formulae!$C$2:$D$968,2,FALSE)</f>
        <v>ENDANOGA</v>
      </c>
      <c r="F61" s="29" t="s">
        <v>843</v>
      </c>
      <c r="G61" s="61" t="s">
        <v>548</v>
      </c>
      <c r="H61" s="29" t="s">
        <v>568</v>
      </c>
      <c r="I61" s="29" t="s">
        <v>548</v>
      </c>
      <c r="J61" s="29" t="s">
        <v>546</v>
      </c>
      <c r="K61" s="29" t="s">
        <v>546</v>
      </c>
      <c r="L61" s="29" t="s">
        <v>2220</v>
      </c>
      <c r="M61" s="29" t="s">
        <v>548</v>
      </c>
      <c r="N61" s="29" t="s">
        <v>548</v>
      </c>
      <c r="O61" s="29" t="s">
        <v>550</v>
      </c>
      <c r="P61" s="29">
        <v>0.25</v>
      </c>
      <c r="Q61" s="29">
        <v>0</v>
      </c>
      <c r="R61" s="29">
        <v>2</v>
      </c>
      <c r="S61" s="29" t="s">
        <v>546</v>
      </c>
      <c r="T61" s="29">
        <v>2.5</v>
      </c>
      <c r="U61" s="29">
        <v>13</v>
      </c>
      <c r="V61" s="29" t="s">
        <v>551</v>
      </c>
      <c r="W61" s="30">
        <v>1.248</v>
      </c>
      <c r="Z61" s="29" t="s">
        <v>551</v>
      </c>
      <c r="AA61" s="62"/>
      <c r="AB61" s="29">
        <v>2.5</v>
      </c>
      <c r="AC61" s="29">
        <v>5</v>
      </c>
      <c r="AD61" s="29" t="s">
        <v>551</v>
      </c>
      <c r="AE61" s="62">
        <v>0.48</v>
      </c>
      <c r="AF61" s="29" t="s">
        <v>546</v>
      </c>
      <c r="AG61" s="29" t="s">
        <v>548</v>
      </c>
      <c r="AH61" s="29" t="s">
        <v>546</v>
      </c>
      <c r="AI61" s="29" t="s">
        <v>546</v>
      </c>
      <c r="AJ61" s="29" t="s">
        <v>546</v>
      </c>
      <c r="AK61" s="29">
        <v>1</v>
      </c>
      <c r="AL61" s="29">
        <v>2</v>
      </c>
      <c r="AM61" s="29" t="s">
        <v>854</v>
      </c>
      <c r="AN61" s="29" t="s">
        <v>855</v>
      </c>
      <c r="AO61" s="29">
        <v>-4.2677412033081055</v>
      </c>
      <c r="AP61" s="29">
        <v>35.853012084960938</v>
      </c>
      <c r="AQ61" s="29">
        <v>1341.199951171875</v>
      </c>
      <c r="AR61" s="29">
        <v>5</v>
      </c>
      <c r="AS61" s="29">
        <v>1706031849</v>
      </c>
      <c r="AT61" s="29" t="s">
        <v>856</v>
      </c>
      <c r="AU61" s="31">
        <v>42978.591342592597</v>
      </c>
      <c r="AV61" s="31">
        <v>42895.637037037042</v>
      </c>
      <c r="AW61" s="31">
        <v>42978.58929398148</v>
      </c>
      <c r="AX61" s="32">
        <v>42774</v>
      </c>
      <c r="AZ61" s="44">
        <v>7.9535135135135127</v>
      </c>
      <c r="BA61" s="44">
        <v>5.6529729729729725</v>
      </c>
      <c r="BB61" s="44">
        <v>1.9796335697399532</v>
      </c>
      <c r="BC61" s="44">
        <v>2.2926713947990547</v>
      </c>
      <c r="BD61" s="29" t="s">
        <v>2171</v>
      </c>
      <c r="BE61" s="29">
        <v>2.1943719387099998</v>
      </c>
      <c r="BF61" s="29" t="str">
        <f>IF(BE61&lt;0.5,"Depression",IF(BE61&lt;2,"Very gentle",IF(BE61&lt;5,"Gentle",IF(BE61&lt;9,"Moderate",IF(BE61&lt;15,"Strong",IF(BE61&lt;30,"Steep",IF(BE61&lt;1,"Very steep")))))))</f>
        <v>Gentle</v>
      </c>
      <c r="BG61" s="29" t="s">
        <v>2173</v>
      </c>
      <c r="BH61" s="29">
        <v>-0.27191722393000001</v>
      </c>
      <c r="BI61" s="43">
        <v>11.7191648483</v>
      </c>
      <c r="BJ61" s="43">
        <f>VLOOKUP(D61,[1]SoilData!$G$15:$K$237,5,FALSE)</f>
        <v>48.565397505813927</v>
      </c>
      <c r="BK61" s="43">
        <f>VLOOKUP(D61,[1]SoilData!$G$245:$K$451,5,FALSE)</f>
        <v>47.189639278059829</v>
      </c>
      <c r="BL61" s="43">
        <f>VLOOKUP(D61,[1]SoilData!$G$15:$M$238,7,FALSE)</f>
        <v>0.83099999999999996</v>
      </c>
      <c r="BM61" s="43">
        <f>VLOOKUP(D61,[1]SoilData!$G$245:$M$454,7,FALSE)</f>
        <v>0.82199999999999995</v>
      </c>
      <c r="BN61" s="60">
        <f>BL61-BM61</f>
        <v>9.000000000000008E-3</v>
      </c>
      <c r="BO61" s="44">
        <f>AVERAGE(BB61:BC61)</f>
        <v>2.1361524822695039</v>
      </c>
      <c r="BP61" s="44">
        <f>AVERAGE(AZ61:BA61)</f>
        <v>6.8032432432432426</v>
      </c>
      <c r="BQ61" s="43">
        <f>BP61-BO61</f>
        <v>4.6670907609737391</v>
      </c>
      <c r="BR61" s="64">
        <f>IF(W61&gt;0.000001,W61*352,0)</f>
        <v>439.29599999999999</v>
      </c>
      <c r="BS61" s="64">
        <f>IF(AE61&gt;0.0001,AE61*682,0)</f>
        <v>327.36</v>
      </c>
      <c r="BT61" s="64">
        <f>AA61*795</f>
        <v>0</v>
      </c>
      <c r="BU61" s="64">
        <f>BR61+BS61+BT61</f>
        <v>766.65599999999995</v>
      </c>
      <c r="BV61" s="64">
        <f>IF(G61="YES",3.5*18.2,0)</f>
        <v>63.699999999999996</v>
      </c>
      <c r="BW61" s="64">
        <f>BU61-BV61</f>
        <v>702.9559999999999</v>
      </c>
    </row>
    <row r="62" spans="1:75" x14ac:dyDescent="0.15">
      <c r="A62" s="29" t="s">
        <v>556</v>
      </c>
      <c r="B62" s="29">
        <v>7</v>
      </c>
      <c r="C62" s="29" t="s">
        <v>432</v>
      </c>
      <c r="D62" s="29" t="s">
        <v>432</v>
      </c>
      <c r="E62" s="29" t="str">
        <f>VLOOKUP(D62,Harvest_2017_Formulae!$C$2:$D$968,2,FALSE)</f>
        <v>ORNGADIDA</v>
      </c>
      <c r="F62" s="29" t="s">
        <v>777</v>
      </c>
      <c r="G62" s="61" t="s">
        <v>546</v>
      </c>
      <c r="H62" s="29" t="s">
        <v>547</v>
      </c>
      <c r="I62" s="29" t="s">
        <v>546</v>
      </c>
      <c r="J62" s="29" t="s">
        <v>546</v>
      </c>
      <c r="K62" s="29" t="s">
        <v>546</v>
      </c>
      <c r="L62" s="29" t="s">
        <v>2219</v>
      </c>
      <c r="M62" s="29" t="s">
        <v>546</v>
      </c>
      <c r="N62" s="29" t="s">
        <v>548</v>
      </c>
      <c r="O62" s="29" t="s">
        <v>550</v>
      </c>
      <c r="P62" s="29">
        <v>1</v>
      </c>
      <c r="Q62" s="29">
        <v>0</v>
      </c>
      <c r="R62" s="29">
        <v>0</v>
      </c>
      <c r="S62" s="29" t="s">
        <v>548</v>
      </c>
      <c r="T62" s="29">
        <v>1</v>
      </c>
      <c r="U62" s="29">
        <v>15</v>
      </c>
      <c r="V62" s="29" t="s">
        <v>551</v>
      </c>
      <c r="W62" s="30">
        <v>3.5999999999999996</v>
      </c>
      <c r="Y62" s="29">
        <v>999</v>
      </c>
      <c r="Z62" s="29" t="s">
        <v>551</v>
      </c>
      <c r="AA62" s="62"/>
      <c r="AB62" s="29">
        <v>1</v>
      </c>
      <c r="AC62" s="29">
        <v>5</v>
      </c>
      <c r="AD62" s="29" t="s">
        <v>551</v>
      </c>
      <c r="AE62" s="62">
        <v>1.2</v>
      </c>
      <c r="AF62" s="29" t="s">
        <v>546</v>
      </c>
      <c r="AG62" s="29" t="s">
        <v>546</v>
      </c>
      <c r="AH62" s="29" t="s">
        <v>546</v>
      </c>
      <c r="AI62" s="29" t="s">
        <v>546</v>
      </c>
      <c r="AJ62" s="29" t="s">
        <v>546</v>
      </c>
      <c r="AK62" s="29">
        <v>0</v>
      </c>
      <c r="AL62" s="29">
        <v>2</v>
      </c>
      <c r="AM62" s="29" t="s">
        <v>1151</v>
      </c>
      <c r="AN62" s="29" t="s">
        <v>1152</v>
      </c>
      <c r="AO62" s="29">
        <v>-4.310492992401123</v>
      </c>
      <c r="AP62" s="29">
        <v>35.873733520507812</v>
      </c>
      <c r="AQ62" s="29">
        <v>1235.5</v>
      </c>
      <c r="AR62" s="29">
        <v>5</v>
      </c>
      <c r="AS62" s="29">
        <v>1705231439</v>
      </c>
      <c r="AT62" s="29" t="s">
        <v>1153</v>
      </c>
      <c r="AU62" s="31">
        <v>42893.595509259263</v>
      </c>
      <c r="AV62" s="31">
        <v>42892.550277777773</v>
      </c>
      <c r="AW62" s="31">
        <v>42892.614664351851</v>
      </c>
      <c r="AX62" s="32">
        <v>42792</v>
      </c>
      <c r="AZ62" s="44">
        <v>4.3676480129764803</v>
      </c>
      <c r="BA62" s="44">
        <v>5.5825709651257096</v>
      </c>
      <c r="BB62" s="44">
        <v>1.9998039215686274</v>
      </c>
      <c r="BC62" s="44">
        <v>4.2488235294117649</v>
      </c>
      <c r="BD62" s="29" t="s">
        <v>2171</v>
      </c>
      <c r="BE62" s="29">
        <v>1.1402179002799999</v>
      </c>
      <c r="BF62" s="29" t="str">
        <f>IF(BE62&lt;0.5,"Depression",IF(BE62&lt;2,"Very gentle",IF(BE62&lt;5,"Gentle",IF(BE62&lt;9,"Moderate",IF(BE62&lt;15,"Strong",IF(BE62&lt;30,"Steep",IF(BE62&lt;1,"Very steep")))))))</f>
        <v>Very gentle</v>
      </c>
      <c r="BG62" s="29" t="s">
        <v>2173</v>
      </c>
      <c r="BH62" s="29">
        <v>-0.27191722393000001</v>
      </c>
      <c r="BI62" s="43">
        <v>11.7633571625</v>
      </c>
      <c r="BJ62" s="43">
        <f>VLOOKUP(D62,[1]SoilData!$G$15:$K$237,5,FALSE)</f>
        <v>281.01808577952613</v>
      </c>
      <c r="BK62" s="43">
        <f>VLOOKUP(D62,[1]SoilData!$G$245:$K$451,5,FALSE)</f>
        <v>187.6000905749178</v>
      </c>
      <c r="BL62" s="43">
        <f>VLOOKUP(D62,[1]SoilData!$G$15:$M$238,7,FALSE)</f>
        <v>1.68</v>
      </c>
      <c r="BM62" s="43">
        <f>VLOOKUP(D62,[1]SoilData!$G$245:$M$454,7,FALSE)</f>
        <v>0.77400000000000002</v>
      </c>
      <c r="BN62" s="60">
        <f>BL62-BM62</f>
        <v>0.90599999999999992</v>
      </c>
      <c r="BO62" s="44">
        <f>AVERAGE(BB62:BC62)</f>
        <v>3.1243137254901963</v>
      </c>
      <c r="BP62" s="44">
        <f>AVERAGE(AZ62:BA62)</f>
        <v>4.9751094890510945</v>
      </c>
      <c r="BQ62" s="43">
        <f>BP62-BO62</f>
        <v>1.8507957635608983</v>
      </c>
      <c r="BR62" s="64">
        <f>IF(W62&gt;0.000001,W62*352,0)</f>
        <v>1267.1999999999998</v>
      </c>
      <c r="BS62" s="64">
        <f>IF(AE62&gt;0.0001,AE62*682,0)</f>
        <v>818.4</v>
      </c>
      <c r="BT62" s="64">
        <f>AA62*795</f>
        <v>0</v>
      </c>
      <c r="BU62" s="64">
        <f>BR62+BS62+BT62</f>
        <v>2085.6</v>
      </c>
      <c r="BV62" s="64">
        <f>IF(G62="YES",3.5*18.2,0)</f>
        <v>0</v>
      </c>
      <c r="BW62" s="64">
        <f>BU62-BV62</f>
        <v>2085.6</v>
      </c>
    </row>
    <row r="63" spans="1:75" x14ac:dyDescent="0.15">
      <c r="A63" s="29" t="s">
        <v>556</v>
      </c>
      <c r="B63" s="29">
        <v>180</v>
      </c>
      <c r="C63" s="29" t="s">
        <v>698</v>
      </c>
      <c r="D63" s="29" t="s">
        <v>108</v>
      </c>
      <c r="E63" s="29" t="str">
        <f>VLOOKUP(D63,Harvest_2017_Formulae!$C$2:$D$968,2,FALSE)</f>
        <v>DURU</v>
      </c>
      <c r="F63" s="29" t="s">
        <v>645</v>
      </c>
      <c r="G63" s="61" t="s">
        <v>546</v>
      </c>
      <c r="H63" s="29" t="s">
        <v>547</v>
      </c>
      <c r="I63" s="29" t="s">
        <v>546</v>
      </c>
      <c r="J63" s="29" t="s">
        <v>546</v>
      </c>
      <c r="K63" s="29" t="s">
        <v>548</v>
      </c>
      <c r="L63" s="29" t="s">
        <v>2219</v>
      </c>
      <c r="M63" s="29" t="s">
        <v>546</v>
      </c>
      <c r="N63" s="29" t="s">
        <v>548</v>
      </c>
      <c r="O63" s="29" t="s">
        <v>550</v>
      </c>
      <c r="P63" s="29">
        <v>0.25</v>
      </c>
      <c r="Q63" s="29">
        <v>0.25</v>
      </c>
      <c r="S63" s="29" t="s">
        <v>548</v>
      </c>
      <c r="T63" s="29">
        <v>0.5</v>
      </c>
      <c r="U63" s="29">
        <v>4</v>
      </c>
      <c r="V63" s="29" t="s">
        <v>551</v>
      </c>
      <c r="W63" s="30">
        <v>1.92</v>
      </c>
      <c r="Y63" s="29">
        <v>999</v>
      </c>
      <c r="Z63" s="29" t="s">
        <v>551</v>
      </c>
      <c r="AA63" s="62"/>
      <c r="AB63" s="29">
        <v>0.5</v>
      </c>
      <c r="AC63" s="29">
        <v>1</v>
      </c>
      <c r="AD63" s="29" t="s">
        <v>551</v>
      </c>
      <c r="AE63" s="62">
        <v>0.48</v>
      </c>
      <c r="AF63" s="29" t="s">
        <v>546</v>
      </c>
      <c r="AG63" s="29" t="s">
        <v>546</v>
      </c>
      <c r="AH63" s="29" t="s">
        <v>546</v>
      </c>
      <c r="AI63" s="29" t="s">
        <v>546</v>
      </c>
      <c r="AJ63" s="29" t="s">
        <v>546</v>
      </c>
      <c r="AK63" s="29">
        <v>0</v>
      </c>
      <c r="AL63" s="29">
        <v>2</v>
      </c>
      <c r="AM63" s="29" t="s">
        <v>699</v>
      </c>
      <c r="AN63" s="29" t="s">
        <v>700</v>
      </c>
      <c r="AO63" s="29">
        <v>-4.3102412223815918</v>
      </c>
      <c r="AP63" s="29">
        <v>35.59613037109375</v>
      </c>
      <c r="AQ63" s="29">
        <v>1639.5</v>
      </c>
      <c r="AR63" s="29">
        <v>5</v>
      </c>
      <c r="AS63" s="29">
        <v>1706031849</v>
      </c>
      <c r="AT63" s="29" t="s">
        <v>701</v>
      </c>
      <c r="AU63" s="31">
        <v>42926.575891203705</v>
      </c>
      <c r="AV63" s="31">
        <v>42921.486759259264</v>
      </c>
      <c r="AW63" s="31">
        <v>42921.513796296298</v>
      </c>
      <c r="AX63" s="32">
        <v>42749</v>
      </c>
      <c r="AZ63" s="44">
        <v>4.7512857142857152</v>
      </c>
      <c r="BA63" s="44">
        <v>3.4872857142857145</v>
      </c>
      <c r="BB63" s="44">
        <v>5.3166666666666673</v>
      </c>
      <c r="BC63" s="44">
        <v>4.4611111111111121</v>
      </c>
      <c r="BD63" s="29" t="s">
        <v>2180</v>
      </c>
      <c r="BE63" s="29">
        <v>4.7960176467900002</v>
      </c>
      <c r="BF63" s="29" t="str">
        <f>IF(BE63&lt;0.5,"Depression",IF(BE63&lt;2,"Very gentle",IF(BE63&lt;5,"Gentle",IF(BE63&lt;9,"Moderate",IF(BE63&lt;15,"Strong",IF(BE63&lt;30,"Steep",IF(BE63&lt;1,"Very steep")))))))</f>
        <v>Gentle</v>
      </c>
      <c r="BG63" s="29" t="s">
        <v>2173</v>
      </c>
      <c r="BH63" s="29">
        <v>0.18129228055499999</v>
      </c>
      <c r="BI63" s="43">
        <v>7.3213319778399999</v>
      </c>
      <c r="BJ63" s="43"/>
      <c r="BK63" s="43">
        <f>VLOOKUP(D63,[1]SoilData!$G$245:$K$451,5,FALSE)</f>
        <v>584.51805607223787</v>
      </c>
      <c r="BL63" s="43"/>
      <c r="BM63" s="43">
        <f>VLOOKUP(D63,[1]SoilData!$G$245:$M$454,7,FALSE)</f>
        <v>1.597</v>
      </c>
      <c r="BN63" s="60"/>
      <c r="BO63" s="44">
        <f>AVERAGE(BB63:BC63)</f>
        <v>4.8888888888888893</v>
      </c>
      <c r="BP63" s="44">
        <f>AVERAGE(AZ63:BA63)</f>
        <v>4.1192857142857147</v>
      </c>
      <c r="BQ63" s="43">
        <f>BP63-BO63</f>
        <v>-0.76960317460317462</v>
      </c>
      <c r="BR63" s="64">
        <f>IF(W63&gt;0.000001,W63*352,0)</f>
        <v>675.83999999999992</v>
      </c>
      <c r="BS63" s="64">
        <f>IF(AE63&gt;0.0001,AE63*682,0)</f>
        <v>327.36</v>
      </c>
      <c r="BT63" s="64">
        <f>AA63*795</f>
        <v>0</v>
      </c>
      <c r="BU63" s="64">
        <f>BR63+BS63+BT63</f>
        <v>1003.1999999999999</v>
      </c>
      <c r="BV63" s="64">
        <f>IF(G63="YES",3.5*18.2,0)</f>
        <v>0</v>
      </c>
      <c r="BW63" s="64">
        <f>BU63-BV63</f>
        <v>1003.1999999999999</v>
      </c>
    </row>
    <row r="64" spans="1:75" x14ac:dyDescent="0.15">
      <c r="A64" s="29" t="s">
        <v>556</v>
      </c>
      <c r="B64" s="29">
        <v>157</v>
      </c>
      <c r="C64" s="29" t="s">
        <v>964</v>
      </c>
      <c r="D64" s="29" t="s">
        <v>358</v>
      </c>
      <c r="E64" s="29" t="str">
        <f>VLOOKUP(D64,Harvest_2017_Formulae!$C$2:$D$968,2,FALSE)</f>
        <v>HALLU</v>
      </c>
      <c r="F64" s="29" t="s">
        <v>938</v>
      </c>
      <c r="G64" s="61" t="s">
        <v>546</v>
      </c>
      <c r="H64" s="29" t="s">
        <v>547</v>
      </c>
      <c r="I64" s="29" t="s">
        <v>546</v>
      </c>
      <c r="J64" s="29" t="s">
        <v>546</v>
      </c>
      <c r="K64" s="29" t="s">
        <v>548</v>
      </c>
      <c r="L64" s="29" t="s">
        <v>2220</v>
      </c>
      <c r="M64" s="29" t="s">
        <v>546</v>
      </c>
      <c r="N64" s="29" t="s">
        <v>546</v>
      </c>
      <c r="O64" s="29" t="s">
        <v>547</v>
      </c>
      <c r="P64" s="29">
        <v>0.25</v>
      </c>
      <c r="Q64" s="29">
        <v>0.25</v>
      </c>
      <c r="S64" s="29" t="s">
        <v>548</v>
      </c>
      <c r="T64" s="29">
        <v>0.5</v>
      </c>
      <c r="U64" s="29">
        <v>6</v>
      </c>
      <c r="V64" s="29" t="s">
        <v>551</v>
      </c>
      <c r="W64" s="30">
        <v>2.8800000000000003</v>
      </c>
      <c r="Y64" s="29">
        <v>999</v>
      </c>
      <c r="Z64" s="29" t="s">
        <v>551</v>
      </c>
      <c r="AA64" s="62"/>
      <c r="AB64" s="29">
        <v>0.5</v>
      </c>
      <c r="AC64" s="29">
        <v>1</v>
      </c>
      <c r="AD64" s="29" t="s">
        <v>551</v>
      </c>
      <c r="AE64" s="62">
        <v>0.48</v>
      </c>
      <c r="AF64" s="29" t="s">
        <v>546</v>
      </c>
      <c r="AG64" s="29" t="s">
        <v>546</v>
      </c>
      <c r="AH64" s="29" t="s">
        <v>546</v>
      </c>
      <c r="AI64" s="29" t="s">
        <v>546</v>
      </c>
      <c r="AJ64" s="29" t="s">
        <v>546</v>
      </c>
      <c r="AK64" s="29">
        <v>0</v>
      </c>
      <c r="AL64" s="29">
        <v>3</v>
      </c>
      <c r="AM64" s="29" t="s">
        <v>965</v>
      </c>
      <c r="AN64" s="29" t="s">
        <v>966</v>
      </c>
      <c r="AO64" s="29">
        <v>-4.2881870269775391</v>
      </c>
      <c r="AP64" s="29">
        <v>35.897674560546875</v>
      </c>
      <c r="AQ64" s="29">
        <v>1205.300048828125</v>
      </c>
      <c r="AR64" s="29">
        <v>5</v>
      </c>
      <c r="AS64" s="29">
        <v>1706031849</v>
      </c>
      <c r="AT64" s="29" t="s">
        <v>967</v>
      </c>
      <c r="AU64" s="31">
        <v>42921.432384259257</v>
      </c>
      <c r="AV64" s="31">
        <v>42913.54409722222</v>
      </c>
      <c r="AW64" s="31">
        <v>42913.555497685185</v>
      </c>
      <c r="AX64" s="32">
        <v>42776</v>
      </c>
      <c r="AZ64" s="44">
        <v>3.2456038647342997</v>
      </c>
      <c r="BA64" s="44">
        <v>1.6668599033816427</v>
      </c>
      <c r="BB64" s="44">
        <v>1.6606153846153846</v>
      </c>
      <c r="BC64" s="44">
        <v>4.2904615384615381</v>
      </c>
      <c r="BD64" s="29" t="s">
        <v>2171</v>
      </c>
      <c r="BE64" s="29">
        <v>2.1752965450300001</v>
      </c>
      <c r="BF64" s="29" t="str">
        <f>IF(BE64&lt;0.5,"Depression",IF(BE64&lt;2,"Very gentle",IF(BE64&lt;5,"Gentle",IF(BE64&lt;9,"Moderate",IF(BE64&lt;15,"Strong",IF(BE64&lt;30,"Steep",IF(BE64&lt;1,"Very steep")))))))</f>
        <v>Gentle</v>
      </c>
      <c r="BG64" s="29" t="s">
        <v>2173</v>
      </c>
      <c r="BH64" s="29">
        <v>0.36257606744799997</v>
      </c>
      <c r="BI64" s="43">
        <v>8.4629182815600004</v>
      </c>
      <c r="BJ64" s="43">
        <f>VLOOKUP(D64,[1]SoilData!$G$15:$K$237,5,FALSE)</f>
        <v>538.96329641911655</v>
      </c>
      <c r="BK64" s="43">
        <f>VLOOKUP(D64,[1]SoilData!$G$245:$K$451,5,FALSE)</f>
        <v>375.83037942002437</v>
      </c>
      <c r="BL64" s="43">
        <f>VLOOKUP(D64,[1]SoilData!$G$15:$M$238,7,FALSE)</f>
        <v>1.671</v>
      </c>
      <c r="BM64" s="43">
        <f>VLOOKUP(D64,[1]SoilData!$G$245:$M$454,7,FALSE)</f>
        <v>1.298</v>
      </c>
      <c r="BN64" s="60">
        <f>BL64-BM64</f>
        <v>0.373</v>
      </c>
      <c r="BO64" s="44">
        <f>AVERAGE(BB64:BC64)</f>
        <v>2.9755384615384615</v>
      </c>
      <c r="BP64" s="44">
        <f>AVERAGE(AZ64:BA64)</f>
        <v>2.4562318840579711</v>
      </c>
      <c r="BQ64" s="43">
        <f>BP64-BO64</f>
        <v>-0.51930657748049036</v>
      </c>
      <c r="BR64" s="64">
        <f>IF(W64&gt;0.000001,W64*352,0)</f>
        <v>1013.7600000000001</v>
      </c>
      <c r="BS64" s="64">
        <f>IF(AE64&gt;0.0001,AE64*682,0)</f>
        <v>327.36</v>
      </c>
      <c r="BT64" s="64">
        <f>AA64*795</f>
        <v>0</v>
      </c>
      <c r="BU64" s="64">
        <f>BR64+BS64+BT64</f>
        <v>1341.1200000000001</v>
      </c>
      <c r="BV64" s="64">
        <f>IF(G64="YES",3.5*18.2,0)</f>
        <v>0</v>
      </c>
      <c r="BW64" s="64">
        <f>BU64-BV64</f>
        <v>1341.1200000000001</v>
      </c>
    </row>
    <row r="65" spans="1:75" x14ac:dyDescent="0.15">
      <c r="A65" s="29" t="s">
        <v>789</v>
      </c>
      <c r="B65" s="29">
        <v>21</v>
      </c>
      <c r="C65" s="29" t="s">
        <v>252</v>
      </c>
      <c r="D65" s="29" t="s">
        <v>252</v>
      </c>
      <c r="E65" s="29" t="str">
        <f>VLOOKUP(D65,Harvest_2017_Formulae!$C$2:$D$968,2,FALSE)</f>
        <v>SABILO</v>
      </c>
      <c r="F65" s="29" t="s">
        <v>1175</v>
      </c>
      <c r="G65" s="61" t="s">
        <v>546</v>
      </c>
      <c r="H65" s="29" t="s">
        <v>547</v>
      </c>
      <c r="I65" s="29" t="s">
        <v>548</v>
      </c>
      <c r="J65" s="29" t="s">
        <v>546</v>
      </c>
      <c r="K65" s="29" t="s">
        <v>548</v>
      </c>
      <c r="L65" s="29" t="s">
        <v>2220</v>
      </c>
      <c r="M65" s="29" t="s">
        <v>546</v>
      </c>
      <c r="N65" s="29" t="s">
        <v>548</v>
      </c>
      <c r="O65" s="29" t="s">
        <v>793</v>
      </c>
      <c r="P65" s="29">
        <v>0.5</v>
      </c>
      <c r="Q65" s="29">
        <v>2</v>
      </c>
      <c r="R65" s="29">
        <v>0</v>
      </c>
      <c r="S65" s="29" t="s">
        <v>548</v>
      </c>
      <c r="T65" s="29">
        <v>1</v>
      </c>
      <c r="U65" s="29">
        <v>10</v>
      </c>
      <c r="V65" s="29" t="s">
        <v>551</v>
      </c>
      <c r="W65" s="30">
        <v>2.4</v>
      </c>
      <c r="X65" s="29">
        <v>1</v>
      </c>
      <c r="Y65" s="29">
        <v>1</v>
      </c>
      <c r="Z65" s="29" t="s">
        <v>551</v>
      </c>
      <c r="AA65" s="62">
        <v>0.24</v>
      </c>
      <c r="AB65" s="29">
        <v>1</v>
      </c>
      <c r="AC65" s="29">
        <v>0.5</v>
      </c>
      <c r="AD65" s="29" t="s">
        <v>551</v>
      </c>
      <c r="AE65" s="62">
        <v>0.12</v>
      </c>
      <c r="AF65" s="29" t="s">
        <v>546</v>
      </c>
      <c r="AG65" s="29" t="s">
        <v>546</v>
      </c>
      <c r="AH65" s="29" t="s">
        <v>546</v>
      </c>
      <c r="AI65" s="29" t="s">
        <v>546</v>
      </c>
      <c r="AJ65" s="29" t="s">
        <v>546</v>
      </c>
      <c r="AK65" s="29">
        <v>0</v>
      </c>
      <c r="AL65" s="29">
        <v>3</v>
      </c>
      <c r="AM65" s="29" t="s">
        <v>1230</v>
      </c>
      <c r="AN65" s="29" t="s">
        <v>1231</v>
      </c>
      <c r="AO65" s="29">
        <v>-4.3406481742858887</v>
      </c>
      <c r="AP65" s="29">
        <v>35.470245361328125</v>
      </c>
      <c r="AQ65" s="29">
        <v>1600.4000244140625</v>
      </c>
      <c r="AR65" s="29">
        <v>15</v>
      </c>
      <c r="AS65" s="29">
        <v>1705231439</v>
      </c>
      <c r="AT65" s="29" t="s">
        <v>1232</v>
      </c>
      <c r="AU65" s="31">
        <v>42908.292557870373</v>
      </c>
      <c r="AV65" s="31">
        <v>42894.706365740742</v>
      </c>
      <c r="AW65" s="31">
        <v>42908.291203703702</v>
      </c>
      <c r="AX65" s="32">
        <v>42775</v>
      </c>
      <c r="AZ65" s="44">
        <v>2.6470175438596493</v>
      </c>
      <c r="BA65" s="44">
        <v>3.2512280701754395</v>
      </c>
      <c r="BB65" s="44">
        <v>0.85382716049382712</v>
      </c>
      <c r="BC65" s="44">
        <v>1.6161728395061727</v>
      </c>
      <c r="BD65" s="29" t="s">
        <v>2171</v>
      </c>
      <c r="BE65" s="29">
        <v>2.35151100159</v>
      </c>
      <c r="BF65" s="29" t="str">
        <f>IF(BE65&lt;0.5,"Depression",IF(BE65&lt;2,"Very gentle",IF(BE65&lt;5,"Gentle",IF(BE65&lt;9,"Moderate",IF(BE65&lt;15,"Strong",IF(BE65&lt;30,"Steep",IF(BE65&lt;1,"Very steep")))))))</f>
        <v>Gentle</v>
      </c>
      <c r="BG65" s="29" t="s">
        <v>2173</v>
      </c>
      <c r="BH65" s="29">
        <v>9.0650379657699995E-2</v>
      </c>
      <c r="BI65" s="43">
        <v>9.2979307174700008</v>
      </c>
      <c r="BJ65" s="56">
        <f>VLOOKUP(D65,[1]SoilData!$G$15:$K$237,5,FALSE)</f>
        <v>8.8431014063134743</v>
      </c>
      <c r="BK65" s="43">
        <f>VLOOKUP(D65,[1]SoilData!$G$245:$K$451,5,FALSE)</f>
        <v>15.221167743445479</v>
      </c>
      <c r="BL65" s="43">
        <f>VLOOKUP(D65,[1]SoilData!$G$15:$M$238,7,FALSE)</f>
        <v>1.5229999999999999</v>
      </c>
      <c r="BM65" s="43">
        <f>VLOOKUP(D65,[1]SoilData!$G$245:$M$454,7,FALSE)</f>
        <v>1.5669999999999999</v>
      </c>
      <c r="BN65" s="60">
        <f>BL65-BM65</f>
        <v>-4.4000000000000039E-2</v>
      </c>
      <c r="BO65" s="44">
        <f>AVERAGE(BB65:BC65)</f>
        <v>1.2349999999999999</v>
      </c>
      <c r="BP65" s="44">
        <f>AVERAGE(AZ65:BA65)</f>
        <v>2.9491228070175444</v>
      </c>
      <c r="BQ65" s="43">
        <f>BP65-BO65</f>
        <v>1.7141228070175445</v>
      </c>
      <c r="BR65" s="64">
        <f>IF(W65&gt;0.000001,W65*352,0)</f>
        <v>844.8</v>
      </c>
      <c r="BS65" s="64">
        <f>IF(AE65&gt;0.0001,AE65*682,0)</f>
        <v>81.84</v>
      </c>
      <c r="BT65" s="64">
        <f>AA65*795</f>
        <v>190.79999999999998</v>
      </c>
      <c r="BU65" s="64">
        <f>BR65+BS65+BT65</f>
        <v>1117.44</v>
      </c>
      <c r="BV65" s="64">
        <f>IF(G65="YES",3.5*18.2,0)</f>
        <v>0</v>
      </c>
      <c r="BW65" s="64">
        <f>BU65-BV65</f>
        <v>1117.44</v>
      </c>
    </row>
    <row r="66" spans="1:75" x14ac:dyDescent="0.15">
      <c r="A66" s="29" t="s">
        <v>556</v>
      </c>
      <c r="B66" s="29">
        <v>97</v>
      </c>
      <c r="C66" s="29" t="s">
        <v>1108</v>
      </c>
      <c r="D66" s="29" t="s">
        <v>218</v>
      </c>
      <c r="E66" s="29" t="str">
        <f>VLOOKUP(D66,Harvest_2017_Formulae!$C$2:$D$968,2,FALSE)</f>
        <v>ORNGADIDA</v>
      </c>
      <c r="F66" s="29" t="s">
        <v>777</v>
      </c>
      <c r="G66" s="61" t="s">
        <v>546</v>
      </c>
      <c r="H66" s="29" t="s">
        <v>547</v>
      </c>
      <c r="I66" s="29" t="s">
        <v>546</v>
      </c>
      <c r="J66" s="29" t="s">
        <v>546</v>
      </c>
      <c r="K66" s="29" t="s">
        <v>548</v>
      </c>
      <c r="L66" s="29" t="s">
        <v>2221</v>
      </c>
      <c r="M66" s="29" t="s">
        <v>548</v>
      </c>
      <c r="N66" s="29" t="s">
        <v>548</v>
      </c>
      <c r="O66" s="29" t="s">
        <v>550</v>
      </c>
      <c r="P66" s="29">
        <v>0.5</v>
      </c>
      <c r="Q66" s="29">
        <v>0.5</v>
      </c>
      <c r="S66" s="29" t="s">
        <v>548</v>
      </c>
      <c r="T66" s="29">
        <v>1</v>
      </c>
      <c r="U66" s="29">
        <v>10</v>
      </c>
      <c r="V66" s="29" t="s">
        <v>551</v>
      </c>
      <c r="W66" s="30">
        <v>2.4</v>
      </c>
      <c r="Y66" s="29">
        <v>999</v>
      </c>
      <c r="Z66" s="29" t="s">
        <v>551</v>
      </c>
      <c r="AA66" s="62"/>
      <c r="AB66" s="29">
        <v>1</v>
      </c>
      <c r="AC66" s="29">
        <v>4</v>
      </c>
      <c r="AD66" s="29" t="s">
        <v>551</v>
      </c>
      <c r="AE66" s="62">
        <v>0.96</v>
      </c>
      <c r="AF66" s="29" t="s">
        <v>546</v>
      </c>
      <c r="AG66" s="29" t="s">
        <v>546</v>
      </c>
      <c r="AH66" s="29" t="s">
        <v>546</v>
      </c>
      <c r="AI66" s="29" t="s">
        <v>546</v>
      </c>
      <c r="AJ66" s="29" t="s">
        <v>546</v>
      </c>
      <c r="AK66" s="29">
        <v>0</v>
      </c>
      <c r="AL66" s="29">
        <v>3</v>
      </c>
      <c r="AM66" s="29" t="s">
        <v>1109</v>
      </c>
      <c r="AN66" s="29" t="s">
        <v>1110</v>
      </c>
      <c r="AO66" s="29">
        <v>-4.2969870567321777</v>
      </c>
      <c r="AP66" s="29">
        <v>35.849224090576172</v>
      </c>
      <c r="AQ66" s="29">
        <v>1274.800048828125</v>
      </c>
      <c r="AR66" s="29">
        <v>5</v>
      </c>
      <c r="AS66" s="29">
        <v>1705231439</v>
      </c>
      <c r="AT66" s="29" t="s">
        <v>1111</v>
      </c>
      <c r="AU66" s="31">
        <v>42927.347002314811</v>
      </c>
      <c r="AV66" s="31">
        <v>42892.420949074076</v>
      </c>
      <c r="AW66" s="31">
        <v>42927.346053240741</v>
      </c>
      <c r="AX66" s="32">
        <v>42793</v>
      </c>
      <c r="AZ66" s="44"/>
      <c r="BA66" s="44"/>
      <c r="BB66" s="44"/>
      <c r="BC66" s="44"/>
      <c r="BD66" s="29" t="s">
        <v>2171</v>
      </c>
      <c r="BE66" s="29">
        <v>1.5327152013800001</v>
      </c>
      <c r="BF66" s="29" t="str">
        <f>IF(BE66&lt;0.5,"Depression",IF(BE66&lt;2,"Very gentle",IF(BE66&lt;5,"Gentle",IF(BE66&lt;9,"Moderate",IF(BE66&lt;15,"Strong",IF(BE66&lt;30,"Steep",IF(BE66&lt;1,"Very steep")))))))</f>
        <v>Very gentle</v>
      </c>
      <c r="BG66" s="29" t="s">
        <v>2173</v>
      </c>
      <c r="BH66" s="29">
        <v>-0.27191722393000001</v>
      </c>
      <c r="BI66" s="43">
        <v>9.4327993392899998</v>
      </c>
      <c r="BJ66" s="43">
        <f>VLOOKUP(D66,[1]SoilData!$G$15:$K$237,5,FALSE)</f>
        <v>457.16559114869972</v>
      </c>
      <c r="BK66" s="43">
        <f>VLOOKUP(D66,[1]SoilData!$G$245:$K$451,5,FALSE)</f>
        <v>158.14415692300889</v>
      </c>
      <c r="BL66" s="43">
        <f>VLOOKUP(D66,[1]SoilData!$G$15:$M$238,7,FALSE)</f>
        <v>1.85</v>
      </c>
      <c r="BM66" s="43">
        <f>VLOOKUP(D66,[1]SoilData!$G$245:$M$454,7,FALSE)</f>
        <v>1.5129999999999999</v>
      </c>
      <c r="BN66" s="60">
        <f>BL66-BM66</f>
        <v>0.33700000000000019</v>
      </c>
      <c r="BO66" s="44"/>
      <c r="BP66" s="44"/>
      <c r="BQ66" s="43"/>
      <c r="BR66" s="64">
        <f>IF(W66&gt;0.000001,W66*352,0)</f>
        <v>844.8</v>
      </c>
      <c r="BS66" s="64">
        <f>IF(AE66&gt;0.0001,AE66*682,0)</f>
        <v>654.72</v>
      </c>
      <c r="BT66" s="64">
        <f>AA66*795</f>
        <v>0</v>
      </c>
      <c r="BU66" s="64">
        <f>BR66+BS66+BT66</f>
        <v>1499.52</v>
      </c>
      <c r="BV66" s="64">
        <f>IF(G66="YES",3.5*18.2,0)</f>
        <v>0</v>
      </c>
      <c r="BW66" s="64">
        <f>BU66-BV66</f>
        <v>1499.52</v>
      </c>
    </row>
    <row r="67" spans="1:75" x14ac:dyDescent="0.15">
      <c r="A67" s="29" t="s">
        <v>556</v>
      </c>
      <c r="B67" s="29">
        <v>160</v>
      </c>
      <c r="C67" s="29" t="s">
        <v>359</v>
      </c>
      <c r="D67" s="29" t="s">
        <v>359</v>
      </c>
      <c r="E67" s="29" t="str">
        <f>VLOOKUP(D67,Harvest_2017_Formulae!$C$2:$D$968,2,FALSE)</f>
        <v>HALLU</v>
      </c>
      <c r="F67" s="29" t="s">
        <v>938</v>
      </c>
      <c r="G67" s="61" t="s">
        <v>546</v>
      </c>
      <c r="H67" s="29" t="s">
        <v>547</v>
      </c>
      <c r="I67" s="29" t="s">
        <v>546</v>
      </c>
      <c r="J67" s="29" t="s">
        <v>546</v>
      </c>
      <c r="K67" s="29" t="s">
        <v>546</v>
      </c>
      <c r="L67" s="29" t="s">
        <v>2220</v>
      </c>
      <c r="M67" s="29" t="s">
        <v>546</v>
      </c>
      <c r="N67" s="29" t="s">
        <v>548</v>
      </c>
      <c r="O67" s="29" t="s">
        <v>550</v>
      </c>
      <c r="P67" s="29">
        <v>0.25</v>
      </c>
      <c r="Q67" s="29">
        <v>0.25</v>
      </c>
      <c r="S67" s="29" t="s">
        <v>548</v>
      </c>
      <c r="T67" s="29">
        <v>0.25</v>
      </c>
      <c r="U67" s="29">
        <v>2</v>
      </c>
      <c r="V67" s="29" t="s">
        <v>551</v>
      </c>
      <c r="W67" s="30">
        <v>1.92</v>
      </c>
      <c r="Y67" s="29">
        <v>999</v>
      </c>
      <c r="Z67" s="29" t="s">
        <v>551</v>
      </c>
      <c r="AA67" s="62"/>
      <c r="AB67" s="29">
        <v>0.25</v>
      </c>
      <c r="AC67" s="29">
        <v>4</v>
      </c>
      <c r="AD67" s="29" t="s">
        <v>552</v>
      </c>
      <c r="AE67" s="62">
        <v>0.64127999999999996</v>
      </c>
      <c r="AF67" s="29" t="s">
        <v>546</v>
      </c>
      <c r="AG67" s="29" t="s">
        <v>546</v>
      </c>
      <c r="AH67" s="29" t="s">
        <v>546</v>
      </c>
      <c r="AI67" s="29" t="s">
        <v>546</v>
      </c>
      <c r="AJ67" s="29" t="s">
        <v>546</v>
      </c>
      <c r="AK67" s="29">
        <v>0</v>
      </c>
      <c r="AL67" s="29">
        <v>3</v>
      </c>
      <c r="AM67" s="29" t="s">
        <v>982</v>
      </c>
      <c r="AN67" s="29" t="s">
        <v>983</v>
      </c>
      <c r="AO67" s="29">
        <v>-4.2845678329467773</v>
      </c>
      <c r="AP67" s="29">
        <v>35.895767211914062</v>
      </c>
      <c r="AQ67" s="29">
        <v>1230.699951171875</v>
      </c>
      <c r="AR67" s="29">
        <v>5</v>
      </c>
      <c r="AS67" s="29">
        <v>1706031849</v>
      </c>
      <c r="AT67" s="29" t="s">
        <v>984</v>
      </c>
      <c r="AU67" s="31">
        <v>42921.432453703703</v>
      </c>
      <c r="AV67" s="31">
        <v>42913.601377314815</v>
      </c>
      <c r="AW67" s="31">
        <v>42913.618229166663</v>
      </c>
      <c r="AX67" s="32">
        <v>42789</v>
      </c>
      <c r="AZ67" s="44">
        <v>2.2201709401709402</v>
      </c>
      <c r="BA67" s="44">
        <v>1.7467521367521366</v>
      </c>
      <c r="BB67" s="44">
        <v>2.8790123456790124</v>
      </c>
      <c r="BC67" s="44"/>
      <c r="BD67" s="29" t="s">
        <v>2171</v>
      </c>
      <c r="BE67" s="29">
        <v>1.5749045610400001</v>
      </c>
      <c r="BF67" s="29" t="str">
        <f>IF(BE67&lt;0.5,"Depression",IF(BE67&lt;2,"Very gentle",IF(BE67&lt;5,"Gentle",IF(BE67&lt;9,"Moderate",IF(BE67&lt;15,"Strong",IF(BE67&lt;30,"Steep",IF(BE67&lt;1,"Very steep")))))))</f>
        <v>Very gentle</v>
      </c>
      <c r="BG67" s="29" t="s">
        <v>2173</v>
      </c>
      <c r="BH67" s="29">
        <v>-0.362559139729</v>
      </c>
      <c r="BI67" s="43">
        <v>9.9196262359599991</v>
      </c>
      <c r="BJ67" s="43">
        <f>VLOOKUP(D67,[1]SoilData!$G$15:$K$237,5,FALSE)</f>
        <v>191.78298588258733</v>
      </c>
      <c r="BK67" s="43">
        <f>VLOOKUP(D67,[1]SoilData!$G$245:$K$451,5,FALSE)</f>
        <v>246.16062488228459</v>
      </c>
      <c r="BL67" s="43">
        <f>VLOOKUP(D67,[1]SoilData!$G$15:$M$238,7,FALSE)</f>
        <v>1.089</v>
      </c>
      <c r="BM67" s="43">
        <f>VLOOKUP(D67,[1]SoilData!$G$245:$M$454,7,FALSE)</f>
        <v>1.08</v>
      </c>
      <c r="BN67" s="60">
        <f>BL67-BM67</f>
        <v>8.999999999999897E-3</v>
      </c>
      <c r="BO67" s="44">
        <f>AVERAGE(BB67:BC67)</f>
        <v>2.8790123456790124</v>
      </c>
      <c r="BP67" s="44">
        <f>AVERAGE(AZ67:BA67)</f>
        <v>1.9834615384615384</v>
      </c>
      <c r="BQ67" s="43">
        <f>BP67-BO67</f>
        <v>-0.89555080721747404</v>
      </c>
      <c r="BR67" s="64">
        <f>IF(W67&gt;0.000001,W67*352,0)</f>
        <v>675.83999999999992</v>
      </c>
      <c r="BS67" s="64">
        <f>IF(AE67&gt;0.0001,AE67*682,0)</f>
        <v>437.35296</v>
      </c>
      <c r="BT67" s="64">
        <f>AA67*795</f>
        <v>0</v>
      </c>
      <c r="BU67" s="64">
        <f>BR67+BS67+BT67</f>
        <v>1113.1929599999999</v>
      </c>
      <c r="BV67" s="64">
        <f>IF(G67="YES",3.5*18.2,0)</f>
        <v>0</v>
      </c>
      <c r="BW67" s="64">
        <f>BU67-BV67</f>
        <v>1113.1929599999999</v>
      </c>
    </row>
    <row r="68" spans="1:75" x14ac:dyDescent="0.15">
      <c r="A68" s="29" t="s">
        <v>556</v>
      </c>
      <c r="B68" s="29">
        <v>143</v>
      </c>
      <c r="C68" s="29" t="s">
        <v>318</v>
      </c>
      <c r="D68" s="29" t="s">
        <v>318</v>
      </c>
      <c r="E68" s="29" t="str">
        <f>VLOOKUP(D68,Harvest_2017_Formulae!$C$2:$D$968,2,FALSE)</f>
        <v>AYAMANGO</v>
      </c>
      <c r="F68" s="29" t="s">
        <v>196</v>
      </c>
      <c r="G68" s="61" t="s">
        <v>546</v>
      </c>
      <c r="H68" s="29" t="s">
        <v>547</v>
      </c>
      <c r="I68" s="29" t="s">
        <v>548</v>
      </c>
      <c r="J68" s="29" t="s">
        <v>546</v>
      </c>
      <c r="K68" s="29" t="s">
        <v>548</v>
      </c>
      <c r="L68" s="29" t="s">
        <v>2219</v>
      </c>
      <c r="M68" s="29" t="s">
        <v>546</v>
      </c>
      <c r="N68" s="29" t="s">
        <v>546</v>
      </c>
      <c r="O68" s="29" t="s">
        <v>547</v>
      </c>
      <c r="P68" s="29">
        <v>0.25</v>
      </c>
      <c r="Q68" s="29">
        <v>0.25</v>
      </c>
      <c r="S68" s="29" t="s">
        <v>548</v>
      </c>
      <c r="T68" s="29">
        <v>0.25</v>
      </c>
      <c r="U68" s="29">
        <v>9</v>
      </c>
      <c r="V68" s="29" t="s">
        <v>551</v>
      </c>
      <c r="W68" s="30">
        <v>8.64</v>
      </c>
      <c r="Y68" s="29">
        <v>999</v>
      </c>
      <c r="Z68" s="29" t="s">
        <v>551</v>
      </c>
      <c r="AA68" s="62"/>
      <c r="AB68" s="29">
        <v>0.25</v>
      </c>
      <c r="AC68" s="29">
        <v>4</v>
      </c>
      <c r="AD68" s="29" t="s">
        <v>552</v>
      </c>
      <c r="AE68" s="62">
        <v>0.64127999999999996</v>
      </c>
      <c r="AF68" s="29" t="s">
        <v>546</v>
      </c>
      <c r="AG68" s="29" t="s">
        <v>546</v>
      </c>
      <c r="AH68" s="29" t="s">
        <v>546</v>
      </c>
      <c r="AI68" s="29" t="s">
        <v>546</v>
      </c>
      <c r="AJ68" s="29" t="s">
        <v>546</v>
      </c>
      <c r="AK68" s="29">
        <v>0</v>
      </c>
      <c r="AL68" s="29">
        <v>2</v>
      </c>
      <c r="AM68" s="29" t="s">
        <v>603</v>
      </c>
      <c r="AN68" s="29" t="s">
        <v>604</v>
      </c>
      <c r="AO68" s="29">
        <v>-4.244534969329834</v>
      </c>
      <c r="AP68" s="29">
        <v>35.891998291015625</v>
      </c>
      <c r="AQ68" s="29">
        <v>1224.9000244140625</v>
      </c>
      <c r="AR68" s="29">
        <v>5</v>
      </c>
      <c r="AS68" s="29">
        <v>1706031849</v>
      </c>
      <c r="AT68" s="29" t="s">
        <v>605</v>
      </c>
      <c r="AU68" s="31">
        <v>42909.495740740742</v>
      </c>
      <c r="AV68" s="31">
        <v>42908.475405092591</v>
      </c>
      <c r="AW68" s="31">
        <v>42908.480833333335</v>
      </c>
      <c r="AX68" s="32">
        <v>42775</v>
      </c>
      <c r="AZ68" s="44">
        <v>4.2269281045751628</v>
      </c>
      <c r="BA68" s="44">
        <v>7.719389978213508</v>
      </c>
      <c r="BB68" s="44">
        <v>4.372056530214425</v>
      </c>
      <c r="BC68" s="44">
        <v>4.1487719298245613</v>
      </c>
      <c r="BD68" s="29" t="s">
        <v>2171</v>
      </c>
      <c r="BE68" s="29">
        <v>1.0756396055199999</v>
      </c>
      <c r="BF68" s="29" t="str">
        <f>IF(BE68&lt;0.5,"Depression",IF(BE68&lt;2,"Very gentle",IF(BE68&lt;5,"Gentle",IF(BE68&lt;9,"Moderate",IF(BE68&lt;15,"Strong",IF(BE68&lt;30,"Steep",IF(BE68&lt;1,"Very steep")))))))</f>
        <v>Very gentle</v>
      </c>
      <c r="BG68" s="29" t="s">
        <v>2173</v>
      </c>
      <c r="BH68" s="29">
        <v>-0.18127532303300001</v>
      </c>
      <c r="BI68" s="43">
        <v>10.502039909400001</v>
      </c>
      <c r="BJ68" s="43">
        <f>VLOOKUP(D68,[1]SoilData!$G$15:$K$237,5,FALSE)</f>
        <v>592.87783827657358</v>
      </c>
      <c r="BK68" s="43"/>
      <c r="BL68" s="43">
        <f>VLOOKUP(D68,[1]SoilData!$G$15:$M$238,7,FALSE)</f>
        <v>2.153</v>
      </c>
      <c r="BM68" s="43">
        <f>VLOOKUP(D68,[1]SoilData!$G$245:$M$454,7,FALSE)</f>
        <v>2.202</v>
      </c>
      <c r="BN68" s="60">
        <f>BL68-BM68</f>
        <v>-4.8999999999999932E-2</v>
      </c>
      <c r="BO68" s="44">
        <f>AVERAGE(BB68:BC68)</f>
        <v>4.2604142300194932</v>
      </c>
      <c r="BP68" s="44">
        <f>AVERAGE(AZ68:BA68)</f>
        <v>5.9731590413943358</v>
      </c>
      <c r="BQ68" s="43">
        <f>BP68-BO68</f>
        <v>1.7127448113748427</v>
      </c>
      <c r="BR68" s="64">
        <f>IF(W68&gt;0.000001,W68*352,0)</f>
        <v>3041.28</v>
      </c>
      <c r="BS68" s="64">
        <f>IF(AE68&gt;0.0001,AE68*682,0)</f>
        <v>437.35296</v>
      </c>
      <c r="BT68" s="64">
        <f>AA68*795</f>
        <v>0</v>
      </c>
      <c r="BU68" s="64">
        <f>BR68+BS68+BT68</f>
        <v>3478.6329600000004</v>
      </c>
      <c r="BV68" s="64">
        <f>IF(G68="YES",3.5*18.2,0)</f>
        <v>0</v>
      </c>
      <c r="BW68" s="64">
        <f>BU68-BV68</f>
        <v>3478.6329600000004</v>
      </c>
    </row>
    <row r="69" spans="1:75" x14ac:dyDescent="0.15">
      <c r="A69" s="29" t="s">
        <v>556</v>
      </c>
      <c r="B69" s="29">
        <v>142</v>
      </c>
      <c r="C69" s="29" t="s">
        <v>428</v>
      </c>
      <c r="D69" s="29" t="s">
        <v>428</v>
      </c>
      <c r="E69" s="29" t="str">
        <f>VLOOKUP(D69,Harvest_2017_Formulae!$C$2:$D$968,2,FALSE)</f>
        <v>AYAMANGO</v>
      </c>
      <c r="F69" s="29" t="s">
        <v>196</v>
      </c>
      <c r="G69" s="61" t="s">
        <v>548</v>
      </c>
      <c r="H69" s="29" t="s">
        <v>568</v>
      </c>
      <c r="I69" s="29" t="s">
        <v>546</v>
      </c>
      <c r="J69" s="29" t="s">
        <v>546</v>
      </c>
      <c r="K69" s="29" t="s">
        <v>548</v>
      </c>
      <c r="L69" s="29" t="s">
        <v>2220</v>
      </c>
      <c r="M69" s="29" t="s">
        <v>546</v>
      </c>
      <c r="N69" s="29" t="s">
        <v>546</v>
      </c>
      <c r="O69" s="29" t="s">
        <v>547</v>
      </c>
      <c r="P69" s="29">
        <v>0.25</v>
      </c>
      <c r="Q69" s="29">
        <v>0.25</v>
      </c>
      <c r="S69" s="29" t="s">
        <v>548</v>
      </c>
      <c r="T69" s="29">
        <v>0.5</v>
      </c>
      <c r="U69" s="29">
        <v>10</v>
      </c>
      <c r="V69" s="29" t="s">
        <v>551</v>
      </c>
      <c r="W69" s="30">
        <v>4.8</v>
      </c>
      <c r="Y69" s="29">
        <v>999</v>
      </c>
      <c r="Z69" s="29" t="s">
        <v>551</v>
      </c>
      <c r="AA69" s="62"/>
      <c r="AB69" s="29">
        <v>0.5</v>
      </c>
      <c r="AC69" s="29">
        <v>1.25</v>
      </c>
      <c r="AD69" s="29" t="s">
        <v>551</v>
      </c>
      <c r="AE69" s="62">
        <v>0.6</v>
      </c>
      <c r="AF69" s="29" t="s">
        <v>546</v>
      </c>
      <c r="AG69" s="29" t="s">
        <v>546</v>
      </c>
      <c r="AH69" s="29" t="s">
        <v>546</v>
      </c>
      <c r="AI69" s="29" t="s">
        <v>546</v>
      </c>
      <c r="AJ69" s="29" t="s">
        <v>548</v>
      </c>
      <c r="AK69" s="29">
        <v>1</v>
      </c>
      <c r="AL69" s="29">
        <v>3</v>
      </c>
      <c r="AM69" s="29" t="s">
        <v>585</v>
      </c>
      <c r="AN69" s="29" t="s">
        <v>586</v>
      </c>
      <c r="AO69" s="29">
        <v>-4.2444829940795898</v>
      </c>
      <c r="AP69" s="29">
        <v>35.892040252685547</v>
      </c>
      <c r="AQ69" s="29">
        <v>1224.199951171875</v>
      </c>
      <c r="AR69" s="29">
        <v>5</v>
      </c>
      <c r="AS69" s="29">
        <v>1706031849</v>
      </c>
      <c r="AT69" s="29" t="s">
        <v>587</v>
      </c>
      <c r="AU69" s="31">
        <v>42909.495729166665</v>
      </c>
      <c r="AV69" s="31">
        <v>42908.461006944446</v>
      </c>
      <c r="AW69" s="31">
        <v>42908.475324074076</v>
      </c>
      <c r="AX69" s="32">
        <v>42775</v>
      </c>
      <c r="AZ69" s="44">
        <v>5.8809362139917694</v>
      </c>
      <c r="BA69" s="44">
        <v>4.9944958847736629</v>
      </c>
      <c r="BB69" s="44">
        <v>3.4614545454545453</v>
      </c>
      <c r="BC69" s="44">
        <v>4.5950303030303026</v>
      </c>
      <c r="BD69" s="29" t="s">
        <v>2171</v>
      </c>
      <c r="BE69" s="29">
        <v>1.0756396055199999</v>
      </c>
      <c r="BF69" s="29" t="str">
        <f>IF(BE69&lt;0.5,"Depression",IF(BE69&lt;2,"Very gentle",IF(BE69&lt;5,"Gentle",IF(BE69&lt;9,"Moderate",IF(BE69&lt;15,"Strong",IF(BE69&lt;30,"Steep",IF(BE69&lt;1,"Very steep")))))))</f>
        <v>Very gentle</v>
      </c>
      <c r="BG69" s="29" t="s">
        <v>2173</v>
      </c>
      <c r="BH69" s="29">
        <v>-0.18127532303300001</v>
      </c>
      <c r="BI69" s="43">
        <v>10.502039909400001</v>
      </c>
      <c r="BJ69" s="43">
        <f>VLOOKUP(D69,[1]SoilData!$G$15:$K$237,5,FALSE)</f>
        <v>488.38056072237833</v>
      </c>
      <c r="BK69" s="43">
        <f>VLOOKUP(D69,[1]SoilData!$G$245:$K$451,5,FALSE)</f>
        <v>480.02077851804273</v>
      </c>
      <c r="BL69" s="43">
        <f>VLOOKUP(D69,[1]SoilData!$G$15:$M$238,7,FALSE)</f>
        <v>2.0819999999999999</v>
      </c>
      <c r="BM69" s="43">
        <f>VLOOKUP(D69,[1]SoilData!$G$245:$M$454,7,FALSE)</f>
        <v>2.2469999999999999</v>
      </c>
      <c r="BN69" s="60">
        <f>BL69-BM69</f>
        <v>-0.16500000000000004</v>
      </c>
      <c r="BO69" s="44">
        <f>AVERAGE(BB69:BC69)</f>
        <v>4.028242424242424</v>
      </c>
      <c r="BP69" s="44">
        <f>AVERAGE(AZ69:BA69)</f>
        <v>5.4377160493827166</v>
      </c>
      <c r="BQ69" s="43">
        <f>BP69-BO69</f>
        <v>1.4094736251402926</v>
      </c>
      <c r="BR69" s="64">
        <f>IF(W69&gt;0.000001,W69*352,0)</f>
        <v>1689.6</v>
      </c>
      <c r="BS69" s="64">
        <f>IF(AE69&gt;0.0001,AE69*682,0)</f>
        <v>409.2</v>
      </c>
      <c r="BT69" s="64">
        <f>AA69*795</f>
        <v>0</v>
      </c>
      <c r="BU69" s="64">
        <f>BR69+BS69+BT69</f>
        <v>2098.7999999999997</v>
      </c>
      <c r="BV69" s="64">
        <f>IF(G69="YES",3.5*18.2,0)</f>
        <v>63.699999999999996</v>
      </c>
      <c r="BW69" s="64">
        <f>BU69-BV69</f>
        <v>2035.0999999999997</v>
      </c>
    </row>
    <row r="70" spans="1:75" x14ac:dyDescent="0.15">
      <c r="A70" s="29" t="s">
        <v>556</v>
      </c>
      <c r="B70" s="29">
        <v>106</v>
      </c>
      <c r="C70" s="29" t="s">
        <v>351</v>
      </c>
      <c r="D70" s="29" t="s">
        <v>351</v>
      </c>
      <c r="E70" s="29" t="str">
        <f>VLOOKUP(D70,Harvest_2017_Formulae!$C$2:$D$968,2,FALSE)</f>
        <v>ENDANOGA</v>
      </c>
      <c r="F70" s="29" t="s">
        <v>843</v>
      </c>
      <c r="G70" s="61" t="s">
        <v>548</v>
      </c>
      <c r="H70" s="29" t="s">
        <v>568</v>
      </c>
      <c r="I70" s="29" t="s">
        <v>546</v>
      </c>
      <c r="J70" s="29" t="s">
        <v>546</v>
      </c>
      <c r="K70" s="29" t="s">
        <v>548</v>
      </c>
      <c r="L70" s="29" t="s">
        <v>2220</v>
      </c>
      <c r="M70" s="29" t="s">
        <v>546</v>
      </c>
      <c r="N70" s="29" t="s">
        <v>546</v>
      </c>
      <c r="O70" s="29" t="s">
        <v>547</v>
      </c>
      <c r="P70" s="29">
        <v>0.25</v>
      </c>
      <c r="Q70" s="29">
        <v>1</v>
      </c>
      <c r="R70" s="29">
        <v>0</v>
      </c>
      <c r="S70" s="29" t="s">
        <v>548</v>
      </c>
      <c r="T70" s="29">
        <v>1.25</v>
      </c>
      <c r="U70" s="29">
        <v>5</v>
      </c>
      <c r="V70" s="29" t="s">
        <v>551</v>
      </c>
      <c r="W70" s="30">
        <v>0.96</v>
      </c>
      <c r="Y70" s="29">
        <v>999</v>
      </c>
      <c r="Z70" s="29" t="s">
        <v>551</v>
      </c>
      <c r="AA70" s="62"/>
      <c r="AB70" s="29">
        <v>1.25</v>
      </c>
      <c r="AC70" s="29">
        <v>1.5</v>
      </c>
      <c r="AD70" s="29" t="s">
        <v>551</v>
      </c>
      <c r="AE70" s="62">
        <v>0.28799999999999998</v>
      </c>
      <c r="AF70" s="29" t="s">
        <v>548</v>
      </c>
      <c r="AG70" s="29" t="s">
        <v>548</v>
      </c>
      <c r="AH70" s="29" t="s">
        <v>548</v>
      </c>
      <c r="AI70" s="29" t="s">
        <v>546</v>
      </c>
      <c r="AJ70" s="29" t="s">
        <v>546</v>
      </c>
      <c r="AK70" s="29">
        <v>3</v>
      </c>
      <c r="AL70" s="29">
        <v>2</v>
      </c>
      <c r="AM70" s="29" t="s">
        <v>914</v>
      </c>
      <c r="AN70" s="29" t="s">
        <v>915</v>
      </c>
      <c r="AO70" s="29">
        <v>-4.2591938972473145</v>
      </c>
      <c r="AP70" s="29">
        <v>35.857143402099609</v>
      </c>
      <c r="AQ70" s="29">
        <v>1322.0999755859375</v>
      </c>
      <c r="AR70" s="29">
        <v>5</v>
      </c>
      <c r="AS70" s="29">
        <v>1706031849</v>
      </c>
      <c r="AT70" s="29" t="s">
        <v>916</v>
      </c>
      <c r="AU70" s="31">
        <v>42903.412905092591</v>
      </c>
      <c r="AV70" s="31">
        <v>42893.65834490741</v>
      </c>
      <c r="AW70" s="31">
        <v>42893.667199074072</v>
      </c>
      <c r="AX70" s="32">
        <v>42773</v>
      </c>
      <c r="AZ70" s="44">
        <v>6.8147763946519149</v>
      </c>
      <c r="BA70" s="44">
        <v>5.9906639004149378</v>
      </c>
      <c r="BB70" s="44">
        <v>3.3281466113416327</v>
      </c>
      <c r="BC70" s="44">
        <v>3.4359151682803142</v>
      </c>
      <c r="BD70" s="29" t="s">
        <v>2171</v>
      </c>
      <c r="BE70" s="29">
        <v>4.6913475990300002</v>
      </c>
      <c r="BF70" s="29" t="str">
        <f>IF(BE70&lt;0.5,"Depression",IF(BE70&lt;2,"Very gentle",IF(BE70&lt;5,"Gentle",IF(BE70&lt;9,"Moderate",IF(BE70&lt;15,"Strong",IF(BE70&lt;30,"Steep",IF(BE70&lt;1,"Very steep")))))))</f>
        <v>Gentle</v>
      </c>
      <c r="BG70" s="29" t="s">
        <v>2173</v>
      </c>
      <c r="BH70" s="29">
        <v>0.36257606744799997</v>
      </c>
      <c r="BI70" s="43">
        <v>8.6527519226099994</v>
      </c>
      <c r="BJ70" s="43">
        <f>VLOOKUP(D70,[1]SoilData!$G$15:$K$237,5,FALSE)</f>
        <v>336.15062674724533</v>
      </c>
      <c r="BK70" s="43">
        <f>VLOOKUP(D70,[1]SoilData!$G$245:$K$451,5,FALSE)</f>
        <v>250.34352018995361</v>
      </c>
      <c r="BL70" s="43">
        <f>VLOOKUP(D70,[1]SoilData!$G$15:$M$238,7,FALSE)</f>
        <v>1.083</v>
      </c>
      <c r="BM70" s="43">
        <f>VLOOKUP(D70,[1]SoilData!$G$245:$M$454,7,FALSE)</f>
        <v>1.4670000000000001</v>
      </c>
      <c r="BN70" s="60">
        <f>BL70-BM70</f>
        <v>-0.38400000000000012</v>
      </c>
      <c r="BO70" s="44">
        <f>AVERAGE(BB70:BC70)</f>
        <v>3.3820308898109737</v>
      </c>
      <c r="BP70" s="44">
        <f>AVERAGE(AZ70:BA70)</f>
        <v>6.4027201475334259</v>
      </c>
      <c r="BQ70" s="43">
        <f>BP70-BO70</f>
        <v>3.0206892577224522</v>
      </c>
      <c r="BR70" s="64">
        <f>IF(W70&gt;0.000001,W70*352,0)</f>
        <v>337.91999999999996</v>
      </c>
      <c r="BS70" s="64">
        <f>IF(AE70&gt;0.0001,AE70*682,0)</f>
        <v>196.416</v>
      </c>
      <c r="BT70" s="64">
        <f>AA70*795</f>
        <v>0</v>
      </c>
      <c r="BU70" s="64">
        <f>BR70+BS70+BT70</f>
        <v>534.33600000000001</v>
      </c>
      <c r="BV70" s="64">
        <f>IF(G70="YES",3.5*18.2,0)</f>
        <v>63.699999999999996</v>
      </c>
      <c r="BW70" s="64">
        <f>BU70-BV70</f>
        <v>470.63600000000002</v>
      </c>
    </row>
    <row r="71" spans="1:75" x14ac:dyDescent="0.15">
      <c r="A71" s="29" t="s">
        <v>556</v>
      </c>
      <c r="B71" s="29">
        <v>109</v>
      </c>
      <c r="C71" s="29" t="s">
        <v>1414</v>
      </c>
      <c r="D71" s="29" t="s">
        <v>1414</v>
      </c>
      <c r="E71" s="29" t="e">
        <f>VLOOKUP(D71,Harvest_2017_Formulae!$C$2:$D$968,2,FALSE)</f>
        <v>#N/A</v>
      </c>
      <c r="F71" s="29" t="s">
        <v>1310</v>
      </c>
      <c r="G71" s="61" t="s">
        <v>546</v>
      </c>
      <c r="H71" s="29" t="s">
        <v>547</v>
      </c>
      <c r="I71" s="29" t="s">
        <v>548</v>
      </c>
      <c r="J71" s="29" t="s">
        <v>546</v>
      </c>
      <c r="K71" s="29" t="s">
        <v>548</v>
      </c>
      <c r="L71" s="29" t="s">
        <v>2220</v>
      </c>
      <c r="M71" s="29" t="s">
        <v>546</v>
      </c>
      <c r="N71" s="29" t="s">
        <v>548</v>
      </c>
      <c r="O71" s="29" t="s">
        <v>550</v>
      </c>
      <c r="P71" s="29">
        <v>0.25</v>
      </c>
      <c r="Q71" s="29">
        <v>1</v>
      </c>
      <c r="R71" s="29">
        <v>0</v>
      </c>
      <c r="S71" s="29" t="s">
        <v>548</v>
      </c>
      <c r="T71" s="29">
        <v>0.5</v>
      </c>
      <c r="U71" s="29">
        <v>4</v>
      </c>
      <c r="V71" s="29" t="s">
        <v>551</v>
      </c>
      <c r="W71" s="30">
        <v>1.92</v>
      </c>
      <c r="X71" s="29">
        <v>1.25</v>
      </c>
      <c r="Y71" s="29">
        <v>4</v>
      </c>
      <c r="Z71" s="29" t="s">
        <v>552</v>
      </c>
      <c r="AA71" s="62">
        <v>0.12825599999999998</v>
      </c>
      <c r="AB71" s="29">
        <v>1.25</v>
      </c>
      <c r="AC71" s="29">
        <v>1.75</v>
      </c>
      <c r="AD71" s="29" t="s">
        <v>552</v>
      </c>
      <c r="AE71" s="62">
        <v>5.6111999999999995E-2</v>
      </c>
      <c r="AF71" s="29" t="s">
        <v>546</v>
      </c>
      <c r="AG71" s="29" t="s">
        <v>546</v>
      </c>
      <c r="AH71" s="29" t="s">
        <v>546</v>
      </c>
      <c r="AI71" s="29" t="s">
        <v>546</v>
      </c>
      <c r="AJ71" s="29" t="s">
        <v>546</v>
      </c>
      <c r="AK71" s="29">
        <v>0</v>
      </c>
      <c r="AL71" s="29">
        <v>3</v>
      </c>
      <c r="AM71" s="29" t="s">
        <v>1415</v>
      </c>
      <c r="AN71" s="29" t="s">
        <v>1416</v>
      </c>
      <c r="AO71" s="29">
        <v>-4.2571825981140137</v>
      </c>
      <c r="AP71" s="29">
        <v>35.525119781494141</v>
      </c>
      <c r="AQ71" s="29">
        <v>1629.5999755859375</v>
      </c>
      <c r="AR71" s="29">
        <v>5</v>
      </c>
      <c r="AS71" s="29">
        <v>1706031849</v>
      </c>
      <c r="AT71" s="29" t="s">
        <v>1417</v>
      </c>
      <c r="AU71" s="31">
        <v>42903.412905092591</v>
      </c>
      <c r="AV71" s="31">
        <v>42901.441331018519</v>
      </c>
      <c r="AW71" s="31">
        <v>42901.470023148147</v>
      </c>
      <c r="AX71" s="32">
        <v>42744</v>
      </c>
      <c r="BD71" s="29" t="s">
        <v>2171</v>
      </c>
      <c r="BE71" s="29">
        <v>1.52882194519</v>
      </c>
      <c r="BF71" s="29" t="str">
        <f>IF(BE71&lt;0.5,"Depression",IF(BE71&lt;2,"Very gentle",IF(BE71&lt;5,"Gentle",IF(BE71&lt;9,"Moderate",IF(BE71&lt;15,"Strong",IF(BE71&lt;30,"Steep",IF(BE71&lt;1,"Very steep")))))))</f>
        <v>Very gentle</v>
      </c>
      <c r="BG71" s="29" t="s">
        <v>2177</v>
      </c>
      <c r="BH71" s="29">
        <v>0.63450175523800001</v>
      </c>
      <c r="BI71" s="43">
        <v>8.1430721283</v>
      </c>
      <c r="BJ71" s="43"/>
      <c r="BK71" s="43"/>
      <c r="BL71" s="43"/>
      <c r="BM71" s="43"/>
      <c r="BN71" s="60"/>
      <c r="BO71" s="43"/>
      <c r="BP71" s="43"/>
      <c r="BQ71" s="43"/>
      <c r="BR71" s="64">
        <f>IF(W71&gt;0.000001,W71*352,0)</f>
        <v>675.83999999999992</v>
      </c>
      <c r="BS71" s="64">
        <f>IF(AE71&gt;0.0001,AE71*682,0)</f>
        <v>38.268383999999998</v>
      </c>
      <c r="BT71" s="64">
        <f>AA71*795</f>
        <v>101.96351999999999</v>
      </c>
      <c r="BU71" s="64">
        <f>BR71+BS71+BT71</f>
        <v>816.0719039999999</v>
      </c>
      <c r="BV71" s="64">
        <f>IF(G71="YES",3.5*18.2,0)</f>
        <v>0</v>
      </c>
      <c r="BW71" s="64">
        <f>BU71-BV71</f>
        <v>816.0719039999999</v>
      </c>
    </row>
    <row r="72" spans="1:75" x14ac:dyDescent="0.15">
      <c r="A72" s="29" t="s">
        <v>556</v>
      </c>
      <c r="B72" s="29">
        <v>196</v>
      </c>
      <c r="C72" s="29" t="s">
        <v>121</v>
      </c>
      <c r="D72" s="29" t="s">
        <v>121</v>
      </c>
      <c r="E72" s="29" t="str">
        <f>VLOOKUP(D72,Harvest_2017_Formulae!$C$2:$D$968,2,FALSE)</f>
        <v>ENDAGWE</v>
      </c>
      <c r="F72" s="29" t="s">
        <v>732</v>
      </c>
      <c r="G72" s="61" t="s">
        <v>546</v>
      </c>
      <c r="H72" s="29" t="s">
        <v>547</v>
      </c>
      <c r="I72" s="29" t="s">
        <v>548</v>
      </c>
      <c r="J72" s="29" t="s">
        <v>546</v>
      </c>
      <c r="K72" s="29" t="s">
        <v>548</v>
      </c>
      <c r="L72" s="29" t="s">
        <v>2221</v>
      </c>
      <c r="M72" s="29" t="s">
        <v>546</v>
      </c>
      <c r="N72" s="29" t="s">
        <v>548</v>
      </c>
      <c r="O72" s="29" t="s">
        <v>550</v>
      </c>
      <c r="P72" s="29">
        <v>0.25</v>
      </c>
      <c r="Q72" s="29">
        <v>0</v>
      </c>
      <c r="R72" s="29">
        <v>0</v>
      </c>
      <c r="S72" s="29" t="s">
        <v>548</v>
      </c>
      <c r="T72" s="29">
        <v>0.25</v>
      </c>
      <c r="U72" s="29">
        <v>4</v>
      </c>
      <c r="V72" s="29" t="s">
        <v>551</v>
      </c>
      <c r="W72" s="30">
        <v>3.84</v>
      </c>
      <c r="Y72" s="29">
        <v>999</v>
      </c>
      <c r="Z72" s="29" t="s">
        <v>551</v>
      </c>
      <c r="AA72" s="62"/>
      <c r="AB72" s="29">
        <v>999</v>
      </c>
      <c r="AC72" s="29">
        <v>999</v>
      </c>
      <c r="AD72" s="29" t="s">
        <v>551</v>
      </c>
      <c r="AE72" s="62"/>
      <c r="AF72" s="29" t="s">
        <v>546</v>
      </c>
      <c r="AG72" s="29" t="s">
        <v>546</v>
      </c>
      <c r="AH72" s="29" t="s">
        <v>548</v>
      </c>
      <c r="AI72" s="29" t="s">
        <v>546</v>
      </c>
      <c r="AJ72" s="29" t="s">
        <v>546</v>
      </c>
      <c r="AK72" s="29">
        <v>1</v>
      </c>
      <c r="AL72" s="29">
        <v>3</v>
      </c>
      <c r="AM72" s="29" t="s">
        <v>743</v>
      </c>
      <c r="AN72" s="29" t="s">
        <v>744</v>
      </c>
      <c r="AO72" s="29">
        <v>-4.3547811508178711</v>
      </c>
      <c r="AP72" s="29">
        <v>35.648090362548828</v>
      </c>
      <c r="AQ72" s="29">
        <v>1588.5</v>
      </c>
      <c r="AR72" s="29">
        <v>5</v>
      </c>
      <c r="AS72" s="29">
        <v>1706031849</v>
      </c>
      <c r="AT72" s="29" t="s">
        <v>745</v>
      </c>
      <c r="AU72" s="31">
        <v>42948.907476851848</v>
      </c>
      <c r="AV72" s="31">
        <v>42934.434548611112</v>
      </c>
      <c r="AW72" s="31">
        <v>42934.441377314812</v>
      </c>
      <c r="AX72" s="32">
        <v>42770</v>
      </c>
      <c r="AZ72" s="44">
        <v>1.955993265993266</v>
      </c>
      <c r="BA72" s="44">
        <v>2.7487878787878794</v>
      </c>
      <c r="BB72" s="44">
        <v>3.4294871794871797</v>
      </c>
      <c r="BC72" s="44">
        <v>0.83679487179487189</v>
      </c>
      <c r="BD72" s="29" t="s">
        <v>2183</v>
      </c>
      <c r="BE72" s="29">
        <v>4.7364945411699999</v>
      </c>
      <c r="BF72" s="29" t="str">
        <f>IF(BE72&lt;0.5,"Depression",IF(BE72&lt;2,"Very gentle",IF(BE72&lt;5,"Gentle",IF(BE72&lt;9,"Moderate",IF(BE72&lt;15,"Strong",IF(BE72&lt;30,"Steep",IF(BE72&lt;1,"Very steep")))))))</f>
        <v>Gentle</v>
      </c>
      <c r="BG72" s="29" t="s">
        <v>2182</v>
      </c>
      <c r="BH72" s="29">
        <v>1.26899504662</v>
      </c>
      <c r="BI72" s="43">
        <v>7.4302625656099996</v>
      </c>
      <c r="BJ72" s="43">
        <f>VLOOKUP(D72,[1]SoilData!$G$15:$K$237,5,FALSE)</f>
        <v>39.794211970915427</v>
      </c>
      <c r="BK72" s="43">
        <f>VLOOKUP(D72,[1]SoilData!$G$245:$K$451,5,FALSE)</f>
        <v>43.624596715943625</v>
      </c>
      <c r="BL72" s="43">
        <f>VLOOKUP(D72,[1]SoilData!$G$15:$M$238,7,FALSE)</f>
        <v>0.71799999999999997</v>
      </c>
      <c r="BM72" s="43">
        <f>VLOOKUP(D72,[1]SoilData!$G$245:$M$454,7,FALSE)</f>
        <v>0.70299999999999996</v>
      </c>
      <c r="BN72" s="60">
        <f>BL72-BM72</f>
        <v>1.5000000000000013E-2</v>
      </c>
      <c r="BO72" s="44">
        <f>AVERAGE(BB72:BC72)</f>
        <v>2.1331410256410259</v>
      </c>
      <c r="BP72" s="44">
        <f>AVERAGE(AZ72:BA72)</f>
        <v>2.3523905723905729</v>
      </c>
      <c r="BQ72" s="43">
        <f>BP72-BO72</f>
        <v>0.219249546749547</v>
      </c>
      <c r="BR72" s="64">
        <f>IF(W72&gt;0.000001,W72*352,0)</f>
        <v>1351.6799999999998</v>
      </c>
      <c r="BS72" s="64">
        <f>IF(AE72&gt;0.0001,AE72*682,0)</f>
        <v>0</v>
      </c>
      <c r="BT72" s="64">
        <f>AA72*795</f>
        <v>0</v>
      </c>
      <c r="BU72" s="64">
        <f>BR72+BS72+BT72</f>
        <v>1351.6799999999998</v>
      </c>
      <c r="BV72" s="64">
        <f>IF(G72="YES",3.5*18.2,0)</f>
        <v>0</v>
      </c>
      <c r="BW72" s="64">
        <f>BU72-BV72</f>
        <v>1351.6799999999998</v>
      </c>
    </row>
    <row r="73" spans="1:75" x14ac:dyDescent="0.15">
      <c r="A73" s="29" t="s">
        <v>556</v>
      </c>
      <c r="B73" s="29">
        <v>174</v>
      </c>
      <c r="C73" s="29" t="s">
        <v>331</v>
      </c>
      <c r="D73" s="29" t="s">
        <v>331</v>
      </c>
      <c r="E73" s="29" t="str">
        <f>VLOOKUP(D73,Harvest_2017_Formulae!$C$2:$D$968,2,FALSE)</f>
        <v>DURU</v>
      </c>
      <c r="F73" s="29" t="s">
        <v>645</v>
      </c>
      <c r="G73" s="61" t="s">
        <v>548</v>
      </c>
      <c r="H73" s="29" t="s">
        <v>568</v>
      </c>
      <c r="I73" s="29" t="s">
        <v>546</v>
      </c>
      <c r="J73" s="29" t="s">
        <v>546</v>
      </c>
      <c r="K73" s="29" t="s">
        <v>548</v>
      </c>
      <c r="L73" s="29" t="s">
        <v>2221</v>
      </c>
      <c r="M73" s="29" t="s">
        <v>546</v>
      </c>
      <c r="N73" s="29" t="s">
        <v>546</v>
      </c>
      <c r="O73" s="29" t="s">
        <v>547</v>
      </c>
      <c r="P73" s="29">
        <v>0.25</v>
      </c>
      <c r="Q73" s="29">
        <v>2</v>
      </c>
      <c r="S73" s="29" t="s">
        <v>548</v>
      </c>
      <c r="T73" s="29">
        <v>2.25</v>
      </c>
      <c r="U73" s="29">
        <v>17</v>
      </c>
      <c r="V73" s="29" t="s">
        <v>551</v>
      </c>
      <c r="W73" s="30">
        <v>1.8133333333333335</v>
      </c>
      <c r="Y73" s="29">
        <v>999</v>
      </c>
      <c r="Z73" s="29" t="s">
        <v>551</v>
      </c>
      <c r="AA73" s="62"/>
      <c r="AB73" s="29">
        <v>2.25</v>
      </c>
      <c r="AC73" s="29">
        <v>4</v>
      </c>
      <c r="AD73" s="29" t="s">
        <v>551</v>
      </c>
      <c r="AE73" s="62">
        <v>0.42666666666666664</v>
      </c>
      <c r="AF73" s="29" t="s">
        <v>548</v>
      </c>
      <c r="AG73" s="29" t="s">
        <v>548</v>
      </c>
      <c r="AH73" s="29" t="s">
        <v>548</v>
      </c>
      <c r="AI73" s="29" t="s">
        <v>548</v>
      </c>
      <c r="AJ73" s="29" t="s">
        <v>548</v>
      </c>
      <c r="AK73" s="29">
        <v>5</v>
      </c>
      <c r="AL73" s="29">
        <v>4</v>
      </c>
      <c r="AM73" s="29" t="s">
        <v>673</v>
      </c>
      <c r="AN73" s="29" t="s">
        <v>674</v>
      </c>
      <c r="AO73" s="29">
        <v>-4.3184409141540527</v>
      </c>
      <c r="AP73" s="29">
        <v>35.595367431640625</v>
      </c>
      <c r="AQ73" s="29">
        <v>1528.4000244140625</v>
      </c>
      <c r="AR73" s="29">
        <v>5</v>
      </c>
      <c r="AS73" s="29">
        <v>1706031849</v>
      </c>
      <c r="AT73" s="29" t="s">
        <v>675</v>
      </c>
      <c r="AU73" s="31">
        <v>42921.432743055557</v>
      </c>
      <c r="AV73" s="31">
        <v>42920.580439814818</v>
      </c>
      <c r="AW73" s="31">
        <v>42920.591828703706</v>
      </c>
      <c r="AX73" s="32">
        <v>42770</v>
      </c>
      <c r="AZ73" s="44">
        <v>5.7480888888888879</v>
      </c>
      <c r="BA73" s="44">
        <v>6.6156000000000006</v>
      </c>
      <c r="BB73" s="44">
        <v>3.7018222222222219</v>
      </c>
      <c r="BC73" s="44">
        <v>4.2647111111111116</v>
      </c>
      <c r="BD73" s="29" t="s">
        <v>2171</v>
      </c>
      <c r="BE73" s="29">
        <v>2.1943719387099998</v>
      </c>
      <c r="BF73" s="29" t="str">
        <f>IF(BE73&lt;0.5,"Depression",IF(BE73&lt;2,"Very gentle",IF(BE73&lt;5,"Gentle",IF(BE73&lt;9,"Moderate",IF(BE73&lt;15,"Strong",IF(BE73&lt;30,"Steep",IF(BE73&lt;1,"Very steep")))))))</f>
        <v>Gentle</v>
      </c>
      <c r="BG73" s="29" t="s">
        <v>2172</v>
      </c>
      <c r="BH73" s="29">
        <v>-0.54384291171999999</v>
      </c>
      <c r="BI73" s="43">
        <v>10.636289596599999</v>
      </c>
      <c r="BJ73" s="43">
        <f>VLOOKUP(D73,[1]SoilData!$G$15:$K$237,5,FALSE)</f>
        <v>1.8910316778667779</v>
      </c>
      <c r="BK73" s="43"/>
      <c r="BL73" s="43">
        <f>VLOOKUP(D73,[1]SoilData!$G$15:$M$238,7,FALSE)</f>
        <v>0.622</v>
      </c>
      <c r="BM73" s="43"/>
      <c r="BN73" s="60"/>
      <c r="BO73" s="44">
        <f>AVERAGE(BB73:BC73)</f>
        <v>3.9832666666666667</v>
      </c>
      <c r="BP73" s="44">
        <f>AVERAGE(AZ73:BA73)</f>
        <v>6.1818444444444438</v>
      </c>
      <c r="BQ73" s="43">
        <f>BP73-BO73</f>
        <v>2.1985777777777771</v>
      </c>
      <c r="BR73" s="64">
        <f>IF(W73&gt;0.000001,W73*352,0)</f>
        <v>638.29333333333341</v>
      </c>
      <c r="BS73" s="64">
        <f>IF(AE73&gt;0.0001,AE73*682,0)</f>
        <v>290.98666666666662</v>
      </c>
      <c r="BT73" s="64">
        <f>AA73*795</f>
        <v>0</v>
      </c>
      <c r="BU73" s="64">
        <f>BR73+BS73+BT73</f>
        <v>929.28</v>
      </c>
      <c r="BV73" s="64">
        <f>IF(G73="YES",3.5*18.2,0)</f>
        <v>63.699999999999996</v>
      </c>
      <c r="BW73" s="64">
        <f>BU73-BV73</f>
        <v>865.57999999999993</v>
      </c>
    </row>
    <row r="74" spans="1:75" s="34" customFormat="1" x14ac:dyDescent="0.15">
      <c r="A74" s="29" t="s">
        <v>644</v>
      </c>
      <c r="B74" s="29">
        <v>164</v>
      </c>
      <c r="C74" s="29" t="s">
        <v>326</v>
      </c>
      <c r="D74" s="29" t="s">
        <v>326</v>
      </c>
      <c r="E74" s="29" t="str">
        <f>VLOOKUP(D74,Harvest_2017_Formulae!$C$2:$D$968,2,FALSE)</f>
        <v>DURU</v>
      </c>
      <c r="F74" s="29" t="s">
        <v>645</v>
      </c>
      <c r="G74" s="61" t="s">
        <v>548</v>
      </c>
      <c r="H74" s="29" t="s">
        <v>568</v>
      </c>
      <c r="I74" s="29" t="s">
        <v>548</v>
      </c>
      <c r="J74" s="29" t="s">
        <v>546</v>
      </c>
      <c r="K74" s="29" t="s">
        <v>548</v>
      </c>
      <c r="L74" s="29" t="s">
        <v>2219</v>
      </c>
      <c r="M74" s="29" t="s">
        <v>546</v>
      </c>
      <c r="N74" s="29" t="s">
        <v>546</v>
      </c>
      <c r="O74" s="29" t="s">
        <v>547</v>
      </c>
      <c r="P74" s="29">
        <v>0.25</v>
      </c>
      <c r="Q74" s="29">
        <v>0.25</v>
      </c>
      <c r="R74" s="29"/>
      <c r="S74" s="29" t="s">
        <v>548</v>
      </c>
      <c r="T74" s="29">
        <v>0.5</v>
      </c>
      <c r="U74" s="29">
        <v>1</v>
      </c>
      <c r="V74" s="29" t="s">
        <v>551</v>
      </c>
      <c r="W74" s="30">
        <v>0.48</v>
      </c>
      <c r="X74" s="29"/>
      <c r="Y74" s="29">
        <v>999</v>
      </c>
      <c r="Z74" s="29" t="s">
        <v>551</v>
      </c>
      <c r="AA74" s="62"/>
      <c r="AB74" s="29">
        <v>0.25</v>
      </c>
      <c r="AC74" s="29">
        <v>0</v>
      </c>
      <c r="AD74" s="29" t="s">
        <v>551</v>
      </c>
      <c r="AE74" s="62">
        <v>0</v>
      </c>
      <c r="AF74" s="29" t="s">
        <v>548</v>
      </c>
      <c r="AG74" s="29" t="s">
        <v>546</v>
      </c>
      <c r="AH74" s="29" t="s">
        <v>546</v>
      </c>
      <c r="AI74" s="29" t="s">
        <v>546</v>
      </c>
      <c r="AJ74" s="29" t="s">
        <v>546</v>
      </c>
      <c r="AK74" s="29">
        <v>1</v>
      </c>
      <c r="AL74" s="29">
        <v>2</v>
      </c>
      <c r="AM74" s="29" t="s">
        <v>646</v>
      </c>
      <c r="AN74" s="29" t="s">
        <v>647</v>
      </c>
      <c r="AO74" s="29">
        <v>-4.3194785118103027</v>
      </c>
      <c r="AP74" s="29">
        <v>35.6044921875</v>
      </c>
      <c r="AQ74" s="29">
        <v>1588.4000244140625</v>
      </c>
      <c r="AR74" s="29">
        <v>5</v>
      </c>
      <c r="AS74" s="29">
        <v>1706031849</v>
      </c>
      <c r="AT74" s="29" t="s">
        <v>648</v>
      </c>
      <c r="AU74" s="31">
        <v>42921.432546296295</v>
      </c>
      <c r="AV74" s="31">
        <v>42919.514537037037</v>
      </c>
      <c r="AW74" s="31">
        <v>42919.533020833333</v>
      </c>
      <c r="AX74" s="32">
        <v>42764</v>
      </c>
      <c r="AY74" s="29"/>
      <c r="AZ74" s="44">
        <v>5.2553019824804066</v>
      </c>
      <c r="BA74" s="44">
        <v>6.8591516828031365</v>
      </c>
      <c r="BB74" s="44">
        <v>3.4929691101890277</v>
      </c>
      <c r="BC74" s="44">
        <v>2.3709082526509917</v>
      </c>
      <c r="BD74" s="29" t="s">
        <v>2174</v>
      </c>
      <c r="BE74" s="29">
        <v>12.976887702899999</v>
      </c>
      <c r="BF74" s="29" t="str">
        <f>IF(BE74&lt;0.5,"Depression",IF(BE74&lt;2,"Very gentle",IF(BE74&lt;5,"Gentle",IF(BE74&lt;9,"Moderate",IF(BE74&lt;15,"Strong",IF(BE74&lt;30,"Steep",IF(BE74&lt;1,"Very steep")))))))</f>
        <v>Strong</v>
      </c>
      <c r="BG74" s="29" t="s">
        <v>2178</v>
      </c>
      <c r="BH74" s="29">
        <v>-0.27191722393000001</v>
      </c>
      <c r="BI74" s="43">
        <v>7.2643718719499999</v>
      </c>
      <c r="BJ74" s="43">
        <f>VLOOKUP(D74,[1]SoilData!$G$15:$K$237,5,FALSE)</f>
        <v>413.14252088335769</v>
      </c>
      <c r="BK74" s="43"/>
      <c r="BL74" s="43">
        <f>VLOOKUP(D74,[1]SoilData!$G$15:$M$238,7,FALSE)</f>
        <v>1.516</v>
      </c>
      <c r="BM74" s="43"/>
      <c r="BN74" s="60"/>
      <c r="BO74" s="44">
        <f>AVERAGE(BB74:BC74)</f>
        <v>2.9319386814200099</v>
      </c>
      <c r="BP74" s="44">
        <f>AVERAGE(AZ74:BA74)</f>
        <v>6.0572268326417715</v>
      </c>
      <c r="BQ74" s="43">
        <f>BP74-BO74</f>
        <v>3.1252881512217616</v>
      </c>
      <c r="BR74" s="64">
        <f>IF(W74&gt;0.000001,W74*352,0)</f>
        <v>168.95999999999998</v>
      </c>
      <c r="BS74" s="64">
        <f>IF(AE74&gt;0.0001,AE74*682,0)</f>
        <v>0</v>
      </c>
      <c r="BT74" s="64">
        <f>AA74*795</f>
        <v>0</v>
      </c>
      <c r="BU74" s="64">
        <f>BR74+BS74+BT74</f>
        <v>168.95999999999998</v>
      </c>
      <c r="BV74" s="64">
        <f>IF(G74="YES",3.5*18.2,0)</f>
        <v>63.699999999999996</v>
      </c>
      <c r="BW74" s="64">
        <f>BU74-BV74</f>
        <v>105.25999999999999</v>
      </c>
    </row>
    <row r="75" spans="1:75" s="34" customFormat="1" x14ac:dyDescent="0.15">
      <c r="A75" s="29" t="s">
        <v>556</v>
      </c>
      <c r="B75" s="29">
        <v>165</v>
      </c>
      <c r="C75" s="29" t="s">
        <v>328</v>
      </c>
      <c r="D75" s="29" t="s">
        <v>328</v>
      </c>
      <c r="E75" s="29" t="str">
        <f>VLOOKUP(D75,Harvest_2017_Formulae!$C$2:$D$968,2,FALSE)</f>
        <v>DURU</v>
      </c>
      <c r="F75" s="29" t="s">
        <v>645</v>
      </c>
      <c r="G75" s="61" t="s">
        <v>548</v>
      </c>
      <c r="H75" s="29" t="s">
        <v>568</v>
      </c>
      <c r="I75" s="29" t="s">
        <v>546</v>
      </c>
      <c r="J75" s="29" t="s">
        <v>546</v>
      </c>
      <c r="K75" s="29" t="s">
        <v>548</v>
      </c>
      <c r="L75" s="29" t="s">
        <v>2220</v>
      </c>
      <c r="M75" s="29" t="s">
        <v>546</v>
      </c>
      <c r="N75" s="29" t="s">
        <v>546</v>
      </c>
      <c r="O75" s="29" t="s">
        <v>547</v>
      </c>
      <c r="P75" s="29">
        <v>0.25</v>
      </c>
      <c r="Q75" s="29"/>
      <c r="R75" s="29"/>
      <c r="S75" s="29" t="s">
        <v>548</v>
      </c>
      <c r="T75" s="29">
        <v>0.25</v>
      </c>
      <c r="U75" s="29">
        <v>4.5</v>
      </c>
      <c r="V75" s="29" t="s">
        <v>551</v>
      </c>
      <c r="W75" s="30">
        <v>4.32</v>
      </c>
      <c r="X75" s="29"/>
      <c r="Y75" s="29">
        <v>999</v>
      </c>
      <c r="Z75" s="29" t="s">
        <v>551</v>
      </c>
      <c r="AA75" s="62"/>
      <c r="AB75" s="29">
        <v>0.25</v>
      </c>
      <c r="AC75" s="29">
        <v>1.5</v>
      </c>
      <c r="AD75" s="29" t="s">
        <v>551</v>
      </c>
      <c r="AE75" s="62">
        <v>1.44</v>
      </c>
      <c r="AF75" s="29" t="s">
        <v>548</v>
      </c>
      <c r="AG75" s="29" t="s">
        <v>546</v>
      </c>
      <c r="AH75" s="29" t="s">
        <v>546</v>
      </c>
      <c r="AI75" s="29" t="s">
        <v>546</v>
      </c>
      <c r="AJ75" s="29" t="s">
        <v>546</v>
      </c>
      <c r="AK75" s="29">
        <v>1</v>
      </c>
      <c r="AL75" s="29">
        <v>2</v>
      </c>
      <c r="AM75" s="29" t="s">
        <v>664</v>
      </c>
      <c r="AN75" s="29" t="s">
        <v>665</v>
      </c>
      <c r="AO75" s="29">
        <v>-4.3192477226257324</v>
      </c>
      <c r="AP75" s="29">
        <v>35.6043701171875</v>
      </c>
      <c r="AQ75" s="29">
        <v>1589.9000244140625</v>
      </c>
      <c r="AR75" s="29">
        <v>5</v>
      </c>
      <c r="AS75" s="29">
        <v>1706031849</v>
      </c>
      <c r="AT75" s="29" t="s">
        <v>666</v>
      </c>
      <c r="AU75" s="31">
        <v>42921.432569444441</v>
      </c>
      <c r="AV75" s="31">
        <v>42919.533634259264</v>
      </c>
      <c r="AW75" s="31">
        <v>42919.540590277778</v>
      </c>
      <c r="AX75" s="32">
        <v>42763</v>
      </c>
      <c r="AY75" s="29"/>
      <c r="AZ75" s="44">
        <v>3.6759259259259265</v>
      </c>
      <c r="BA75" s="44">
        <v>2.8567195767195774</v>
      </c>
      <c r="BB75" s="44">
        <v>3.2243121693121695</v>
      </c>
      <c r="BC75" s="44">
        <v>3.187552910052911</v>
      </c>
      <c r="BD75" s="29" t="s">
        <v>2175</v>
      </c>
      <c r="BE75" s="29">
        <v>12.7252845764</v>
      </c>
      <c r="BF75" s="29" t="str">
        <f>IF(BE75&lt;0.5,"Depression",IF(BE75&lt;2,"Very gentle",IF(BE75&lt;5,"Gentle",IF(BE75&lt;9,"Moderate",IF(BE75&lt;15,"Strong",IF(BE75&lt;30,"Steep",IF(BE75&lt;1,"Very steep")))))))</f>
        <v>Strong</v>
      </c>
      <c r="BG75" s="29" t="s">
        <v>2176</v>
      </c>
      <c r="BH75" s="29">
        <v>-1.35961997509</v>
      </c>
      <c r="BI75" s="43">
        <v>7.5343203544600001</v>
      </c>
      <c r="BJ75" s="43">
        <f>VLOOKUP(D75,[1]SoilData!$G$15:$K$237,5,FALSE)</f>
        <v>252.91336196692504</v>
      </c>
      <c r="BK75" s="43">
        <f>VLOOKUP(D75,[1]SoilData!$G$245:$K$451,5,FALSE)</f>
        <v>569.19178869762266</v>
      </c>
      <c r="BL75" s="43">
        <f>VLOOKUP(D75,[1]SoilData!$G$15:$M$238,7,FALSE)</f>
        <v>0.82199999999999995</v>
      </c>
      <c r="BM75" s="43">
        <f>VLOOKUP(D75,[1]SoilData!$G$245:$M$454,7,FALSE)</f>
        <v>1.7809999999999999</v>
      </c>
      <c r="BN75" s="60">
        <f>BL75-BM75</f>
        <v>-0.95899999999999996</v>
      </c>
      <c r="BO75" s="44">
        <f>AVERAGE(BB75:BC75)</f>
        <v>3.2059325396825402</v>
      </c>
      <c r="BP75" s="44">
        <f>AVERAGE(AZ75:BA75)</f>
        <v>3.2663227513227522</v>
      </c>
      <c r="BQ75" s="43">
        <f>BP75-BO75</f>
        <v>6.0390211640211966E-2</v>
      </c>
      <c r="BR75" s="64">
        <f>IF(W75&gt;0.000001,W75*352,0)</f>
        <v>1520.64</v>
      </c>
      <c r="BS75" s="64">
        <f>IF(AE75&gt;0.0001,AE75*682,0)</f>
        <v>982.07999999999993</v>
      </c>
      <c r="BT75" s="64">
        <f>AA75*795</f>
        <v>0</v>
      </c>
      <c r="BU75" s="64">
        <f>BR75+BS75+BT75</f>
        <v>2502.7200000000003</v>
      </c>
      <c r="BV75" s="64">
        <f>IF(G75="YES",3.5*18.2,0)</f>
        <v>63.699999999999996</v>
      </c>
      <c r="BW75" s="64">
        <f>BU75-BV75</f>
        <v>2439.0200000000004</v>
      </c>
    </row>
    <row r="76" spans="1:75" x14ac:dyDescent="0.15">
      <c r="A76" s="29" t="s">
        <v>556</v>
      </c>
      <c r="B76" s="29">
        <v>4</v>
      </c>
      <c r="C76" s="29" t="s">
        <v>426</v>
      </c>
      <c r="D76" s="29" t="s">
        <v>547</v>
      </c>
      <c r="E76" s="29" t="e">
        <f>VLOOKUP(D76,Harvest_2017_Formulae!$C$2:$D$968,2,FALSE)</f>
        <v>#N/A</v>
      </c>
      <c r="F76" s="29" t="s">
        <v>777</v>
      </c>
      <c r="G76" s="61" t="s">
        <v>548</v>
      </c>
      <c r="H76" s="29" t="s">
        <v>568</v>
      </c>
      <c r="I76" s="29" t="s">
        <v>548</v>
      </c>
      <c r="J76" s="29" t="s">
        <v>546</v>
      </c>
      <c r="K76" s="29" t="s">
        <v>548</v>
      </c>
      <c r="L76" s="29" t="s">
        <v>2221</v>
      </c>
      <c r="M76" s="29" t="s">
        <v>548</v>
      </c>
      <c r="N76" s="29" t="s">
        <v>548</v>
      </c>
      <c r="O76" s="29" t="s">
        <v>550</v>
      </c>
      <c r="P76" s="29">
        <v>0.25</v>
      </c>
      <c r="R76" s="29">
        <v>0.75</v>
      </c>
      <c r="S76" s="29" t="s">
        <v>548</v>
      </c>
      <c r="T76" s="29">
        <v>1</v>
      </c>
      <c r="U76" s="29">
        <v>15</v>
      </c>
      <c r="V76" s="29" t="s">
        <v>551</v>
      </c>
      <c r="W76" s="30">
        <v>3.5999999999999996</v>
      </c>
      <c r="Y76" s="29">
        <v>999</v>
      </c>
      <c r="Z76" s="29" t="s">
        <v>551</v>
      </c>
      <c r="AA76" s="62"/>
      <c r="AB76" s="29">
        <v>1</v>
      </c>
      <c r="AC76" s="29">
        <v>5</v>
      </c>
      <c r="AD76" s="29" t="s">
        <v>551</v>
      </c>
      <c r="AE76" s="62">
        <v>1.2</v>
      </c>
      <c r="AF76" s="29" t="s">
        <v>546</v>
      </c>
      <c r="AG76" s="29" t="s">
        <v>548</v>
      </c>
      <c r="AH76" s="29" t="s">
        <v>546</v>
      </c>
      <c r="AI76" s="29" t="s">
        <v>546</v>
      </c>
      <c r="AJ76" s="29" t="s">
        <v>546</v>
      </c>
      <c r="AK76" s="29">
        <v>1</v>
      </c>
      <c r="AL76" s="29">
        <v>3</v>
      </c>
      <c r="AM76" s="29" t="s">
        <v>1422</v>
      </c>
      <c r="AN76" s="29" t="s">
        <v>1423</v>
      </c>
      <c r="AO76" s="29">
        <v>-4.3023514747619629</v>
      </c>
      <c r="AP76" s="29">
        <v>35.852252960205078</v>
      </c>
      <c r="AQ76" s="29">
        <v>1259.4000244140625</v>
      </c>
      <c r="AR76" s="29">
        <v>5</v>
      </c>
      <c r="AS76" s="29">
        <v>1705231439</v>
      </c>
      <c r="AT76" s="29" t="s">
        <v>1424</v>
      </c>
      <c r="AU76" s="31">
        <v>42893.595219907409</v>
      </c>
      <c r="AV76" s="31">
        <v>42892.482222222221</v>
      </c>
      <c r="AW76" s="31">
        <v>42892.516087962962</v>
      </c>
      <c r="AX76" s="32">
        <v>42774</v>
      </c>
      <c r="BD76" s="29" t="s">
        <v>2171</v>
      </c>
      <c r="BE76" s="29">
        <v>0.55693554878200002</v>
      </c>
      <c r="BF76" s="29" t="str">
        <f>IF(BE76&lt;0.5,"Depression",IF(BE76&lt;2,"Very gentle",IF(BE76&lt;5,"Gentle",IF(BE76&lt;9,"Moderate",IF(BE76&lt;15,"Strong",IF(BE76&lt;30,"Steep",IF(BE76&lt;1,"Very steep")))))))</f>
        <v>Very gentle</v>
      </c>
      <c r="BG76" s="29" t="s">
        <v>2177</v>
      </c>
      <c r="BH76" s="29">
        <v>0.815785527229</v>
      </c>
      <c r="BI76" s="43">
        <v>8.9477910995500007</v>
      </c>
      <c r="BJ76" s="43"/>
      <c r="BK76" s="43"/>
      <c r="BL76" s="43"/>
      <c r="BM76" s="43"/>
      <c r="BN76" s="60"/>
      <c r="BO76" s="43"/>
      <c r="BP76" s="43"/>
      <c r="BQ76" s="43"/>
      <c r="BR76" s="64">
        <f>IF(W76&gt;0.000001,W76*352,0)</f>
        <v>1267.1999999999998</v>
      </c>
      <c r="BS76" s="64">
        <f>IF(AE76&gt;0.0001,AE76*682,0)</f>
        <v>818.4</v>
      </c>
      <c r="BT76" s="64">
        <f>AA76*795</f>
        <v>0</v>
      </c>
      <c r="BU76" s="64">
        <f>BR76+BS76+BT76</f>
        <v>2085.6</v>
      </c>
      <c r="BV76" s="64">
        <f>IF(G76="YES",3.5*18.2,0)</f>
        <v>63.699999999999996</v>
      </c>
      <c r="BW76" s="64">
        <f>BU76-BV76</f>
        <v>2021.8999999999999</v>
      </c>
    </row>
    <row r="77" spans="1:75" x14ac:dyDescent="0.15">
      <c r="A77" s="29" t="s">
        <v>556</v>
      </c>
      <c r="B77" s="29">
        <v>205</v>
      </c>
      <c r="C77" s="29" t="s">
        <v>285</v>
      </c>
      <c r="D77" s="29" t="s">
        <v>285</v>
      </c>
      <c r="E77" s="29" t="str">
        <f>VLOOKUP(D77,Harvest_2017_Formulae!$C$2:$D$968,2,FALSE)</f>
        <v>TSAMASI</v>
      </c>
      <c r="F77" s="29" t="s">
        <v>1014</v>
      </c>
      <c r="G77" s="61" t="s">
        <v>546</v>
      </c>
      <c r="H77" s="29" t="s">
        <v>547</v>
      </c>
      <c r="I77" s="29" t="s">
        <v>546</v>
      </c>
      <c r="J77" s="29" t="s">
        <v>546</v>
      </c>
      <c r="K77" s="29" t="s">
        <v>548</v>
      </c>
      <c r="L77" s="29" t="s">
        <v>2221</v>
      </c>
      <c r="M77" s="29" t="s">
        <v>546</v>
      </c>
      <c r="N77" s="29" t="s">
        <v>548</v>
      </c>
      <c r="O77" s="29" t="s">
        <v>550</v>
      </c>
      <c r="P77" s="29">
        <v>0.25</v>
      </c>
      <c r="Q77" s="29">
        <v>0.75</v>
      </c>
      <c r="S77" s="29" t="s">
        <v>546</v>
      </c>
      <c r="T77" s="29">
        <v>1</v>
      </c>
      <c r="U77" s="29">
        <v>4</v>
      </c>
      <c r="V77" s="29" t="s">
        <v>552</v>
      </c>
      <c r="W77" s="30">
        <v>0.16031999999999999</v>
      </c>
      <c r="Y77" s="29">
        <v>999</v>
      </c>
      <c r="Z77" s="29" t="s">
        <v>552</v>
      </c>
      <c r="AA77" s="62"/>
      <c r="AB77" s="29">
        <v>1</v>
      </c>
      <c r="AC77" s="29">
        <v>1</v>
      </c>
      <c r="AD77" s="29" t="s">
        <v>551</v>
      </c>
      <c r="AE77" s="62">
        <v>0.24</v>
      </c>
      <c r="AF77" s="29" t="s">
        <v>546</v>
      </c>
      <c r="AG77" s="29" t="s">
        <v>546</v>
      </c>
      <c r="AH77" s="29" t="s">
        <v>546</v>
      </c>
      <c r="AI77" s="29" t="s">
        <v>546</v>
      </c>
      <c r="AJ77" s="29" t="s">
        <v>546</v>
      </c>
      <c r="AK77" s="29">
        <v>0</v>
      </c>
      <c r="AL77" s="29">
        <v>2</v>
      </c>
      <c r="AM77" s="29" t="s">
        <v>1344</v>
      </c>
      <c r="AN77" s="29" t="s">
        <v>1345</v>
      </c>
      <c r="AO77" s="29">
        <v>-4.294527530670166</v>
      </c>
      <c r="AP77" s="29">
        <v>35.81781005859375</v>
      </c>
      <c r="AQ77" s="29">
        <v>1336.5999755859375</v>
      </c>
      <c r="AR77" s="29">
        <v>5</v>
      </c>
      <c r="AS77" s="29">
        <v>1706031849</v>
      </c>
      <c r="AT77" s="29" t="s">
        <v>1346</v>
      </c>
      <c r="AU77" s="31">
        <v>42948.908564814818</v>
      </c>
      <c r="AV77" s="31">
        <v>42938.600416666668</v>
      </c>
      <c r="AW77" s="31">
        <v>42938.618668981479</v>
      </c>
      <c r="AX77" s="32">
        <v>42793</v>
      </c>
      <c r="AZ77" s="44">
        <v>2.1895026455026456</v>
      </c>
      <c r="BA77" s="44">
        <v>1.6842328042328039</v>
      </c>
      <c r="BB77" s="44">
        <v>1.2888383838383837</v>
      </c>
      <c r="BC77" s="44">
        <v>2.7530808080808078</v>
      </c>
      <c r="BD77" s="29" t="s">
        <v>2179</v>
      </c>
      <c r="BE77" s="29">
        <v>4.0362029075599999</v>
      </c>
      <c r="BF77" s="29" t="str">
        <f>IF(BE77&lt;0.5,"Depression",IF(BE77&lt;2,"Very gentle",IF(BE77&lt;5,"Gentle",IF(BE77&lt;9,"Moderate",IF(BE77&lt;15,"Strong",IF(BE77&lt;30,"Steep",IF(BE77&lt;1,"Very steep")))))))</f>
        <v>Gentle</v>
      </c>
      <c r="BG77" s="29" t="s">
        <v>2173</v>
      </c>
      <c r="BH77" s="29">
        <v>-0.18127532303300001</v>
      </c>
      <c r="BI77" s="43">
        <v>10.2631206512</v>
      </c>
      <c r="BJ77" s="43">
        <f>VLOOKUP(D77,[1]SoilData!$G$15:$K$237,5,FALSE)</f>
        <v>425.82156364242962</v>
      </c>
      <c r="BK77" s="43">
        <f>VLOOKUP(D77,[1]SoilData!$G$245:$K$451,5,FALSE)</f>
        <v>392.50495444426986</v>
      </c>
      <c r="BL77" s="43">
        <f>VLOOKUP(D77,[1]SoilData!$G$15:$M$238,7,FALSE)</f>
        <v>1.2529999999999999</v>
      </c>
      <c r="BM77" s="43">
        <f>VLOOKUP(D77,[1]SoilData!$G$245:$M$454,7,FALSE)</f>
        <v>1.7470000000000001</v>
      </c>
      <c r="BN77" s="60">
        <f>BL77-BM77</f>
        <v>-0.49400000000000022</v>
      </c>
      <c r="BO77" s="44">
        <f>AVERAGE(BB77:BC77)</f>
        <v>2.0209595959595958</v>
      </c>
      <c r="BP77" s="44">
        <f>AVERAGE(AZ77:BA77)</f>
        <v>1.9368677248677248</v>
      </c>
      <c r="BQ77" s="43">
        <f>BP77-BO77</f>
        <v>-8.4091871091870996E-2</v>
      </c>
      <c r="BR77" s="64">
        <f>IF(W77&gt;0.000001,W77*352,0)</f>
        <v>56.432639999999999</v>
      </c>
      <c r="BS77" s="64">
        <f>IF(AE77&gt;0.0001,AE77*682,0)</f>
        <v>163.68</v>
      </c>
      <c r="BT77" s="64">
        <f>AA77*795</f>
        <v>0</v>
      </c>
      <c r="BU77" s="64">
        <f>BR77+BS77+BT77</f>
        <v>220.11264</v>
      </c>
      <c r="BV77" s="64">
        <f>IF(G77="YES",3.5*18.2,0)</f>
        <v>0</v>
      </c>
      <c r="BW77" s="64">
        <f>BU77-BV77</f>
        <v>220.11264</v>
      </c>
    </row>
    <row r="78" spans="1:75" x14ac:dyDescent="0.15">
      <c r="A78" s="29" t="s">
        <v>841</v>
      </c>
      <c r="B78" s="29">
        <v>242</v>
      </c>
      <c r="C78" s="29" t="s">
        <v>842</v>
      </c>
      <c r="D78" s="33" t="s">
        <v>145</v>
      </c>
      <c r="E78" s="29" t="str">
        <f>VLOOKUP(D78,Harvest_2017_Formulae!$C$2:$D$968,2,FALSE)</f>
        <v>ENDANOGA</v>
      </c>
      <c r="F78" s="29" t="s">
        <v>843</v>
      </c>
      <c r="G78" s="61" t="s">
        <v>548</v>
      </c>
      <c r="H78" s="29" t="s">
        <v>568</v>
      </c>
      <c r="I78" s="29" t="s">
        <v>548</v>
      </c>
      <c r="J78" s="29" t="s">
        <v>546</v>
      </c>
      <c r="K78" s="29" t="s">
        <v>548</v>
      </c>
      <c r="L78" s="29" t="s">
        <v>2220</v>
      </c>
      <c r="M78" s="29" t="s">
        <v>548</v>
      </c>
      <c r="N78" s="29" t="s">
        <v>548</v>
      </c>
      <c r="O78" s="29" t="s">
        <v>550</v>
      </c>
      <c r="P78" s="29">
        <v>0.25</v>
      </c>
      <c r="Q78" s="29">
        <v>0</v>
      </c>
      <c r="R78" s="29">
        <v>1</v>
      </c>
      <c r="S78" s="29" t="s">
        <v>548</v>
      </c>
      <c r="T78" s="29">
        <v>0.25</v>
      </c>
      <c r="U78" s="29">
        <v>2</v>
      </c>
      <c r="V78" s="29" t="s">
        <v>551</v>
      </c>
      <c r="W78" s="30">
        <v>1.92</v>
      </c>
      <c r="X78" s="29">
        <v>0.25</v>
      </c>
      <c r="Y78" s="29">
        <v>1</v>
      </c>
      <c r="Z78" s="29" t="s">
        <v>551</v>
      </c>
      <c r="AA78" s="62">
        <v>0.96</v>
      </c>
      <c r="AB78" s="29">
        <v>0</v>
      </c>
      <c r="AC78" s="29">
        <v>0</v>
      </c>
      <c r="AD78" s="29" t="s">
        <v>551</v>
      </c>
      <c r="AE78" s="62"/>
      <c r="AF78" s="29" t="s">
        <v>548</v>
      </c>
      <c r="AG78" s="29" t="s">
        <v>548</v>
      </c>
      <c r="AH78" s="29" t="s">
        <v>548</v>
      </c>
      <c r="AI78" s="29" t="s">
        <v>548</v>
      </c>
      <c r="AJ78" s="29" t="s">
        <v>548</v>
      </c>
      <c r="AK78" s="29">
        <v>5</v>
      </c>
      <c r="AL78" s="29">
        <v>2</v>
      </c>
      <c r="AM78" s="29" t="s">
        <v>844</v>
      </c>
      <c r="AN78" s="29" t="s">
        <v>845</v>
      </c>
      <c r="AO78" s="29">
        <v>-4.2665257453918457</v>
      </c>
      <c r="AP78" s="29">
        <v>35.845909118652344</v>
      </c>
      <c r="AQ78" s="29">
        <v>1390.699951171875</v>
      </c>
      <c r="AR78" s="29">
        <v>5</v>
      </c>
      <c r="AS78" s="29">
        <v>1706031849</v>
      </c>
      <c r="AT78" s="29" t="s">
        <v>846</v>
      </c>
      <c r="AU78" s="31">
        <v>42978.591249999998</v>
      </c>
      <c r="AV78" s="31">
        <v>42895.451805555553</v>
      </c>
      <c r="AW78" s="31">
        <v>42978.588078703702</v>
      </c>
      <c r="AX78" s="32">
        <v>42780</v>
      </c>
      <c r="AZ78" s="44">
        <v>6.9186936936936947</v>
      </c>
      <c r="BA78" s="44">
        <v>5.0152702702702703</v>
      </c>
      <c r="BB78" s="44">
        <v>4.3767041198501868</v>
      </c>
      <c r="BC78" s="44">
        <v>4.3828339575530588</v>
      </c>
      <c r="BD78" s="29" t="s">
        <v>2171</v>
      </c>
      <c r="BE78" s="29">
        <v>3.4926533699000002</v>
      </c>
      <c r="BF78" s="29" t="str">
        <f>IF(BE78&lt;0.5,"Depression",IF(BE78&lt;2,"Very gentle",IF(BE78&lt;5,"Gentle",IF(BE78&lt;9,"Moderate",IF(BE78&lt;15,"Strong",IF(BE78&lt;30,"Steep",IF(BE78&lt;1,"Very steep")))))))</f>
        <v>Gentle</v>
      </c>
      <c r="BG78" s="29" t="s">
        <v>2173</v>
      </c>
      <c r="BH78" s="29">
        <v>0.27193418145199999</v>
      </c>
      <c r="BI78" s="43">
        <v>11.186497688299999</v>
      </c>
      <c r="BJ78" s="43">
        <f>VLOOKUP(D78,[1]SoilData!$G$15:$K$237,5,FALSE)</f>
        <v>331.21282947155476</v>
      </c>
      <c r="BK78" s="43">
        <f>VLOOKUP(D78,[1]SoilData!$G$245:$K$451,5,FALSE)</f>
        <v>260.103609241181</v>
      </c>
      <c r="BL78" s="43">
        <f>VLOOKUP(D78,[1]SoilData!$G$15:$M$238,7,FALSE)</f>
        <v>1.452</v>
      </c>
      <c r="BM78" s="43">
        <f>VLOOKUP(D78,[1]SoilData!$G$245:$M$454,7,FALSE)</f>
        <v>1.5880000000000001</v>
      </c>
      <c r="BN78" s="60">
        <f>BL78-BM78</f>
        <v>-0.13600000000000012</v>
      </c>
      <c r="BO78" s="44">
        <f>AVERAGE(BB78:BC78)</f>
        <v>4.3797690387016228</v>
      </c>
      <c r="BP78" s="44">
        <f>AVERAGE(AZ78:BA78)</f>
        <v>5.9669819819819825</v>
      </c>
      <c r="BQ78" s="43">
        <f>BP78-BO78</f>
        <v>1.5872129432803597</v>
      </c>
      <c r="BR78" s="64">
        <f>IF(W78&gt;0.000001,W78*352,0)</f>
        <v>675.83999999999992</v>
      </c>
      <c r="BS78" s="64">
        <f>IF(AE78&gt;0.0001,AE78*682,0)</f>
        <v>0</v>
      </c>
      <c r="BT78" s="64">
        <f>AA78*795</f>
        <v>763.19999999999993</v>
      </c>
      <c r="BU78" s="64">
        <f>BR78+BS78+BT78</f>
        <v>1439.04</v>
      </c>
      <c r="BV78" s="64">
        <f>IF(G78="YES",3.5*18.2,0)</f>
        <v>63.699999999999996</v>
      </c>
      <c r="BW78" s="64">
        <f>BU78-BV78</f>
        <v>1375.34</v>
      </c>
    </row>
    <row r="79" spans="1:75" x14ac:dyDescent="0.15">
      <c r="A79" s="29" t="s">
        <v>814</v>
      </c>
      <c r="B79" s="29">
        <v>41</v>
      </c>
      <c r="C79" s="29" t="s">
        <v>389</v>
      </c>
      <c r="D79" s="29" t="s">
        <v>389</v>
      </c>
      <c r="E79" s="29" t="str">
        <f>VLOOKUP(D79,Harvest_2017_Formulae!$C$2:$D$968,2,FALSE)</f>
        <v>Sangara</v>
      </c>
      <c r="F79" s="29" t="s">
        <v>1014</v>
      </c>
      <c r="G79" s="61" t="s">
        <v>548</v>
      </c>
      <c r="H79" s="29" t="s">
        <v>568</v>
      </c>
      <c r="I79" s="29" t="s">
        <v>548</v>
      </c>
      <c r="J79" s="29" t="s">
        <v>546</v>
      </c>
      <c r="K79" s="29" t="s">
        <v>548</v>
      </c>
      <c r="L79" s="29" t="s">
        <v>2220</v>
      </c>
      <c r="M79" s="29" t="s">
        <v>548</v>
      </c>
      <c r="N79" s="29" t="s">
        <v>548</v>
      </c>
      <c r="O79" s="29" t="s">
        <v>1028</v>
      </c>
      <c r="P79" s="29">
        <v>0.25</v>
      </c>
      <c r="Q79" s="29">
        <v>0.75</v>
      </c>
      <c r="R79" s="29">
        <v>0</v>
      </c>
      <c r="S79" s="29" t="s">
        <v>548</v>
      </c>
      <c r="T79" s="29">
        <v>1</v>
      </c>
      <c r="U79" s="29">
        <v>4</v>
      </c>
      <c r="V79" s="29" t="s">
        <v>551</v>
      </c>
      <c r="W79" s="30">
        <v>0.96</v>
      </c>
      <c r="Y79" s="29">
        <v>999</v>
      </c>
      <c r="Z79" s="29" t="s">
        <v>551</v>
      </c>
      <c r="AA79" s="62"/>
      <c r="AB79" s="29">
        <v>1</v>
      </c>
      <c r="AC79" s="29">
        <v>1.3300000429153442</v>
      </c>
      <c r="AD79" s="29" t="s">
        <v>551</v>
      </c>
      <c r="AE79" s="62">
        <v>0.31920001029968259</v>
      </c>
      <c r="AF79" s="29" t="s">
        <v>548</v>
      </c>
      <c r="AG79" s="29" t="s">
        <v>548</v>
      </c>
      <c r="AH79" s="29" t="s">
        <v>548</v>
      </c>
      <c r="AI79" s="29" t="s">
        <v>548</v>
      </c>
      <c r="AJ79" s="29" t="s">
        <v>548</v>
      </c>
      <c r="AK79" s="29">
        <v>5</v>
      </c>
      <c r="AL79" s="29">
        <v>3</v>
      </c>
      <c r="AM79" s="29" t="s">
        <v>1295</v>
      </c>
      <c r="AN79" s="29" t="s">
        <v>1296</v>
      </c>
      <c r="AO79" s="29">
        <v>-4.2742643356323242</v>
      </c>
      <c r="AP79" s="29">
        <v>35.624156951904297</v>
      </c>
      <c r="AQ79" s="29">
        <v>1451.4000244140625</v>
      </c>
      <c r="AR79" s="29">
        <v>10</v>
      </c>
      <c r="AS79" s="29">
        <v>1705231439</v>
      </c>
      <c r="AT79" s="29" t="s">
        <v>1297</v>
      </c>
      <c r="AU79" s="31">
        <v>42908.292685185181</v>
      </c>
      <c r="AV79" s="31">
        <v>42899.71503472222</v>
      </c>
      <c r="AW79" s="31">
        <v>42908.289988425924</v>
      </c>
      <c r="AX79" s="32">
        <v>42738</v>
      </c>
      <c r="AZ79" s="44"/>
      <c r="BA79" s="44"/>
      <c r="BB79" s="44"/>
      <c r="BC79" s="44"/>
      <c r="BD79" s="29" t="s">
        <v>2181</v>
      </c>
      <c r="BE79" s="29">
        <v>17.2106723785</v>
      </c>
      <c r="BF79" s="29" t="str">
        <f>IF(BE79&lt;0.5,"Depression",IF(BE79&lt;2,"Very gentle",IF(BE79&lt;5,"Gentle",IF(BE79&lt;9,"Moderate",IF(BE79&lt;15,"Strong",IF(BE79&lt;30,"Steep",IF(BE79&lt;1,"Very steep")))))))</f>
        <v>Steep</v>
      </c>
      <c r="BG79" s="29" t="s">
        <v>2182</v>
      </c>
      <c r="BH79" s="29">
        <v>1.1783530712100001</v>
      </c>
      <c r="BI79" s="43">
        <v>6.3579244613599997</v>
      </c>
      <c r="BJ79" s="43"/>
      <c r="BK79" s="43"/>
      <c r="BL79" s="43"/>
      <c r="BM79" s="43"/>
      <c r="BN79" s="60"/>
      <c r="BO79" s="44"/>
      <c r="BP79" s="44"/>
      <c r="BQ79" s="43"/>
      <c r="BR79" s="64">
        <f>IF(W79&gt;0.000001,W79*352,0)</f>
        <v>337.91999999999996</v>
      </c>
      <c r="BS79" s="64">
        <f>IF(AE79&gt;0.0001,AE79*682,0)</f>
        <v>217.69440702438354</v>
      </c>
      <c r="BT79" s="64">
        <f>AA79*795</f>
        <v>0</v>
      </c>
      <c r="BU79" s="64">
        <f>BR79+BS79+BT79</f>
        <v>555.61440702438347</v>
      </c>
      <c r="BV79" s="64">
        <f>IF(G79="YES",3.5*18.2,0)</f>
        <v>63.699999999999996</v>
      </c>
      <c r="BW79" s="64">
        <f>BU79-BV79</f>
        <v>491.91440702438348</v>
      </c>
    </row>
    <row r="80" spans="1:75" x14ac:dyDescent="0.15">
      <c r="A80" s="29" t="s">
        <v>556</v>
      </c>
      <c r="B80" s="29">
        <v>236</v>
      </c>
      <c r="C80" s="29" t="s">
        <v>785</v>
      </c>
      <c r="D80" s="29" t="s">
        <v>133</v>
      </c>
      <c r="E80" s="29" t="str">
        <f>VLOOKUP(D80,Harvest_2017_Formulae!$C$2:$D$968,2,FALSE)</f>
        <v>ENDAGWE</v>
      </c>
      <c r="F80" s="29" t="s">
        <v>732</v>
      </c>
      <c r="G80" s="61" t="s">
        <v>546</v>
      </c>
      <c r="H80" s="29" t="s">
        <v>547</v>
      </c>
      <c r="I80" s="29" t="s">
        <v>546</v>
      </c>
      <c r="J80" s="29" t="s">
        <v>546</v>
      </c>
      <c r="K80" s="29" t="s">
        <v>548</v>
      </c>
      <c r="L80" s="29" t="s">
        <v>2220</v>
      </c>
      <c r="M80" s="29" t="s">
        <v>546</v>
      </c>
      <c r="N80" s="29" t="s">
        <v>546</v>
      </c>
      <c r="O80" s="29" t="s">
        <v>547</v>
      </c>
      <c r="P80" s="29">
        <v>0.25</v>
      </c>
      <c r="S80" s="29" t="s">
        <v>548</v>
      </c>
      <c r="T80" s="29">
        <v>0.25</v>
      </c>
      <c r="U80" s="29">
        <v>2</v>
      </c>
      <c r="V80" s="29" t="s">
        <v>551</v>
      </c>
      <c r="W80" s="30">
        <v>1.92</v>
      </c>
      <c r="Y80" s="29">
        <v>999</v>
      </c>
      <c r="Z80" s="29" t="s">
        <v>551</v>
      </c>
      <c r="AA80" s="62"/>
      <c r="AB80" s="29">
        <v>0.25</v>
      </c>
      <c r="AC80" s="29">
        <v>2</v>
      </c>
      <c r="AD80" s="29" t="s">
        <v>552</v>
      </c>
      <c r="AE80" s="62">
        <v>0.32063999999999998</v>
      </c>
      <c r="AF80" s="29" t="s">
        <v>546</v>
      </c>
      <c r="AG80" s="29" t="s">
        <v>546</v>
      </c>
      <c r="AH80" s="29" t="s">
        <v>546</v>
      </c>
      <c r="AI80" s="29" t="s">
        <v>546</v>
      </c>
      <c r="AJ80" s="29" t="s">
        <v>546</v>
      </c>
      <c r="AK80" s="29">
        <v>0</v>
      </c>
      <c r="AL80" s="29">
        <v>2</v>
      </c>
      <c r="AM80" s="29" t="s">
        <v>786</v>
      </c>
      <c r="AN80" s="29" t="s">
        <v>787</v>
      </c>
      <c r="AO80" s="29">
        <v>-4.37982177734375</v>
      </c>
      <c r="AP80" s="29">
        <v>35.647148132324219</v>
      </c>
      <c r="AQ80" s="29">
        <v>1693.699951171875</v>
      </c>
      <c r="AR80" s="29">
        <v>5</v>
      </c>
      <c r="AS80" s="29">
        <v>1706031849</v>
      </c>
      <c r="AT80" s="29" t="s">
        <v>788</v>
      </c>
      <c r="AU80" s="31">
        <v>42951.125925925924</v>
      </c>
      <c r="AV80" s="31">
        <v>42935.477210648147</v>
      </c>
      <c r="AW80" s="31">
        <v>42951.025972222225</v>
      </c>
      <c r="AX80" s="32">
        <v>42764</v>
      </c>
      <c r="AY80" s="33"/>
      <c r="AZ80" s="44">
        <v>1.4205050505050507</v>
      </c>
      <c r="BA80" s="44">
        <v>1.603636363636364</v>
      </c>
      <c r="BB80" s="44">
        <v>1.825364583333333</v>
      </c>
      <c r="BC80" s="44">
        <v>1.7470486111111108</v>
      </c>
      <c r="BD80" s="29" t="s">
        <v>2180</v>
      </c>
      <c r="BE80" s="29">
        <v>7.8896226882900002</v>
      </c>
      <c r="BF80" s="29" t="str">
        <f>IF(BE80&lt;0.5,"Depression",IF(BE80&lt;2,"Very gentle",IF(BE80&lt;5,"Gentle",IF(BE80&lt;9,"Moderate",IF(BE80&lt;15,"Strong",IF(BE80&lt;30,"Steep",IF(BE80&lt;1,"Very steep")))))))</f>
        <v>Moderate</v>
      </c>
      <c r="BG80" s="29" t="s">
        <v>2178</v>
      </c>
      <c r="BH80" s="29">
        <v>0.45321798324599999</v>
      </c>
      <c r="BI80" s="43">
        <v>6.9400124549899997</v>
      </c>
      <c r="BJ80" s="43">
        <f>VLOOKUP(D80,[1]SoilData!$G$15:$K$237,5,FALSE)</f>
        <v>387.76831489195655</v>
      </c>
      <c r="BK80" s="43">
        <f>VLOOKUP(D80,[1]SoilData!$G$245:$K$451,5,FALSE)</f>
        <v>201.27456078648834</v>
      </c>
      <c r="BL80" s="43">
        <f>VLOOKUP(D80,[1]SoilData!$G$15:$M$238,7,FALSE)</f>
        <v>1.1619999999999999</v>
      </c>
      <c r="BM80" s="43">
        <f>VLOOKUP(D80,[1]SoilData!$G$245:$M$454,7,FALSE)</f>
        <v>0.74</v>
      </c>
      <c r="BN80" s="60">
        <f>BL80-BM80</f>
        <v>0.42199999999999993</v>
      </c>
      <c r="BO80" s="44">
        <f>AVERAGE(BB80:BC80)</f>
        <v>1.7862065972222219</v>
      </c>
      <c r="BP80" s="44">
        <f>AVERAGE(AZ80:BA80)</f>
        <v>1.5120707070707073</v>
      </c>
      <c r="BQ80" s="43">
        <f>BP80-BO80</f>
        <v>-0.27413589015151452</v>
      </c>
      <c r="BR80" s="64">
        <f>IF(W80&gt;0.000001,W80*352,0)</f>
        <v>675.83999999999992</v>
      </c>
      <c r="BS80" s="64">
        <f>IF(AE80&gt;0.0001,AE80*682,0)</f>
        <v>218.67648</v>
      </c>
      <c r="BT80" s="64">
        <f>AA80*795</f>
        <v>0</v>
      </c>
      <c r="BU80" s="64">
        <f>BR80+BS80+BT80</f>
        <v>894.51647999999989</v>
      </c>
      <c r="BV80" s="64">
        <f>IF(G80="YES",3.5*18.2,0)</f>
        <v>0</v>
      </c>
      <c r="BW80" s="64">
        <f>BU80-BV80</f>
        <v>894.51647999999989</v>
      </c>
    </row>
    <row r="81" spans="1:75" x14ac:dyDescent="0.15">
      <c r="A81" s="29" t="s">
        <v>556</v>
      </c>
      <c r="B81" s="29">
        <v>202</v>
      </c>
      <c r="C81" s="29" t="s">
        <v>1368</v>
      </c>
      <c r="D81" s="29" t="s">
        <v>405</v>
      </c>
      <c r="E81" s="29" t="str">
        <f>VLOOKUP(D81,Harvest_2017_Formulae!$C$2:$D$968,2,FALSE)</f>
        <v>TSAMASI</v>
      </c>
      <c r="F81" s="29" t="s">
        <v>1014</v>
      </c>
      <c r="G81" s="61" t="s">
        <v>548</v>
      </c>
      <c r="H81" s="29" t="s">
        <v>568</v>
      </c>
      <c r="I81" s="29" t="s">
        <v>548</v>
      </c>
      <c r="J81" s="29" t="s">
        <v>546</v>
      </c>
      <c r="K81" s="29" t="s">
        <v>548</v>
      </c>
      <c r="L81" s="29" t="s">
        <v>2221</v>
      </c>
      <c r="M81" s="29" t="s">
        <v>546</v>
      </c>
      <c r="N81" s="29" t="s">
        <v>546</v>
      </c>
      <c r="O81" s="29" t="s">
        <v>547</v>
      </c>
      <c r="P81" s="29">
        <v>0.25</v>
      </c>
      <c r="Q81" s="29">
        <v>1</v>
      </c>
      <c r="S81" s="29" t="s">
        <v>546</v>
      </c>
      <c r="T81" s="29">
        <v>1.25</v>
      </c>
      <c r="U81" s="29">
        <v>5</v>
      </c>
      <c r="V81" s="29" t="s">
        <v>552</v>
      </c>
      <c r="W81" s="30">
        <v>0.16031999999999999</v>
      </c>
      <c r="Y81" s="29">
        <v>999</v>
      </c>
      <c r="Z81" s="29" t="s">
        <v>552</v>
      </c>
      <c r="AA81" s="62"/>
      <c r="AB81" s="29">
        <v>1.25</v>
      </c>
      <c r="AC81" s="29">
        <v>1.5</v>
      </c>
      <c r="AD81" s="29" t="s">
        <v>551</v>
      </c>
      <c r="AE81" s="62">
        <v>0.28799999999999998</v>
      </c>
      <c r="AF81" s="29" t="s">
        <v>548</v>
      </c>
      <c r="AG81" s="29" t="s">
        <v>548</v>
      </c>
      <c r="AH81" s="29" t="s">
        <v>548</v>
      </c>
      <c r="AI81" s="29" t="s">
        <v>548</v>
      </c>
      <c r="AJ81" s="29" t="s">
        <v>548</v>
      </c>
      <c r="AK81" s="29">
        <v>5</v>
      </c>
      <c r="AL81" s="29">
        <v>3</v>
      </c>
      <c r="AM81" s="29" t="s">
        <v>1369</v>
      </c>
      <c r="AN81" s="29" t="s">
        <v>1370</v>
      </c>
      <c r="AO81" s="29">
        <v>-4.2946481704711914</v>
      </c>
      <c r="AP81" s="29">
        <v>35.818572998046875</v>
      </c>
      <c r="AQ81" s="29">
        <v>1338</v>
      </c>
      <c r="AR81" s="29">
        <v>5</v>
      </c>
      <c r="AS81" s="29">
        <v>1706031849</v>
      </c>
      <c r="AT81" s="29" t="s">
        <v>1371</v>
      </c>
      <c r="AU81" s="31">
        <v>42948.908506944441</v>
      </c>
      <c r="AV81" s="31">
        <v>42938.517754629633</v>
      </c>
      <c r="AW81" s="31">
        <v>42938.524930555555</v>
      </c>
      <c r="AX81" s="32">
        <v>42800</v>
      </c>
      <c r="AZ81" s="44">
        <v>2.5646005509641876</v>
      </c>
      <c r="BA81" s="44">
        <v>3.5864646464646466</v>
      </c>
      <c r="BB81" s="44">
        <v>3.6490697674418611</v>
      </c>
      <c r="BC81" s="44">
        <v>2.264418604651163</v>
      </c>
      <c r="BD81" s="29" t="s">
        <v>2171</v>
      </c>
      <c r="BE81" s="29">
        <v>3.3978817462899999</v>
      </c>
      <c r="BF81" s="29" t="str">
        <f>IF(BE81&lt;0.5,"Depression",IF(BE81&lt;2,"Very gentle",IF(BE81&lt;5,"Gentle",IF(BE81&lt;9,"Moderate",IF(BE81&lt;15,"Strong",IF(BE81&lt;30,"Steep",IF(BE81&lt;1,"Very steep")))))))</f>
        <v>Gentle</v>
      </c>
      <c r="BG81" s="29" t="s">
        <v>2173</v>
      </c>
      <c r="BH81" s="29">
        <v>0.36257606744799997</v>
      </c>
      <c r="BI81" s="43">
        <v>8.9012861251800004</v>
      </c>
      <c r="BJ81" s="43">
        <f>VLOOKUP(D81,[1]SoilData!$G$15:$K$237,5,FALSE)</f>
        <v>1023.4066217998582</v>
      </c>
      <c r="BK81" s="43">
        <f>VLOOKUP(D81,[1]SoilData!$G$245:$K$451,5,FALSE)</f>
        <v>510.05789830154231</v>
      </c>
      <c r="BL81" s="43">
        <f>VLOOKUP(D81,[1]SoilData!$G$15:$M$238,7,FALSE)</f>
        <v>1.5149999999999999</v>
      </c>
      <c r="BM81" s="43">
        <f>VLOOKUP(D81,[1]SoilData!$G$245:$M$454,7,FALSE)</f>
        <v>1.506</v>
      </c>
      <c r="BN81" s="60">
        <f>BL81-BM81</f>
        <v>8.999999999999897E-3</v>
      </c>
      <c r="BO81" s="44">
        <f>AVERAGE(BB81:BC81)</f>
        <v>2.956744186046512</v>
      </c>
      <c r="BP81" s="44">
        <f>AVERAGE(AZ81:BA81)</f>
        <v>3.0755325987144171</v>
      </c>
      <c r="BQ81" s="43">
        <f>BP81-BO81</f>
        <v>0.11878841266790507</v>
      </c>
      <c r="BR81" s="64">
        <f>IF(W81&gt;0.000001,W81*352,0)</f>
        <v>56.432639999999999</v>
      </c>
      <c r="BS81" s="64">
        <f>IF(AE81&gt;0.0001,AE81*682,0)</f>
        <v>196.416</v>
      </c>
      <c r="BT81" s="64">
        <f>AA81*795</f>
        <v>0</v>
      </c>
      <c r="BU81" s="64">
        <f>BR81+BS81+BT81</f>
        <v>252.84863999999999</v>
      </c>
      <c r="BV81" s="64">
        <f>IF(G81="YES",3.5*18.2,0)</f>
        <v>63.699999999999996</v>
      </c>
      <c r="BW81" s="64">
        <f>BU81-BV81</f>
        <v>189.14864</v>
      </c>
    </row>
    <row r="82" spans="1:75" x14ac:dyDescent="0.15">
      <c r="A82" s="29" t="s">
        <v>556</v>
      </c>
      <c r="B82" s="29">
        <v>191</v>
      </c>
      <c r="C82" s="29" t="s">
        <v>930</v>
      </c>
      <c r="D82" s="29" t="s">
        <v>168</v>
      </c>
      <c r="E82" s="29" t="str">
        <f>VLOOKUP(D82,Harvest_2017_Formulae!$C$2:$D$968,2,FALSE)</f>
        <v>ENDANOGA</v>
      </c>
      <c r="F82" s="29" t="s">
        <v>843</v>
      </c>
      <c r="G82" s="61" t="s">
        <v>546</v>
      </c>
      <c r="H82" s="29" t="s">
        <v>547</v>
      </c>
      <c r="I82" s="29" t="s">
        <v>546</v>
      </c>
      <c r="J82" s="29" t="s">
        <v>546</v>
      </c>
      <c r="K82" s="29" t="s">
        <v>548</v>
      </c>
      <c r="L82" s="29" t="s">
        <v>2221</v>
      </c>
      <c r="M82" s="29" t="s">
        <v>546</v>
      </c>
      <c r="N82" s="29" t="s">
        <v>548</v>
      </c>
      <c r="O82" s="29" t="s">
        <v>550</v>
      </c>
      <c r="P82" s="29">
        <v>0.25</v>
      </c>
      <c r="Q82" s="29">
        <v>3.75</v>
      </c>
      <c r="S82" s="29" t="s">
        <v>548</v>
      </c>
      <c r="T82" s="29">
        <v>4</v>
      </c>
      <c r="U82" s="29">
        <v>30</v>
      </c>
      <c r="V82" s="29" t="s">
        <v>551</v>
      </c>
      <c r="W82" s="30">
        <v>1.7999999999999998</v>
      </c>
      <c r="Y82" s="29">
        <v>999</v>
      </c>
      <c r="Z82" s="29" t="s">
        <v>551</v>
      </c>
      <c r="AA82" s="62"/>
      <c r="AB82" s="29">
        <v>4</v>
      </c>
      <c r="AC82" s="29">
        <v>10</v>
      </c>
      <c r="AD82" s="29" t="s">
        <v>551</v>
      </c>
      <c r="AE82" s="62">
        <v>0.6</v>
      </c>
      <c r="AF82" s="29" t="s">
        <v>546</v>
      </c>
      <c r="AG82" s="29" t="s">
        <v>548</v>
      </c>
      <c r="AH82" s="29" t="s">
        <v>546</v>
      </c>
      <c r="AI82" s="29" t="s">
        <v>546</v>
      </c>
      <c r="AJ82" s="29" t="s">
        <v>546</v>
      </c>
      <c r="AK82" s="29">
        <v>1</v>
      </c>
      <c r="AL82" s="29">
        <v>4</v>
      </c>
      <c r="AM82" s="29" t="s">
        <v>931</v>
      </c>
      <c r="AN82" s="29" t="s">
        <v>932</v>
      </c>
      <c r="AO82" s="29">
        <v>-4.2758526802062988</v>
      </c>
      <c r="AP82" s="29">
        <v>35.874324798583984</v>
      </c>
      <c r="AQ82" s="29">
        <v>1271.5999755859375</v>
      </c>
      <c r="AR82" s="29">
        <v>5</v>
      </c>
      <c r="AS82" s="29">
        <v>1706031849</v>
      </c>
      <c r="AT82" s="29" t="s">
        <v>933</v>
      </c>
      <c r="AU82" s="31">
        <v>42940.360081018516</v>
      </c>
      <c r="AV82" s="31">
        <v>42924.565729166672</v>
      </c>
      <c r="AW82" s="31">
        <v>42924.583773148144</v>
      </c>
      <c r="AX82" s="32">
        <v>42789</v>
      </c>
      <c r="AZ82" s="44">
        <v>6.1562021857923499</v>
      </c>
      <c r="BA82" s="44">
        <v>5.3928051001821498</v>
      </c>
      <c r="BB82" s="44">
        <v>4.9897435897435898</v>
      </c>
      <c r="BC82" s="44">
        <v>4.7312820512820508</v>
      </c>
      <c r="BD82" s="29" t="s">
        <v>2171</v>
      </c>
      <c r="BE82" s="29">
        <v>1.27826285362</v>
      </c>
      <c r="BF82" s="29" t="str">
        <f>IF(BE82&lt;0.5,"Depression",IF(BE82&lt;2,"Very gentle",IF(BE82&lt;5,"Gentle",IF(BE82&lt;9,"Moderate",IF(BE82&lt;15,"Strong",IF(BE82&lt;30,"Steep",IF(BE82&lt;1,"Very steep")))))))</f>
        <v>Very gentle</v>
      </c>
      <c r="BG82" s="29" t="s">
        <v>2173</v>
      </c>
      <c r="BH82" s="29">
        <v>-0.18127532303300001</v>
      </c>
      <c r="BI82" s="43">
        <v>11.157617568999999</v>
      </c>
      <c r="BJ82" s="43"/>
      <c r="BK82" s="43">
        <f>VLOOKUP(D82,[1]SoilData!$G$245:$K$451,5,FALSE)</f>
        <v>153.98927254895347</v>
      </c>
      <c r="BL82" s="43"/>
      <c r="BM82" s="43">
        <f>VLOOKUP(D82,[1]SoilData!$G$245:$M$454,7,FALSE)</f>
        <v>1.085</v>
      </c>
      <c r="BN82" s="60"/>
      <c r="BO82" s="44">
        <f>AVERAGE(BB82:BC82)</f>
        <v>4.8605128205128203</v>
      </c>
      <c r="BP82" s="44">
        <f>AVERAGE(AZ82:BA82)</f>
        <v>5.7745036429872503</v>
      </c>
      <c r="BQ82" s="43">
        <f>BP82-BO82</f>
        <v>0.91399082247442998</v>
      </c>
      <c r="BR82" s="64">
        <f>IF(W82&gt;0.000001,W82*352,0)</f>
        <v>633.59999999999991</v>
      </c>
      <c r="BS82" s="64">
        <f>IF(AE82&gt;0.0001,AE82*682,0)</f>
        <v>409.2</v>
      </c>
      <c r="BT82" s="64">
        <f>AA82*795</f>
        <v>0</v>
      </c>
      <c r="BU82" s="64">
        <f>BR82+BS82+BT82</f>
        <v>1042.8</v>
      </c>
      <c r="BV82" s="64">
        <f>IF(G82="YES",3.5*18.2,0)</f>
        <v>0</v>
      </c>
      <c r="BW82" s="64">
        <f>BU82-BV82</f>
        <v>1042.8</v>
      </c>
    </row>
    <row r="83" spans="1:75" x14ac:dyDescent="0.15">
      <c r="A83" s="29" t="s">
        <v>789</v>
      </c>
      <c r="B83" s="29">
        <v>45</v>
      </c>
      <c r="C83" s="29" t="s">
        <v>387</v>
      </c>
      <c r="D83" s="29" t="s">
        <v>387</v>
      </c>
      <c r="E83" s="29" t="str">
        <f>VLOOKUP(D83,Harvest_2017_Formulae!$C$2:$D$968,2,FALSE)</f>
        <v>Sangara</v>
      </c>
      <c r="F83" s="29" t="s">
        <v>1014</v>
      </c>
      <c r="G83" s="61" t="s">
        <v>546</v>
      </c>
      <c r="H83" s="29" t="s">
        <v>547</v>
      </c>
      <c r="I83" s="29" t="s">
        <v>548</v>
      </c>
      <c r="J83" s="29" t="s">
        <v>546</v>
      </c>
      <c r="K83" s="29" t="s">
        <v>548</v>
      </c>
      <c r="L83" s="29" t="s">
        <v>2219</v>
      </c>
      <c r="M83" s="29" t="s">
        <v>548</v>
      </c>
      <c r="N83" s="29" t="s">
        <v>546</v>
      </c>
      <c r="O83" s="29" t="s">
        <v>547</v>
      </c>
      <c r="P83" s="29">
        <v>0.5</v>
      </c>
      <c r="Q83" s="29">
        <v>0.75</v>
      </c>
      <c r="R83" s="29">
        <v>0</v>
      </c>
      <c r="S83" s="29" t="s">
        <v>548</v>
      </c>
      <c r="T83" s="29">
        <v>1</v>
      </c>
      <c r="U83" s="29">
        <v>10</v>
      </c>
      <c r="V83" s="29" t="s">
        <v>551</v>
      </c>
      <c r="W83" s="30">
        <v>2.4</v>
      </c>
      <c r="Y83" s="29">
        <v>999</v>
      </c>
      <c r="Z83" s="29" t="s">
        <v>551</v>
      </c>
      <c r="AA83" s="62"/>
      <c r="AB83" s="29">
        <v>1</v>
      </c>
      <c r="AC83" s="29">
        <v>2</v>
      </c>
      <c r="AD83" s="29" t="s">
        <v>551</v>
      </c>
      <c r="AE83" s="62">
        <v>0.48</v>
      </c>
      <c r="AF83" s="29" t="s">
        <v>546</v>
      </c>
      <c r="AG83" s="29" t="s">
        <v>546</v>
      </c>
      <c r="AH83" s="29" t="s">
        <v>546</v>
      </c>
      <c r="AI83" s="29" t="s">
        <v>546</v>
      </c>
      <c r="AJ83" s="29" t="s">
        <v>546</v>
      </c>
      <c r="AK83" s="29">
        <v>0</v>
      </c>
      <c r="AL83" s="29">
        <v>3</v>
      </c>
      <c r="AM83" s="29" t="s">
        <v>1281</v>
      </c>
      <c r="AN83" s="29" t="s">
        <v>1282</v>
      </c>
      <c r="AO83" s="29">
        <v>-4.2798576354980469</v>
      </c>
      <c r="AP83" s="29">
        <v>35.628681182861328</v>
      </c>
      <c r="AQ83" s="29">
        <v>1415.699951171875</v>
      </c>
      <c r="AR83" s="29">
        <v>15</v>
      </c>
      <c r="AS83" s="29">
        <v>1705231439</v>
      </c>
      <c r="AT83" s="29" t="s">
        <v>1283</v>
      </c>
      <c r="AU83" s="31">
        <v>42908.292696759258</v>
      </c>
      <c r="AV83" s="31">
        <v>42900.5309837963</v>
      </c>
      <c r="AW83" s="31">
        <v>42908.291331018518</v>
      </c>
      <c r="AX83" s="32">
        <v>42742</v>
      </c>
      <c r="AZ83" s="44">
        <v>2.5235465768799101</v>
      </c>
      <c r="BA83" s="44">
        <v>3.4363187429854096</v>
      </c>
      <c r="BB83" s="44">
        <v>4.6935185185185189</v>
      </c>
      <c r="BC83" s="44">
        <v>4.5582098765432102</v>
      </c>
      <c r="BD83" s="29" t="s">
        <v>2179</v>
      </c>
      <c r="BE83" s="29">
        <v>3.5732898712200001</v>
      </c>
      <c r="BF83" s="29" t="str">
        <f>IF(BE83&lt;0.5,"Depression",IF(BE83&lt;2,"Very gentle",IF(BE83&lt;5,"Gentle",IF(BE83&lt;9,"Moderate",IF(BE83&lt;15,"Strong",IF(BE83&lt;30,"Steep",IF(BE83&lt;1,"Very steep")))))))</f>
        <v>Gentle</v>
      </c>
      <c r="BG83" s="29" t="s">
        <v>2172</v>
      </c>
      <c r="BH83" s="29">
        <v>-0.54384291171999999</v>
      </c>
      <c r="BI83" s="43">
        <v>11.057280540500001</v>
      </c>
      <c r="BJ83" s="43">
        <f>VLOOKUP(D83,[1]SoilData!$G$15:$K$237,5,FALSE)</f>
        <v>84.77312419920338</v>
      </c>
      <c r="BK83" s="43">
        <f>VLOOKUP(D83,[1]SoilData!$G$245:$K$451,5,FALSE)</f>
        <v>23.072875139936137</v>
      </c>
      <c r="BL83" s="43">
        <f>VLOOKUP(D83,[1]SoilData!$G$15:$M$238,7,FALSE)</f>
        <v>0.61</v>
      </c>
      <c r="BM83" s="43">
        <f>VLOOKUP(D83,[1]SoilData!$G$245:$M$454,7,FALSE)</f>
        <v>0.58699999999999997</v>
      </c>
      <c r="BN83" s="60">
        <f>BL83-BM83</f>
        <v>2.300000000000002E-2</v>
      </c>
      <c r="BO83" s="44">
        <f>AVERAGE(BB83:BC83)</f>
        <v>4.6258641975308645</v>
      </c>
      <c r="BP83" s="44">
        <f>AVERAGE(AZ83:BA83)</f>
        <v>2.9799326599326599</v>
      </c>
      <c r="BQ83" s="43">
        <f>BP83-BO83</f>
        <v>-1.6459315375982047</v>
      </c>
      <c r="BR83" s="64">
        <f>IF(W83&gt;0.000001,W83*352,0)</f>
        <v>844.8</v>
      </c>
      <c r="BS83" s="64">
        <f>IF(AE83&gt;0.0001,AE83*682,0)</f>
        <v>327.36</v>
      </c>
      <c r="BT83" s="64">
        <f>AA83*795</f>
        <v>0</v>
      </c>
      <c r="BU83" s="64">
        <f>BR83+BS83+BT83</f>
        <v>1172.1599999999999</v>
      </c>
      <c r="BV83" s="64">
        <f>IF(G83="YES",3.5*18.2,0)</f>
        <v>0</v>
      </c>
      <c r="BW83" s="64">
        <f>BU83-BV83</f>
        <v>1172.1599999999999</v>
      </c>
    </row>
    <row r="84" spans="1:75" x14ac:dyDescent="0.15">
      <c r="A84" s="34" t="s">
        <v>1182</v>
      </c>
      <c r="B84" s="34">
        <v>90</v>
      </c>
      <c r="C84" s="34" t="s">
        <v>250</v>
      </c>
      <c r="D84" s="34" t="s">
        <v>250</v>
      </c>
      <c r="E84" s="29" t="e">
        <f>VLOOKUP(D84,Harvest_2017_Formulae!$C$2:$D$968,2,FALSE)</f>
        <v>#N/A</v>
      </c>
      <c r="F84" s="34" t="s">
        <v>1175</v>
      </c>
      <c r="G84" s="61" t="s">
        <v>548</v>
      </c>
      <c r="H84" s="34" t="s">
        <v>568</v>
      </c>
      <c r="I84" s="34" t="s">
        <v>548</v>
      </c>
      <c r="J84" s="34" t="s">
        <v>546</v>
      </c>
      <c r="K84" s="34" t="s">
        <v>548</v>
      </c>
      <c r="L84" s="29" t="s">
        <v>2221</v>
      </c>
      <c r="M84" s="34" t="s">
        <v>548</v>
      </c>
      <c r="N84" s="34" t="s">
        <v>548</v>
      </c>
      <c r="O84" s="34" t="s">
        <v>550</v>
      </c>
      <c r="P84" s="34">
        <v>1.25</v>
      </c>
      <c r="Q84" s="34">
        <v>3.75</v>
      </c>
      <c r="R84" s="34">
        <v>0</v>
      </c>
      <c r="S84" s="34" t="s">
        <v>548</v>
      </c>
      <c r="T84" s="34">
        <v>1</v>
      </c>
      <c r="U84" s="34">
        <v>8</v>
      </c>
      <c r="V84" s="34" t="s">
        <v>551</v>
      </c>
      <c r="W84" s="34">
        <v>1.92</v>
      </c>
      <c r="X84" s="34">
        <v>1</v>
      </c>
      <c r="Y84" s="34">
        <v>1</v>
      </c>
      <c r="Z84" s="34" t="s">
        <v>551</v>
      </c>
      <c r="AA84" s="56">
        <v>0.24</v>
      </c>
      <c r="AB84" s="34">
        <v>1</v>
      </c>
      <c r="AC84" s="34">
        <v>1</v>
      </c>
      <c r="AD84" s="34" t="s">
        <v>551</v>
      </c>
      <c r="AE84" s="56">
        <v>0.24</v>
      </c>
      <c r="AF84" s="34" t="s">
        <v>546</v>
      </c>
      <c r="AG84" s="34" t="s">
        <v>548</v>
      </c>
      <c r="AH84" s="34" t="s">
        <v>546</v>
      </c>
      <c r="AI84" s="34" t="s">
        <v>546</v>
      </c>
      <c r="AJ84" s="34" t="s">
        <v>548</v>
      </c>
      <c r="AK84" s="34">
        <v>2</v>
      </c>
      <c r="AL84" s="34">
        <v>3</v>
      </c>
      <c r="AM84" s="34" t="s">
        <v>1493</v>
      </c>
      <c r="AN84" s="34" t="s">
        <v>1494</v>
      </c>
      <c r="AO84" s="34">
        <v>-4.3439469337463379</v>
      </c>
      <c r="AP84" s="34">
        <v>35.477890014648438</v>
      </c>
      <c r="AQ84" s="34">
        <v>1630</v>
      </c>
      <c r="AR84" s="34">
        <v>10</v>
      </c>
      <c r="AS84" s="34">
        <v>1705231439</v>
      </c>
      <c r="AT84" s="34" t="s">
        <v>1495</v>
      </c>
      <c r="AU84" s="35">
        <v>42927.345289351855</v>
      </c>
      <c r="AV84" s="35">
        <v>42895.46266203704</v>
      </c>
      <c r="AW84" s="35">
        <v>42923.466238425928</v>
      </c>
      <c r="AX84" s="36">
        <v>42770</v>
      </c>
      <c r="AY84" s="29" t="s">
        <v>1496</v>
      </c>
      <c r="BD84" s="29" t="s">
        <v>2183</v>
      </c>
      <c r="BE84" s="29">
        <v>4.3128838539099998</v>
      </c>
      <c r="BF84" s="29" t="str">
        <f>IF(BE84&lt;0.5,"Depression",IF(BE84&lt;2,"Very gentle",IF(BE84&lt;5,"Gentle",IF(BE84&lt;9,"Moderate",IF(BE84&lt;15,"Strong",IF(BE84&lt;30,"Steep",IF(BE84&lt;1,"Very steep")))))))</f>
        <v>Gentle</v>
      </c>
      <c r="BG84" s="29" t="s">
        <v>2182</v>
      </c>
      <c r="BH84" s="29">
        <v>1.26899504662</v>
      </c>
      <c r="BI84" s="43">
        <v>7.5570774078399996</v>
      </c>
      <c r="BJ84" s="43"/>
      <c r="BK84" s="43"/>
      <c r="BL84" s="43"/>
      <c r="BM84" s="43"/>
      <c r="BN84" s="60"/>
      <c r="BO84" s="43"/>
      <c r="BP84" s="43"/>
      <c r="BQ84" s="43"/>
      <c r="BR84" s="64">
        <f>IF(W84&gt;0.000001,W84*352,0)</f>
        <v>675.83999999999992</v>
      </c>
      <c r="BS84" s="64">
        <f>IF(AE84&gt;0.0001,AE84*682,0)</f>
        <v>163.68</v>
      </c>
      <c r="BT84" s="64">
        <f>AA84*795</f>
        <v>190.79999999999998</v>
      </c>
      <c r="BU84" s="64">
        <f>BR84+BS84+BT84</f>
        <v>1030.32</v>
      </c>
      <c r="BV84" s="64">
        <f>IF(G84="YES",3.5*18.2,0)</f>
        <v>63.699999999999996</v>
      </c>
      <c r="BW84" s="64">
        <f>BU84-BV84</f>
        <v>966.61999999999989</v>
      </c>
    </row>
    <row r="85" spans="1:75" x14ac:dyDescent="0.15">
      <c r="A85" s="29" t="s">
        <v>556</v>
      </c>
      <c r="B85" s="29">
        <v>127</v>
      </c>
      <c r="C85" s="29" t="s">
        <v>1333</v>
      </c>
      <c r="D85" s="33" t="s">
        <v>282</v>
      </c>
      <c r="E85" s="29" t="str">
        <f>VLOOKUP(D85,Harvest_2017_Formulae!$C$2:$D$968,2,FALSE)</f>
        <v>SOLETO</v>
      </c>
      <c r="F85" s="29" t="s">
        <v>1310</v>
      </c>
      <c r="G85" s="61" t="s">
        <v>548</v>
      </c>
      <c r="H85" s="29" t="s">
        <v>568</v>
      </c>
      <c r="I85" s="29" t="s">
        <v>548</v>
      </c>
      <c r="J85" s="29" t="s">
        <v>546</v>
      </c>
      <c r="K85" s="29" t="s">
        <v>548</v>
      </c>
      <c r="L85" s="29" t="s">
        <v>2220</v>
      </c>
      <c r="M85" s="29" t="s">
        <v>546</v>
      </c>
      <c r="N85" s="29" t="s">
        <v>546</v>
      </c>
      <c r="O85" s="29" t="s">
        <v>547</v>
      </c>
      <c r="P85" s="29">
        <v>0.25</v>
      </c>
      <c r="Q85" s="29">
        <v>2.75</v>
      </c>
      <c r="R85" s="29">
        <v>0</v>
      </c>
      <c r="S85" s="29" t="s">
        <v>546</v>
      </c>
      <c r="T85" s="29">
        <v>1.5</v>
      </c>
      <c r="U85" s="29">
        <v>18</v>
      </c>
      <c r="V85" s="29" t="s">
        <v>551</v>
      </c>
      <c r="W85" s="30">
        <v>2.88</v>
      </c>
      <c r="Y85" s="29">
        <v>999</v>
      </c>
      <c r="Z85" s="29" t="s">
        <v>551</v>
      </c>
      <c r="AA85" s="62"/>
      <c r="AB85" s="29">
        <v>1.5</v>
      </c>
      <c r="AC85" s="29">
        <v>1</v>
      </c>
      <c r="AD85" s="29" t="s">
        <v>551</v>
      </c>
      <c r="AE85" s="62">
        <v>0.16</v>
      </c>
      <c r="AF85" s="29" t="s">
        <v>546</v>
      </c>
      <c r="AG85" s="29" t="s">
        <v>546</v>
      </c>
      <c r="AH85" s="29" t="s">
        <v>548</v>
      </c>
      <c r="AI85" s="29" t="s">
        <v>548</v>
      </c>
      <c r="AJ85" s="29" t="s">
        <v>548</v>
      </c>
      <c r="AK85" s="29">
        <v>3</v>
      </c>
      <c r="AL85" s="29">
        <v>2</v>
      </c>
      <c r="AM85" s="29" t="s">
        <v>1334</v>
      </c>
      <c r="AN85" s="29" t="s">
        <v>1335</v>
      </c>
      <c r="AO85" s="29">
        <v>-4.2573566436767578</v>
      </c>
      <c r="AP85" s="29">
        <v>35.511543273925781</v>
      </c>
      <c r="AQ85" s="29">
        <v>1638.300048828125</v>
      </c>
      <c r="AR85" s="29">
        <v>5</v>
      </c>
      <c r="AS85" s="29">
        <v>1706031849</v>
      </c>
      <c r="AT85" s="29" t="s">
        <v>1336</v>
      </c>
      <c r="AU85" s="31">
        <v>42907.592962962968</v>
      </c>
      <c r="AV85" s="31">
        <v>42903.63217592593</v>
      </c>
      <c r="AW85" s="31">
        <v>42906.626770833333</v>
      </c>
      <c r="AX85" s="32">
        <v>42753</v>
      </c>
      <c r="AZ85" s="44">
        <v>3.5448275862068965</v>
      </c>
      <c r="BA85" s="44">
        <v>2.5241379310344829</v>
      </c>
      <c r="BB85" s="44">
        <v>1.6928339575530587</v>
      </c>
      <c r="BC85" s="44">
        <v>1.7635955056179777</v>
      </c>
      <c r="BD85" s="29" t="s">
        <v>2180</v>
      </c>
      <c r="BE85" s="29">
        <v>1.39851653576</v>
      </c>
      <c r="BF85" s="29" t="str">
        <f>IF(BE85&lt;0.5,"Depression",IF(BE85&lt;2,"Very gentle",IF(BE85&lt;5,"Gentle",IF(BE85&lt;9,"Moderate",IF(BE85&lt;15,"Strong",IF(BE85&lt;30,"Steep",IF(BE85&lt;1,"Very steep")))))))</f>
        <v>Very gentle</v>
      </c>
      <c r="BG85" s="29" t="s">
        <v>2173</v>
      </c>
      <c r="BH85" s="29">
        <v>0.36257606744799997</v>
      </c>
      <c r="BI85" s="43">
        <v>8.5521802902200008</v>
      </c>
      <c r="BJ85" s="43">
        <f>VLOOKUP(D85,[1]SoilData!$G$15:$K$237,5,FALSE)</f>
        <v>409.38566737821543</v>
      </c>
      <c r="BK85" s="43">
        <f>VLOOKUP(D85,[1]SoilData!$G$245:$K$451,5,FALSE)</f>
        <v>396.62953470395104</v>
      </c>
      <c r="BL85" s="43">
        <f>VLOOKUP(D85,[1]SoilData!$G$15:$M$238,7,FALSE)</f>
        <v>1.7490000000000001</v>
      </c>
      <c r="BM85" s="43">
        <f>VLOOKUP(D85,[1]SoilData!$G$245:$M$454,7,FALSE)</f>
        <v>1.802</v>
      </c>
      <c r="BN85" s="60">
        <f>BL85-BM85</f>
        <v>-5.2999999999999936E-2</v>
      </c>
      <c r="BO85" s="44">
        <f>AVERAGE(BB85:BC85)</f>
        <v>1.7282147315855183</v>
      </c>
      <c r="BP85" s="44">
        <f>AVERAGE(AZ85:BA85)</f>
        <v>3.0344827586206895</v>
      </c>
      <c r="BQ85" s="43">
        <f>BP85-BO85</f>
        <v>1.3062680270351712</v>
      </c>
      <c r="BR85" s="64">
        <f>IF(W85&gt;0.000001,W85*352,0)</f>
        <v>1013.76</v>
      </c>
      <c r="BS85" s="64">
        <f>IF(AE85&gt;0.0001,AE85*682,0)</f>
        <v>109.12</v>
      </c>
      <c r="BT85" s="64">
        <f>AA85*795</f>
        <v>0</v>
      </c>
      <c r="BU85" s="64">
        <f>BR85+BS85+BT85</f>
        <v>1122.8800000000001</v>
      </c>
      <c r="BV85" s="64">
        <f>IF(G85="YES",3.5*18.2,0)</f>
        <v>63.699999999999996</v>
      </c>
      <c r="BW85" s="64">
        <f>BU85-BV85</f>
        <v>1059.18</v>
      </c>
    </row>
    <row r="86" spans="1:75" x14ac:dyDescent="0.15">
      <c r="A86" s="29" t="s">
        <v>556</v>
      </c>
      <c r="B86" s="29">
        <v>217</v>
      </c>
      <c r="C86" s="29" t="s">
        <v>404</v>
      </c>
      <c r="D86" s="29" t="s">
        <v>404</v>
      </c>
      <c r="E86" s="29" t="str">
        <f>VLOOKUP(D86,Harvest_2017_Formulae!$C$2:$D$968,2,FALSE)</f>
        <v>TSAMASI</v>
      </c>
      <c r="F86" s="29" t="s">
        <v>1014</v>
      </c>
      <c r="G86" s="61" t="s">
        <v>546</v>
      </c>
      <c r="H86" s="29" t="s">
        <v>547</v>
      </c>
      <c r="I86" s="29" t="s">
        <v>546</v>
      </c>
      <c r="J86" s="29" t="s">
        <v>546</v>
      </c>
      <c r="K86" s="29" t="s">
        <v>548</v>
      </c>
      <c r="L86" s="29" t="s">
        <v>2220</v>
      </c>
      <c r="M86" s="29" t="s">
        <v>546</v>
      </c>
      <c r="N86" s="29" t="s">
        <v>546</v>
      </c>
      <c r="O86" s="29" t="s">
        <v>547</v>
      </c>
      <c r="P86" s="29">
        <v>0.25</v>
      </c>
      <c r="Q86" s="29">
        <v>0.75</v>
      </c>
      <c r="S86" s="29" t="s">
        <v>548</v>
      </c>
      <c r="T86" s="29">
        <v>1</v>
      </c>
      <c r="U86" s="29">
        <v>4</v>
      </c>
      <c r="V86" s="29" t="s">
        <v>551</v>
      </c>
      <c r="W86" s="30">
        <v>0.96</v>
      </c>
      <c r="Y86" s="29">
        <v>999</v>
      </c>
      <c r="Z86" s="29" t="s">
        <v>551</v>
      </c>
      <c r="AA86" s="62"/>
      <c r="AB86" s="29">
        <v>1</v>
      </c>
      <c r="AC86" s="29">
        <v>1</v>
      </c>
      <c r="AD86" s="29" t="s">
        <v>551</v>
      </c>
      <c r="AE86" s="62">
        <v>0.24</v>
      </c>
      <c r="AF86" s="29" t="s">
        <v>546</v>
      </c>
      <c r="AG86" s="29" t="s">
        <v>546</v>
      </c>
      <c r="AH86" s="29" t="s">
        <v>546</v>
      </c>
      <c r="AI86" s="29" t="s">
        <v>546</v>
      </c>
      <c r="AJ86" s="29" t="s">
        <v>546</v>
      </c>
      <c r="AK86" s="29">
        <v>0</v>
      </c>
      <c r="AL86" s="29">
        <v>3</v>
      </c>
      <c r="AM86" s="29" t="s">
        <v>1372</v>
      </c>
      <c r="AN86" s="29" t="s">
        <v>1373</v>
      </c>
      <c r="AO86" s="29">
        <v>-4.2899141311645508</v>
      </c>
      <c r="AP86" s="29">
        <v>35.828792572021484</v>
      </c>
      <c r="AQ86" s="29">
        <v>1307.5999755859375</v>
      </c>
      <c r="AR86" s="29">
        <v>5</v>
      </c>
      <c r="AS86" s="29">
        <v>1706031849</v>
      </c>
      <c r="AT86" s="29" t="s">
        <v>1374</v>
      </c>
      <c r="AU86" s="31">
        <v>42950.967465277776</v>
      </c>
      <c r="AV86" s="31">
        <v>42938.449479166666</v>
      </c>
      <c r="AW86" s="31">
        <v>42950.900057870371</v>
      </c>
      <c r="AX86" s="32">
        <v>42830</v>
      </c>
      <c r="AZ86" s="44">
        <v>3.7211848778238825</v>
      </c>
      <c r="BA86" s="44">
        <v>3.3027893038266489</v>
      </c>
      <c r="BB86" s="44">
        <v>3.6958275703088987</v>
      </c>
      <c r="BC86" s="44">
        <v>4.7354771784232375</v>
      </c>
      <c r="BD86" s="29" t="s">
        <v>2179</v>
      </c>
      <c r="BE86" s="29">
        <v>0.63687402010000005</v>
      </c>
      <c r="BF86" s="29" t="str">
        <f>IF(BE86&lt;0.5,"Depression",IF(BE86&lt;2,"Very gentle",IF(BE86&lt;5,"Gentle",IF(BE86&lt;9,"Moderate",IF(BE86&lt;15,"Strong",IF(BE86&lt;30,"Steep",IF(BE86&lt;1,"Very steep")))))))</f>
        <v>Very gentle</v>
      </c>
      <c r="BG86" s="29" t="s">
        <v>2173</v>
      </c>
      <c r="BH86" s="29">
        <v>-0.45320102572400001</v>
      </c>
      <c r="BI86" s="43">
        <v>14.599243164100001</v>
      </c>
      <c r="BJ86" s="43">
        <f>VLOOKUP(D86,[1]SoilData!$G$15:$K$237,5,FALSE)</f>
        <v>207.05817873887941</v>
      </c>
      <c r="BK86" s="43">
        <f>VLOOKUP(D86,[1]SoilData!$G$245:$K$451,5,FALSE)</f>
        <v>243.74369510078216</v>
      </c>
      <c r="BL86" s="43">
        <f>VLOOKUP(D86,[1]SoilData!$G$15:$M$238,7,FALSE)</f>
        <v>1.3420000000000001</v>
      </c>
      <c r="BM86" s="43">
        <f>VLOOKUP(D86,[1]SoilData!$G$245:$M$454,7,FALSE)</f>
        <v>1.53</v>
      </c>
      <c r="BN86" s="60">
        <f>BL86-BM86</f>
        <v>-0.18799999999999994</v>
      </c>
      <c r="BO86" s="44">
        <f>AVERAGE(BB86:BC86)</f>
        <v>4.2156523743660683</v>
      </c>
      <c r="BP86" s="44">
        <f>AVERAGE(AZ86:BA86)</f>
        <v>3.5119870908252659</v>
      </c>
      <c r="BQ86" s="43">
        <f>BP86-BO86</f>
        <v>-0.70366528354080238</v>
      </c>
      <c r="BR86" s="64">
        <f>IF(W86&gt;0.000001,W86*352,0)</f>
        <v>337.91999999999996</v>
      </c>
      <c r="BS86" s="64">
        <f>IF(AE86&gt;0.0001,AE86*682,0)</f>
        <v>163.68</v>
      </c>
      <c r="BT86" s="64">
        <f>AA86*795</f>
        <v>0</v>
      </c>
      <c r="BU86" s="64">
        <f>BR86+BS86+BT86</f>
        <v>501.59999999999997</v>
      </c>
      <c r="BV86" s="64">
        <f>IF(G86="YES",3.5*18.2,0)</f>
        <v>0</v>
      </c>
      <c r="BW86" s="64">
        <f>BU86-BV86</f>
        <v>501.59999999999997</v>
      </c>
    </row>
    <row r="87" spans="1:75" x14ac:dyDescent="0.15">
      <c r="A87" s="29" t="s">
        <v>556</v>
      </c>
      <c r="B87" s="29">
        <v>237</v>
      </c>
      <c r="C87" s="29" t="s">
        <v>573</v>
      </c>
      <c r="D87" s="29" t="s">
        <v>422</v>
      </c>
      <c r="E87" s="29" t="str">
        <f>VLOOKUP(D87,Harvest_2017_Formulae!$C$2:$D$968,2,FALSE)</f>
        <v>ENDAGWE</v>
      </c>
      <c r="F87" s="29" t="s">
        <v>732</v>
      </c>
      <c r="G87" s="61" t="s">
        <v>546</v>
      </c>
      <c r="H87" s="29" t="s">
        <v>547</v>
      </c>
      <c r="I87" s="29" t="s">
        <v>546</v>
      </c>
      <c r="J87" s="29" t="s">
        <v>546</v>
      </c>
      <c r="K87" s="29" t="s">
        <v>548</v>
      </c>
      <c r="L87" s="29" t="s">
        <v>2220</v>
      </c>
      <c r="M87" s="29" t="s">
        <v>546</v>
      </c>
      <c r="N87" s="29" t="s">
        <v>548</v>
      </c>
      <c r="O87" s="29" t="s">
        <v>550</v>
      </c>
      <c r="P87" s="29">
        <v>0.25</v>
      </c>
      <c r="S87" s="29" t="s">
        <v>548</v>
      </c>
      <c r="T87" s="29">
        <v>0.125</v>
      </c>
      <c r="U87" s="29">
        <v>1.5</v>
      </c>
      <c r="V87" s="29" t="s">
        <v>551</v>
      </c>
      <c r="W87" s="30">
        <v>2.8800000000000003</v>
      </c>
      <c r="Y87" s="29">
        <v>999</v>
      </c>
      <c r="Z87" s="29" t="s">
        <v>551</v>
      </c>
      <c r="AA87" s="62"/>
      <c r="AB87" s="29">
        <v>0.125</v>
      </c>
      <c r="AC87" s="29">
        <v>1</v>
      </c>
      <c r="AD87" s="29" t="s">
        <v>552</v>
      </c>
      <c r="AE87" s="62">
        <v>0.32063999999999998</v>
      </c>
      <c r="AF87" s="29" t="s">
        <v>546</v>
      </c>
      <c r="AG87" s="29" t="s">
        <v>546</v>
      </c>
      <c r="AH87" s="29" t="s">
        <v>546</v>
      </c>
      <c r="AI87" s="29" t="s">
        <v>546</v>
      </c>
      <c r="AJ87" s="29" t="s">
        <v>546</v>
      </c>
      <c r="AK87" s="29">
        <v>0</v>
      </c>
      <c r="AL87" s="29">
        <v>2</v>
      </c>
      <c r="AM87" s="29" t="s">
        <v>767</v>
      </c>
      <c r="AN87" s="29" t="s">
        <v>768</v>
      </c>
      <c r="AO87" s="29">
        <v>-4.3494272232055664</v>
      </c>
      <c r="AP87" s="29">
        <v>35.646892547607422</v>
      </c>
      <c r="AQ87" s="29">
        <v>1614.4000244140625</v>
      </c>
      <c r="AR87" s="29">
        <v>5</v>
      </c>
      <c r="AS87" s="29">
        <v>1706031849</v>
      </c>
      <c r="AT87" s="29" t="s">
        <v>769</v>
      </c>
      <c r="AU87" s="31">
        <v>42951.125914351855</v>
      </c>
      <c r="AV87" s="31">
        <v>42934.47655092593</v>
      </c>
      <c r="AW87" s="31">
        <v>42951.037025462967</v>
      </c>
      <c r="AX87" s="32">
        <v>42771</v>
      </c>
      <c r="AZ87" s="44">
        <v>5.297419354838711</v>
      </c>
      <c r="BA87" s="44">
        <v>6.7606451612903244</v>
      </c>
      <c r="BB87" s="44">
        <v>2.4669163545568038</v>
      </c>
      <c r="BC87" s="44">
        <v>2.8174781523096133</v>
      </c>
      <c r="BD87" s="29" t="s">
        <v>2171</v>
      </c>
      <c r="BE87" s="29">
        <v>0.900638759136</v>
      </c>
      <c r="BF87" s="29" t="str">
        <f>IF(BE87&lt;0.5,"Depression",IF(BE87&lt;2,"Very gentle",IF(BE87&lt;5,"Gentle",IF(BE87&lt;9,"Moderate",IF(BE87&lt;15,"Strong",IF(BE87&lt;30,"Steep",IF(BE87&lt;1,"Very steep")))))))</f>
        <v>Very gentle</v>
      </c>
      <c r="BG87" s="29" t="s">
        <v>2173</v>
      </c>
      <c r="BH87" s="29">
        <v>0.18129228055499999</v>
      </c>
      <c r="BI87" s="43">
        <v>8.7377004623399994</v>
      </c>
      <c r="BJ87" s="43">
        <f>VLOOKUP(D87,[1]SoilData!$G$15:$K$237,5,FALSE)</f>
        <v>230.03665430731459</v>
      </c>
      <c r="BK87" s="43">
        <f>VLOOKUP(D87,[1]SoilData!$G$245:$K$451,5,FALSE)</f>
        <v>279.83165599268091</v>
      </c>
      <c r="BL87" s="43">
        <f>VLOOKUP(D87,[1]SoilData!$G$15:$M$238,7,FALSE)</f>
        <v>1.1399999999999999</v>
      </c>
      <c r="BM87" s="43">
        <f>VLOOKUP(D87,[1]SoilData!$G$245:$M$454,7,FALSE)</f>
        <v>0.97799999999999998</v>
      </c>
      <c r="BN87" s="60">
        <f>BL87-BM87</f>
        <v>0.16199999999999992</v>
      </c>
      <c r="BO87" s="44">
        <f>AVERAGE(BB87:BC87)</f>
        <v>2.6421972534332085</v>
      </c>
      <c r="BP87" s="44">
        <f>AVERAGE(AZ87:BA87)</f>
        <v>6.0290322580645181</v>
      </c>
      <c r="BQ87" s="43">
        <f>BP87-BO87</f>
        <v>3.3868350046313096</v>
      </c>
      <c r="BR87" s="64">
        <f>IF(W87&gt;0.000001,W87*352,0)</f>
        <v>1013.7600000000001</v>
      </c>
      <c r="BS87" s="64">
        <f>IF(AE87&gt;0.0001,AE87*682,0)</f>
        <v>218.67648</v>
      </c>
      <c r="BT87" s="64">
        <f>AA87*795</f>
        <v>0</v>
      </c>
      <c r="BU87" s="64">
        <f>BR87+BS87+BT87</f>
        <v>1232.4364800000001</v>
      </c>
      <c r="BV87" s="64">
        <f>IF(G87="YES",3.5*18.2,0)</f>
        <v>0</v>
      </c>
      <c r="BW87" s="64">
        <f>BU87-BV87</f>
        <v>1232.4364800000001</v>
      </c>
    </row>
    <row r="88" spans="1:75" x14ac:dyDescent="0.15">
      <c r="A88" s="29" t="s">
        <v>1182</v>
      </c>
      <c r="B88" s="29">
        <v>89</v>
      </c>
      <c r="C88" s="29" t="s">
        <v>242</v>
      </c>
      <c r="D88" s="29" t="s">
        <v>242</v>
      </c>
      <c r="E88" s="29" t="str">
        <f>VLOOKUP(D88,Harvest_2017_Formulae!$C$2:$D$968,2,FALSE)</f>
        <v>SABILO</v>
      </c>
      <c r="F88" s="29" t="s">
        <v>1175</v>
      </c>
      <c r="G88" s="61" t="s">
        <v>548</v>
      </c>
      <c r="H88" s="29" t="s">
        <v>568</v>
      </c>
      <c r="I88" s="29" t="s">
        <v>546</v>
      </c>
      <c r="J88" s="29" t="s">
        <v>546</v>
      </c>
      <c r="K88" s="29" t="s">
        <v>548</v>
      </c>
      <c r="L88" s="29" t="s">
        <v>2220</v>
      </c>
      <c r="M88" s="29" t="s">
        <v>548</v>
      </c>
      <c r="N88" s="29" t="s">
        <v>548</v>
      </c>
      <c r="O88" s="29" t="s">
        <v>550</v>
      </c>
      <c r="P88" s="29">
        <v>0.5</v>
      </c>
      <c r="Q88" s="29">
        <v>1.75</v>
      </c>
      <c r="R88" s="29">
        <v>15</v>
      </c>
      <c r="S88" s="29" t="s">
        <v>546</v>
      </c>
      <c r="T88" s="29">
        <v>1</v>
      </c>
      <c r="U88" s="29">
        <v>10</v>
      </c>
      <c r="V88" s="29" t="s">
        <v>551</v>
      </c>
      <c r="W88" s="30">
        <v>2.4</v>
      </c>
      <c r="X88" s="29">
        <v>1</v>
      </c>
      <c r="Y88" s="29">
        <v>2</v>
      </c>
      <c r="Z88" s="29" t="s">
        <v>551</v>
      </c>
      <c r="AA88" s="62">
        <v>0.48</v>
      </c>
      <c r="AB88" s="29">
        <v>1</v>
      </c>
      <c r="AC88" s="29">
        <v>1</v>
      </c>
      <c r="AD88" s="29" t="s">
        <v>551</v>
      </c>
      <c r="AE88" s="62">
        <v>0.24</v>
      </c>
      <c r="AF88" s="29" t="s">
        <v>548</v>
      </c>
      <c r="AG88" s="29" t="s">
        <v>548</v>
      </c>
      <c r="AH88" s="29" t="s">
        <v>546</v>
      </c>
      <c r="AI88" s="29" t="s">
        <v>548</v>
      </c>
      <c r="AJ88" s="29" t="s">
        <v>548</v>
      </c>
      <c r="AK88" s="29">
        <v>4</v>
      </c>
      <c r="AL88" s="29">
        <v>5</v>
      </c>
      <c r="AM88" s="29" t="s">
        <v>1184</v>
      </c>
      <c r="AN88" s="29" t="s">
        <v>1185</v>
      </c>
      <c r="AO88" s="29">
        <v>-4.3539328575134277</v>
      </c>
      <c r="AP88" s="29">
        <v>35.488338470458984</v>
      </c>
      <c r="AQ88" s="29">
        <v>1676.0999755859375</v>
      </c>
      <c r="AR88" s="29">
        <v>15</v>
      </c>
      <c r="AS88" s="29">
        <v>1705231439</v>
      </c>
      <c r="AT88" s="29" t="s">
        <v>1186</v>
      </c>
      <c r="AU88" s="31">
        <v>42927.345277777778</v>
      </c>
      <c r="AV88" s="31">
        <v>42895.406365740739</v>
      </c>
      <c r="AW88" s="31">
        <v>42923.466446759259</v>
      </c>
      <c r="AX88" s="32">
        <v>42750</v>
      </c>
      <c r="AZ88" s="44">
        <v>3.9814492753623187</v>
      </c>
      <c r="BA88" s="44">
        <v>4.4791304347826086</v>
      </c>
      <c r="BB88" s="44">
        <v>2.427777777777778</v>
      </c>
      <c r="BC88" s="44">
        <v>2.3420915032679739</v>
      </c>
      <c r="BD88" s="29" t="s">
        <v>2171</v>
      </c>
      <c r="BE88" s="29">
        <v>3.3021626472499999</v>
      </c>
      <c r="BF88" s="29" t="str">
        <f>IF(BE88&lt;0.5,"Depression",IF(BE88&lt;2,"Very gentle",IF(BE88&lt;5,"Gentle",IF(BE88&lt;9,"Moderate",IF(BE88&lt;15,"Strong",IF(BE88&lt;30,"Steep",IF(BE88&lt;1,"Very steep")))))))</f>
        <v>Gentle</v>
      </c>
      <c r="BG88" s="29" t="s">
        <v>2173</v>
      </c>
      <c r="BH88" s="29">
        <v>9.0650379657699995E-2</v>
      </c>
      <c r="BI88" s="43">
        <v>7.8596940040599996</v>
      </c>
      <c r="BJ88" s="43">
        <f>VLOOKUP(D88,[1]SoilData!$G$15:$K$237,5,FALSE)</f>
        <v>162.36652381181702</v>
      </c>
      <c r="BK88" s="43">
        <f>VLOOKUP(D88,[1]SoilData!$G$245:$K$451,5,FALSE)</f>
        <v>251.20962221733689</v>
      </c>
      <c r="BL88" s="43">
        <f>VLOOKUP(D88,[1]SoilData!$G$15:$M$238,7,FALSE)</f>
        <v>1.976</v>
      </c>
      <c r="BM88" s="43">
        <f>VLOOKUP(D88,[1]SoilData!$G$245:$M$454,7,FALSE)</f>
        <v>1.97</v>
      </c>
      <c r="BN88" s="60">
        <f>BL88-BM88</f>
        <v>6.0000000000000053E-3</v>
      </c>
      <c r="BO88" s="44">
        <f>AVERAGE(BB88:BC88)</f>
        <v>2.384934640522876</v>
      </c>
      <c r="BP88" s="44">
        <f>AVERAGE(AZ88:BA88)</f>
        <v>4.2302898550724635</v>
      </c>
      <c r="BQ88" s="43">
        <f>BP88-BO88</f>
        <v>1.8453552145495875</v>
      </c>
      <c r="BR88" s="64">
        <f>IF(W88&gt;0.000001,W88*352,0)</f>
        <v>844.8</v>
      </c>
      <c r="BS88" s="64">
        <f>IF(AE88&gt;0.0001,AE88*682,0)</f>
        <v>163.68</v>
      </c>
      <c r="BT88" s="64">
        <f>AA88*795</f>
        <v>381.59999999999997</v>
      </c>
      <c r="BU88" s="64">
        <f>BR88+BS88+BT88</f>
        <v>1390.08</v>
      </c>
      <c r="BV88" s="64">
        <f>IF(G88="YES",3.5*18.2,0)</f>
        <v>63.699999999999996</v>
      </c>
      <c r="BW88" s="64">
        <f>BU88-BV88</f>
        <v>1326.3799999999999</v>
      </c>
    </row>
    <row r="89" spans="1:75" x14ac:dyDescent="0.15">
      <c r="A89" s="34" t="s">
        <v>556</v>
      </c>
      <c r="B89" s="34">
        <v>187</v>
      </c>
      <c r="C89" s="34" t="s">
        <v>433</v>
      </c>
      <c r="D89" s="34" t="s">
        <v>433</v>
      </c>
      <c r="E89" s="29" t="str">
        <f>VLOOKUP(D89,Harvest_2017_Formulae!$C$2:$D$968,2,FALSE)</f>
        <v>SABILO</v>
      </c>
      <c r="F89" s="34" t="s">
        <v>1175</v>
      </c>
      <c r="G89" s="61" t="s">
        <v>546</v>
      </c>
      <c r="H89" s="34" t="s">
        <v>547</v>
      </c>
      <c r="I89" s="34" t="s">
        <v>546</v>
      </c>
      <c r="J89" s="34" t="s">
        <v>546</v>
      </c>
      <c r="K89" s="34" t="s">
        <v>548</v>
      </c>
      <c r="L89" s="29" t="s">
        <v>2221</v>
      </c>
      <c r="M89" s="34" t="s">
        <v>546</v>
      </c>
      <c r="N89" s="34" t="s">
        <v>548</v>
      </c>
      <c r="O89" s="34" t="s">
        <v>550</v>
      </c>
      <c r="P89" s="34">
        <v>1.5</v>
      </c>
      <c r="Q89" s="34">
        <v>6</v>
      </c>
      <c r="R89" s="34"/>
      <c r="S89" s="34" t="s">
        <v>548</v>
      </c>
      <c r="T89" s="34">
        <v>0.25</v>
      </c>
      <c r="U89" s="34">
        <v>9</v>
      </c>
      <c r="V89" s="34" t="s">
        <v>551</v>
      </c>
      <c r="W89" s="34">
        <v>8.64</v>
      </c>
      <c r="X89" s="34">
        <v>0.125</v>
      </c>
      <c r="Y89" s="34">
        <v>1</v>
      </c>
      <c r="Z89" s="34" t="s">
        <v>551</v>
      </c>
      <c r="AA89" s="56">
        <v>1.92</v>
      </c>
      <c r="AB89" s="34">
        <v>0.5</v>
      </c>
      <c r="AC89" s="34">
        <v>2</v>
      </c>
      <c r="AD89" s="34" t="s">
        <v>551</v>
      </c>
      <c r="AE89" s="56">
        <v>0.96</v>
      </c>
      <c r="AF89" s="34" t="s">
        <v>546</v>
      </c>
      <c r="AG89" s="34" t="s">
        <v>546</v>
      </c>
      <c r="AH89" s="34" t="s">
        <v>546</v>
      </c>
      <c r="AI89" s="34" t="s">
        <v>546</v>
      </c>
      <c r="AJ89" s="34" t="s">
        <v>546</v>
      </c>
      <c r="AK89" s="34">
        <v>0</v>
      </c>
      <c r="AL89" s="34">
        <v>4</v>
      </c>
      <c r="AM89" s="34" t="s">
        <v>1221</v>
      </c>
      <c r="AN89" s="34" t="s">
        <v>1222</v>
      </c>
      <c r="AO89" s="34">
        <v>-4.3435859680175781</v>
      </c>
      <c r="AP89" s="34">
        <v>35.478065490722656</v>
      </c>
      <c r="AQ89" s="34">
        <v>1623.300048828125</v>
      </c>
      <c r="AR89" s="34">
        <v>5</v>
      </c>
      <c r="AS89" s="34">
        <v>1706031849</v>
      </c>
      <c r="AT89" s="34" t="s">
        <v>1223</v>
      </c>
      <c r="AU89" s="35">
        <v>42930.383969907409</v>
      </c>
      <c r="AV89" s="35">
        <v>42929.591111111113</v>
      </c>
      <c r="AW89" s="35">
        <v>42929.61037037037</v>
      </c>
      <c r="AX89" s="36">
        <v>42770</v>
      </c>
      <c r="AY89" s="34"/>
      <c r="AZ89" s="44">
        <v>3.8352927616413104</v>
      </c>
      <c r="BA89" s="44">
        <v>4.1205624711848783</v>
      </c>
      <c r="BB89" s="44">
        <v>4.35511756569848</v>
      </c>
      <c r="BC89" s="44">
        <v>5.8955739972337504</v>
      </c>
      <c r="BD89" s="29" t="s">
        <v>2174</v>
      </c>
      <c r="BE89" s="29">
        <v>4.8365068435699996</v>
      </c>
      <c r="BF89" s="29" t="str">
        <f>IF(BE89&lt;0.5,"Depression",IF(BE89&lt;2,"Very gentle",IF(BE89&lt;5,"Gentle",IF(BE89&lt;9,"Moderate",IF(BE89&lt;15,"Strong",IF(BE89&lt;30,"Steep",IF(BE89&lt;1,"Very steep")))))))</f>
        <v>Gentle</v>
      </c>
      <c r="BG89" s="29" t="s">
        <v>2173</v>
      </c>
      <c r="BH89" s="29">
        <v>0.18129228055499999</v>
      </c>
      <c r="BI89" s="43">
        <v>8.2040119171099999</v>
      </c>
      <c r="BJ89" s="43">
        <f>VLOOKUP(D89,[1]SoilData!$G$15:$K$237,5,FALSE)</f>
        <v>339.84101699812226</v>
      </c>
      <c r="BK89" s="43">
        <f>VLOOKUP(D89,[1]SoilData!$G$245:$K$451,5,FALSE)</f>
        <v>371.7608898733568</v>
      </c>
      <c r="BL89" s="43">
        <f>VLOOKUP(D89,[1]SoilData!$G$15:$M$238,7,FALSE)</f>
        <v>1.4239999999999999</v>
      </c>
      <c r="BM89" s="43">
        <f>VLOOKUP(D89,[1]SoilData!$G$245:$M$454,7,FALSE)</f>
        <v>1.8540000000000001</v>
      </c>
      <c r="BN89" s="60">
        <f>BL89-BM89</f>
        <v>-0.43000000000000016</v>
      </c>
      <c r="BO89" s="44">
        <f>AVERAGE(BB89:BC89)</f>
        <v>5.1253457814661152</v>
      </c>
      <c r="BP89" s="44">
        <f>AVERAGE(AZ89:BA89)</f>
        <v>3.9779276164130941</v>
      </c>
      <c r="BQ89" s="43">
        <f>BP89-BO89</f>
        <v>-1.1474181650530211</v>
      </c>
      <c r="BR89" s="64">
        <f>IF(W89&gt;0.000001,W89*352,0)</f>
        <v>3041.28</v>
      </c>
      <c r="BS89" s="64">
        <f>IF(AE89&gt;0.0001,AE89*682,0)</f>
        <v>654.72</v>
      </c>
      <c r="BT89" s="64">
        <f>AA89*795</f>
        <v>1526.3999999999999</v>
      </c>
      <c r="BU89" s="64">
        <f>BR89+BS89+BT89</f>
        <v>5222.3999999999996</v>
      </c>
      <c r="BV89" s="64">
        <f>IF(G89="YES",3.5*18.2,0)</f>
        <v>0</v>
      </c>
      <c r="BW89" s="64">
        <f>BU89-BV89</f>
        <v>5222.3999999999996</v>
      </c>
    </row>
    <row r="90" spans="1:75" x14ac:dyDescent="0.15">
      <c r="A90" s="34" t="s">
        <v>544</v>
      </c>
      <c r="B90" s="34">
        <v>103</v>
      </c>
      <c r="C90" s="34" t="s">
        <v>1147</v>
      </c>
      <c r="D90" s="34" t="s">
        <v>375</v>
      </c>
      <c r="E90" s="29" t="str">
        <f>VLOOKUP(D90,Harvest_2017_Formulae!$C$2:$D$968,2,FALSE)</f>
        <v>ORNGADIDA</v>
      </c>
      <c r="F90" s="34" t="s">
        <v>777</v>
      </c>
      <c r="G90" s="61" t="s">
        <v>546</v>
      </c>
      <c r="H90" s="34" t="s">
        <v>547</v>
      </c>
      <c r="I90" s="34" t="s">
        <v>546</v>
      </c>
      <c r="J90" s="34" t="s">
        <v>546</v>
      </c>
      <c r="K90" s="34" t="s">
        <v>548</v>
      </c>
      <c r="L90" s="29" t="s">
        <v>2221</v>
      </c>
      <c r="M90" s="34" t="s">
        <v>546</v>
      </c>
      <c r="N90" s="34" t="s">
        <v>548</v>
      </c>
      <c r="O90" s="34" t="s">
        <v>550</v>
      </c>
      <c r="P90" s="34">
        <v>1.25</v>
      </c>
      <c r="Q90" s="34">
        <v>3.5</v>
      </c>
      <c r="R90" s="34">
        <v>0</v>
      </c>
      <c r="S90" s="34" t="s">
        <v>548</v>
      </c>
      <c r="T90" s="34">
        <v>1</v>
      </c>
      <c r="U90" s="34">
        <v>10</v>
      </c>
      <c r="V90" s="34" t="s">
        <v>551</v>
      </c>
      <c r="W90" s="34">
        <v>2.4</v>
      </c>
      <c r="X90" s="34"/>
      <c r="Y90" s="34">
        <v>999</v>
      </c>
      <c r="Z90" s="34" t="s">
        <v>551</v>
      </c>
      <c r="AA90" s="56"/>
      <c r="AB90" s="34">
        <v>1</v>
      </c>
      <c r="AC90" s="34">
        <v>7.3000001907348633</v>
      </c>
      <c r="AD90" s="34" t="s">
        <v>551</v>
      </c>
      <c r="AE90" s="56">
        <v>1.7520000457763671</v>
      </c>
      <c r="AF90" s="34" t="s">
        <v>546</v>
      </c>
      <c r="AG90" s="34" t="s">
        <v>546</v>
      </c>
      <c r="AH90" s="34" t="s">
        <v>546</v>
      </c>
      <c r="AI90" s="34" t="s">
        <v>546</v>
      </c>
      <c r="AJ90" s="34" t="s">
        <v>546</v>
      </c>
      <c r="AK90" s="34">
        <v>0</v>
      </c>
      <c r="AL90" s="34">
        <v>3</v>
      </c>
      <c r="AM90" s="34" t="s">
        <v>1148</v>
      </c>
      <c r="AN90" s="34" t="s">
        <v>1149</v>
      </c>
      <c r="AO90" s="34">
        <v>-4.2892546653747559</v>
      </c>
      <c r="AP90" s="34">
        <v>35.852764129638672</v>
      </c>
      <c r="AQ90" s="34">
        <v>1271.9000244140625</v>
      </c>
      <c r="AR90" s="34">
        <v>5</v>
      </c>
      <c r="AS90" s="34">
        <v>1705231439</v>
      </c>
      <c r="AT90" s="34" t="s">
        <v>1150</v>
      </c>
      <c r="AU90" s="35">
        <v>42950.965949074074</v>
      </c>
      <c r="AV90" s="35">
        <v>42892.700497685189</v>
      </c>
      <c r="AW90" s="35">
        <v>42950.911817129629</v>
      </c>
      <c r="AX90" s="36">
        <v>42798</v>
      </c>
      <c r="AZ90" s="44">
        <v>3.4020091324200918</v>
      </c>
      <c r="BA90" s="44">
        <v>3.4509589041095894</v>
      </c>
      <c r="BB90" s="44">
        <v>2.8733604336043364</v>
      </c>
      <c r="BC90" s="44">
        <v>1.4178590785907859</v>
      </c>
      <c r="BD90" s="29" t="s">
        <v>2171</v>
      </c>
      <c r="BE90" s="29">
        <v>1.22101557255</v>
      </c>
      <c r="BF90" s="29" t="str">
        <f>IF(BE90&lt;0.5,"Depression",IF(BE90&lt;2,"Very gentle",IF(BE90&lt;5,"Gentle",IF(BE90&lt;9,"Moderate",IF(BE90&lt;15,"Strong",IF(BE90&lt;30,"Steep",IF(BE90&lt;1,"Very steep")))))))</f>
        <v>Very gentle</v>
      </c>
      <c r="BG90" s="29" t="s">
        <v>2173</v>
      </c>
      <c r="BH90" s="29">
        <v>8.4776775111099995E-6</v>
      </c>
      <c r="BI90" s="43">
        <v>10.5152492523</v>
      </c>
      <c r="BJ90" s="43"/>
      <c r="BK90" s="43"/>
      <c r="BL90" s="43"/>
      <c r="BM90" s="43"/>
      <c r="BN90" s="60"/>
      <c r="BO90" s="44">
        <f>AVERAGE(BB90:BC90)</f>
        <v>2.1456097560975609</v>
      </c>
      <c r="BP90" s="44">
        <f>AVERAGE(AZ90:BA90)</f>
        <v>3.4264840182648406</v>
      </c>
      <c r="BQ90" s="43">
        <f>BP90-BO90</f>
        <v>1.2808742621672797</v>
      </c>
      <c r="BR90" s="64">
        <f>IF(W90&gt;0.000001,W90*352,0)</f>
        <v>844.8</v>
      </c>
      <c r="BS90" s="64">
        <f>IF(AE90&gt;0.0001,AE90*682,0)</f>
        <v>1194.8640312194823</v>
      </c>
      <c r="BT90" s="64">
        <f>AA90*795</f>
        <v>0</v>
      </c>
      <c r="BU90" s="64">
        <f>BR90+BS90+BT90</f>
        <v>2039.6640312194822</v>
      </c>
      <c r="BV90" s="64">
        <f>IF(G90="YES",3.5*18.2,0)</f>
        <v>0</v>
      </c>
      <c r="BW90" s="64">
        <f>BU90-BV90</f>
        <v>2039.6640312194822</v>
      </c>
    </row>
    <row r="91" spans="1:75" x14ac:dyDescent="0.15">
      <c r="A91" s="29" t="s">
        <v>556</v>
      </c>
      <c r="B91" s="29">
        <v>98</v>
      </c>
      <c r="C91" s="29" t="s">
        <v>376</v>
      </c>
      <c r="D91" s="29" t="s">
        <v>376</v>
      </c>
      <c r="E91" s="29" t="str">
        <f>VLOOKUP(D91,Harvest_2017_Formulae!$C$2:$D$968,2,FALSE)</f>
        <v>ORNGADIDA</v>
      </c>
      <c r="F91" s="29" t="s">
        <v>777</v>
      </c>
      <c r="G91" s="61" t="s">
        <v>546</v>
      </c>
      <c r="H91" s="29" t="s">
        <v>547</v>
      </c>
      <c r="I91" s="29" t="s">
        <v>548</v>
      </c>
      <c r="J91" s="29" t="s">
        <v>546</v>
      </c>
      <c r="K91" s="29" t="s">
        <v>548</v>
      </c>
      <c r="L91" s="29" t="s">
        <v>2221</v>
      </c>
      <c r="M91" s="29" t="s">
        <v>548</v>
      </c>
      <c r="N91" s="29" t="s">
        <v>548</v>
      </c>
      <c r="O91" s="29" t="s">
        <v>550</v>
      </c>
      <c r="P91" s="29">
        <v>1.25</v>
      </c>
      <c r="Q91" s="29">
        <v>3.5004632500000001</v>
      </c>
      <c r="S91" s="29" t="s">
        <v>548</v>
      </c>
      <c r="T91" s="29">
        <v>1</v>
      </c>
      <c r="U91" s="29">
        <v>10</v>
      </c>
      <c r="V91" s="29" t="s">
        <v>551</v>
      </c>
      <c r="W91" s="30">
        <v>2.4</v>
      </c>
      <c r="Y91" s="29">
        <v>999</v>
      </c>
      <c r="Z91" s="29" t="s">
        <v>551</v>
      </c>
      <c r="AA91" s="62"/>
      <c r="AB91" s="29">
        <v>1</v>
      </c>
      <c r="AC91" s="29">
        <v>7.3000001907348633</v>
      </c>
      <c r="AD91" s="29" t="s">
        <v>551</v>
      </c>
      <c r="AE91" s="62">
        <v>1.7520000457763671</v>
      </c>
      <c r="AF91" s="29" t="s">
        <v>546</v>
      </c>
      <c r="AG91" s="29" t="s">
        <v>546</v>
      </c>
      <c r="AH91" s="29" t="s">
        <v>546</v>
      </c>
      <c r="AI91" s="29" t="s">
        <v>546</v>
      </c>
      <c r="AJ91" s="29" t="s">
        <v>546</v>
      </c>
      <c r="AK91" s="29">
        <v>0</v>
      </c>
      <c r="AL91" s="29">
        <v>3</v>
      </c>
      <c r="AM91" s="29" t="s">
        <v>1164</v>
      </c>
      <c r="AN91" s="29" t="s">
        <v>1165</v>
      </c>
      <c r="AO91" s="29">
        <v>-4.3180837631225586</v>
      </c>
      <c r="AP91" s="29">
        <v>35.872280120849609</v>
      </c>
      <c r="AQ91" s="29">
        <v>1213.5</v>
      </c>
      <c r="AR91" s="29">
        <v>5</v>
      </c>
      <c r="AS91" s="29">
        <v>1705231439</v>
      </c>
      <c r="AT91" s="29" t="s">
        <v>1166</v>
      </c>
      <c r="AU91" s="31">
        <v>42950.965011574073</v>
      </c>
      <c r="AV91" s="31">
        <v>42892.586388888885</v>
      </c>
      <c r="AW91" s="31">
        <v>42950.912222222221</v>
      </c>
      <c r="AX91" s="32">
        <v>42789</v>
      </c>
      <c r="AZ91" s="44"/>
      <c r="BA91" s="44"/>
      <c r="BB91" s="44"/>
      <c r="BC91" s="44"/>
      <c r="BD91" s="29" t="s">
        <v>2171</v>
      </c>
      <c r="BE91" s="29">
        <v>0.66437512636200002</v>
      </c>
      <c r="BF91" s="29" t="str">
        <f>IF(BE91&lt;0.5,"Depression",IF(BE91&lt;2,"Very gentle",IF(BE91&lt;5,"Gentle",IF(BE91&lt;9,"Moderate",IF(BE91&lt;15,"Strong",IF(BE91&lt;30,"Steep",IF(BE91&lt;1,"Very steep")))))))</f>
        <v>Very gentle</v>
      </c>
      <c r="BG91" s="29" t="s">
        <v>2173</v>
      </c>
      <c r="BH91" s="29">
        <v>-0.27191722393000001</v>
      </c>
      <c r="BI91" s="43">
        <v>10.6292409897</v>
      </c>
      <c r="BJ91" s="43">
        <f>VLOOKUP(D91,[1]SoilData!$G$15:$K$237,5,FALSE)</f>
        <v>237.79483426694605</v>
      </c>
      <c r="BK91" s="43">
        <f>VLOOKUP(D91,[1]SoilData!$G$245:$K$451,5,FALSE)</f>
        <v>307.5097560614301</v>
      </c>
      <c r="BL91" s="43">
        <f>VLOOKUP(D91,[1]SoilData!$G$15:$M$238,7,FALSE)</f>
        <v>1.359</v>
      </c>
      <c r="BM91" s="43">
        <f>VLOOKUP(D91,[1]SoilData!$G$245:$M$454,7,FALSE)</f>
        <v>1.3480000000000001</v>
      </c>
      <c r="BN91" s="60">
        <f>BL91-BM91</f>
        <v>1.0999999999999899E-2</v>
      </c>
      <c r="BO91" s="44"/>
      <c r="BP91" s="44"/>
      <c r="BQ91" s="43"/>
      <c r="BR91" s="64">
        <f>IF(W91&gt;0.000001,W91*352,0)</f>
        <v>844.8</v>
      </c>
      <c r="BS91" s="64">
        <f>IF(AE91&gt;0.0001,AE91*682,0)</f>
        <v>1194.8640312194823</v>
      </c>
      <c r="BT91" s="64">
        <f>AA91*795</f>
        <v>0</v>
      </c>
      <c r="BU91" s="64">
        <f>BR91+BS91+BT91</f>
        <v>2039.6640312194822</v>
      </c>
      <c r="BV91" s="64">
        <f>IF(G91="YES",3.5*18.2,0)</f>
        <v>0</v>
      </c>
      <c r="BW91" s="64">
        <f>BU91-BV91</f>
        <v>2039.6640312194822</v>
      </c>
    </row>
    <row r="92" spans="1:75" x14ac:dyDescent="0.15">
      <c r="A92" s="29" t="s">
        <v>556</v>
      </c>
      <c r="B92" s="29">
        <v>189</v>
      </c>
      <c r="C92" s="29" t="s">
        <v>165</v>
      </c>
      <c r="D92" s="29" t="s">
        <v>165</v>
      </c>
      <c r="E92" s="29" t="str">
        <f>VLOOKUP(D92,Harvest_2017_Formulae!$C$2:$D$968,2,FALSE)</f>
        <v>ENDANOGA</v>
      </c>
      <c r="F92" s="29" t="s">
        <v>843</v>
      </c>
      <c r="G92" s="61" t="s">
        <v>548</v>
      </c>
      <c r="H92" s="29" t="s">
        <v>568</v>
      </c>
      <c r="I92" s="29" t="s">
        <v>548</v>
      </c>
      <c r="J92" s="29" t="s">
        <v>546</v>
      </c>
      <c r="K92" s="29" t="s">
        <v>548</v>
      </c>
      <c r="L92" s="29" t="s">
        <v>2220</v>
      </c>
      <c r="M92" s="29" t="s">
        <v>546</v>
      </c>
      <c r="N92" s="29" t="s">
        <v>546</v>
      </c>
      <c r="O92" s="29" t="s">
        <v>547</v>
      </c>
      <c r="P92" s="29">
        <v>0.25</v>
      </c>
      <c r="Q92" s="29">
        <v>0.5</v>
      </c>
      <c r="S92" s="29" t="s">
        <v>546</v>
      </c>
      <c r="T92" s="29">
        <v>0.75</v>
      </c>
      <c r="U92" s="29">
        <v>5</v>
      </c>
      <c r="V92" s="29" t="s">
        <v>551</v>
      </c>
      <c r="W92" s="30">
        <v>1.5999999999999999</v>
      </c>
      <c r="Y92" s="29">
        <v>999</v>
      </c>
      <c r="Z92" s="29" t="s">
        <v>551</v>
      </c>
      <c r="AA92" s="62"/>
      <c r="AB92" s="29">
        <v>0.75</v>
      </c>
      <c r="AC92" s="29">
        <v>3</v>
      </c>
      <c r="AD92" s="29" t="s">
        <v>551</v>
      </c>
      <c r="AE92" s="62">
        <v>0.96</v>
      </c>
      <c r="AF92" s="29" t="s">
        <v>548</v>
      </c>
      <c r="AG92" s="29" t="s">
        <v>548</v>
      </c>
      <c r="AH92" s="29" t="s">
        <v>548</v>
      </c>
      <c r="AI92" s="29" t="s">
        <v>548</v>
      </c>
      <c r="AJ92" s="29" t="s">
        <v>548</v>
      </c>
      <c r="AK92" s="29">
        <v>5</v>
      </c>
      <c r="AL92" s="29">
        <v>3</v>
      </c>
      <c r="AM92" s="29" t="s">
        <v>920</v>
      </c>
      <c r="AN92" s="29" t="s">
        <v>921</v>
      </c>
      <c r="AO92" s="29">
        <v>-4.2676372528076172</v>
      </c>
      <c r="AP92" s="29">
        <v>35.848148345947266</v>
      </c>
      <c r="AQ92" s="29">
        <v>1371.199951171875</v>
      </c>
      <c r="AR92" s="29">
        <v>5</v>
      </c>
      <c r="AS92" s="29">
        <v>1706031849</v>
      </c>
      <c r="AT92" s="29" t="s">
        <v>922</v>
      </c>
      <c r="AU92" s="31">
        <v>42940.360046296293</v>
      </c>
      <c r="AV92" s="31">
        <v>42924.486192129625</v>
      </c>
      <c r="AW92" s="31">
        <v>42924.504351851851</v>
      </c>
      <c r="AX92" s="32">
        <v>42794</v>
      </c>
      <c r="AZ92" s="44">
        <v>5.5064243943191311</v>
      </c>
      <c r="BA92" s="44">
        <v>7.2612949039264825</v>
      </c>
      <c r="BB92" s="44">
        <v>3.8811111111111112</v>
      </c>
      <c r="BC92" s="44">
        <v>6.8755555555555556</v>
      </c>
      <c r="BD92" s="29" t="s">
        <v>2171</v>
      </c>
      <c r="BE92" s="29">
        <v>2.8312993049599999</v>
      </c>
      <c r="BF92" s="29" t="str">
        <f>IF(BE92&lt;0.5,"Depression",IF(BE92&lt;2,"Very gentle",IF(BE92&lt;5,"Gentle",IF(BE92&lt;9,"Moderate",IF(BE92&lt;15,"Strong",IF(BE92&lt;30,"Steep",IF(BE92&lt;1,"Very steep")))))))</f>
        <v>Gentle</v>
      </c>
      <c r="BG92" s="29" t="s">
        <v>2173</v>
      </c>
      <c r="BH92" s="29">
        <v>0.36257606744799997</v>
      </c>
      <c r="BI92" s="43">
        <v>10.637519836399999</v>
      </c>
      <c r="BJ92" s="43">
        <f>VLOOKUP(D92,[1]SoilData!$G$15:$K$237,5,FALSE)</f>
        <v>250.34352018995361</v>
      </c>
      <c r="BK92" s="43">
        <f>VLOOKUP(D92,[1]SoilData!$G$245:$K$451,5,FALSE)</f>
        <v>119.27946721632362</v>
      </c>
      <c r="BL92" s="43">
        <f>VLOOKUP(D92,[1]SoilData!$G$15:$M$238,7,FALSE)</f>
        <v>1.4810000000000001</v>
      </c>
      <c r="BM92" s="43">
        <f>VLOOKUP(D92,[1]SoilData!$G$245:$M$454,7,FALSE)</f>
        <v>1.456</v>
      </c>
      <c r="BN92" s="60">
        <f>BL92-BM92</f>
        <v>2.5000000000000133E-2</v>
      </c>
      <c r="BO92" s="44">
        <f>AVERAGE(BB92:BC92)</f>
        <v>5.3783333333333339</v>
      </c>
      <c r="BP92" s="44">
        <f>AVERAGE(AZ92:BA92)</f>
        <v>6.3838596491228063</v>
      </c>
      <c r="BQ92" s="43">
        <f>BP92-BO92</f>
        <v>1.0055263157894725</v>
      </c>
      <c r="BR92" s="64">
        <f>IF(W92&gt;0.000001,W92*352,0)</f>
        <v>563.19999999999993</v>
      </c>
      <c r="BS92" s="64">
        <f>IF(AE92&gt;0.0001,AE92*682,0)</f>
        <v>654.72</v>
      </c>
      <c r="BT92" s="64">
        <f>AA92*795</f>
        <v>0</v>
      </c>
      <c r="BU92" s="64">
        <f>BR92+BS92+BT92</f>
        <v>1217.92</v>
      </c>
      <c r="BV92" s="64">
        <f>IF(G92="YES",3.5*18.2,0)</f>
        <v>63.699999999999996</v>
      </c>
      <c r="BW92" s="64">
        <f>BU92-BV92</f>
        <v>1154.22</v>
      </c>
    </row>
    <row r="93" spans="1:75" x14ac:dyDescent="0.15">
      <c r="A93" s="29" t="s">
        <v>1403</v>
      </c>
      <c r="B93" s="29">
        <v>10</v>
      </c>
      <c r="C93" s="29" t="s">
        <v>1473</v>
      </c>
      <c r="D93" s="29" t="s">
        <v>547</v>
      </c>
      <c r="E93" s="29" t="e">
        <f>VLOOKUP(D93,Harvest_2017_Formulae!$C$2:$D$968,2,FALSE)</f>
        <v>#N/A</v>
      </c>
      <c r="F93" s="29" t="s">
        <v>777</v>
      </c>
      <c r="G93" s="61" t="s">
        <v>548</v>
      </c>
      <c r="H93" s="29" t="s">
        <v>568</v>
      </c>
      <c r="I93" s="29" t="s">
        <v>548</v>
      </c>
      <c r="J93" s="29" t="s">
        <v>546</v>
      </c>
      <c r="K93" s="29" t="s">
        <v>548</v>
      </c>
      <c r="L93" s="29" t="s">
        <v>2221</v>
      </c>
      <c r="M93" s="29" t="s">
        <v>548</v>
      </c>
      <c r="N93" s="29" t="s">
        <v>548</v>
      </c>
      <c r="O93" s="29" t="s">
        <v>550</v>
      </c>
      <c r="P93" s="29">
        <v>0.75</v>
      </c>
      <c r="Q93" s="29">
        <v>2.25</v>
      </c>
      <c r="R93" s="29">
        <v>6</v>
      </c>
      <c r="S93" s="29" t="s">
        <v>548</v>
      </c>
      <c r="T93" s="29">
        <v>1</v>
      </c>
      <c r="U93" s="29">
        <v>7</v>
      </c>
      <c r="V93" s="29" t="s">
        <v>551</v>
      </c>
      <c r="W93" s="30">
        <v>1.6800000000000002</v>
      </c>
      <c r="Y93" s="29">
        <v>999</v>
      </c>
      <c r="Z93" s="29" t="s">
        <v>551</v>
      </c>
      <c r="AA93" s="62"/>
      <c r="AB93" s="29">
        <v>1</v>
      </c>
      <c r="AC93" s="29">
        <v>2</v>
      </c>
      <c r="AD93" s="29" t="s">
        <v>551</v>
      </c>
      <c r="AE93" s="62">
        <v>0.48</v>
      </c>
      <c r="AF93" s="29" t="s">
        <v>548</v>
      </c>
      <c r="AG93" s="29" t="s">
        <v>548</v>
      </c>
      <c r="AH93" s="29" t="s">
        <v>548</v>
      </c>
      <c r="AI93" s="29" t="s">
        <v>548</v>
      </c>
      <c r="AJ93" s="29" t="s">
        <v>548</v>
      </c>
      <c r="AK93" s="29">
        <v>5</v>
      </c>
      <c r="AL93" s="29">
        <v>6</v>
      </c>
      <c r="AM93" s="29" t="s">
        <v>1474</v>
      </c>
      <c r="AN93" s="29" t="s">
        <v>1475</v>
      </c>
      <c r="AO93" s="29">
        <v>-4.287409782409668</v>
      </c>
      <c r="AP93" s="29">
        <v>35.866935729980469</v>
      </c>
      <c r="AQ93" s="29">
        <v>1271.699951171875</v>
      </c>
      <c r="AR93" s="29">
        <v>5</v>
      </c>
      <c r="AS93" s="29">
        <v>1705231439</v>
      </c>
      <c r="AT93" s="29" t="s">
        <v>1476</v>
      </c>
      <c r="AU93" s="31">
        <v>42893.596550925926</v>
      </c>
      <c r="AV93" s="31">
        <v>42893.521886574075</v>
      </c>
      <c r="AW93" s="31">
        <v>42893.544004629628</v>
      </c>
      <c r="AX93" s="32">
        <v>42737</v>
      </c>
      <c r="BD93" s="29" t="s">
        <v>2171</v>
      </c>
      <c r="BE93" s="29">
        <v>1.7505050897600001</v>
      </c>
      <c r="BF93" s="29" t="str">
        <f>IF(BE93&lt;0.5,"Depression",IF(BE93&lt;2,"Very gentle",IF(BE93&lt;5,"Gentle",IF(BE93&lt;9,"Moderate",IF(BE93&lt;15,"Strong",IF(BE93&lt;30,"Steep",IF(BE93&lt;1,"Very steep")))))))</f>
        <v>Very gentle</v>
      </c>
      <c r="BG93" s="29" t="s">
        <v>2173</v>
      </c>
      <c r="BH93" s="29">
        <v>0.18129228055499999</v>
      </c>
      <c r="BI93" s="43">
        <v>11.0446929932</v>
      </c>
      <c r="BJ93" s="43"/>
      <c r="BK93" s="43"/>
      <c r="BL93" s="43"/>
      <c r="BM93" s="43"/>
      <c r="BN93" s="60"/>
      <c r="BO93" s="43"/>
      <c r="BP93" s="43"/>
      <c r="BQ93" s="43"/>
      <c r="BR93" s="64">
        <f>IF(W93&gt;0.000001,W93*352,0)</f>
        <v>591.36</v>
      </c>
      <c r="BS93" s="64">
        <f>IF(AE93&gt;0.0001,AE93*682,0)</f>
        <v>327.36</v>
      </c>
      <c r="BT93" s="64">
        <f>AA93*795</f>
        <v>0</v>
      </c>
      <c r="BU93" s="64">
        <f>BR93+BS93+BT93</f>
        <v>918.72</v>
      </c>
      <c r="BV93" s="64">
        <f>IF(G93="YES",3.5*18.2,0)</f>
        <v>63.699999999999996</v>
      </c>
      <c r="BW93" s="64">
        <f>BU93-BV93</f>
        <v>855.02</v>
      </c>
    </row>
    <row r="94" spans="1:75" x14ac:dyDescent="0.15">
      <c r="A94" s="29" t="s">
        <v>556</v>
      </c>
      <c r="B94" s="29">
        <v>182</v>
      </c>
      <c r="C94" s="29" t="s">
        <v>94</v>
      </c>
      <c r="D94" s="29" t="s">
        <v>94</v>
      </c>
      <c r="E94" s="29" t="str">
        <f>VLOOKUP(D94,Harvest_2017_Formulae!$C$2:$D$968,2,FALSE)</f>
        <v>DURU</v>
      </c>
      <c r="F94" s="29" t="s">
        <v>645</v>
      </c>
      <c r="G94" s="61" t="s">
        <v>548</v>
      </c>
      <c r="H94" s="29" t="s">
        <v>568</v>
      </c>
      <c r="I94" s="29" t="s">
        <v>546</v>
      </c>
      <c r="J94" s="29" t="s">
        <v>546</v>
      </c>
      <c r="K94" s="29" t="s">
        <v>548</v>
      </c>
      <c r="L94" s="29" t="s">
        <v>2220</v>
      </c>
      <c r="M94" s="29" t="s">
        <v>546</v>
      </c>
      <c r="N94" s="29" t="s">
        <v>546</v>
      </c>
      <c r="O94" s="29" t="s">
        <v>547</v>
      </c>
      <c r="P94" s="29">
        <v>0.25</v>
      </c>
      <c r="S94" s="29" t="s">
        <v>546</v>
      </c>
      <c r="T94" s="29">
        <v>0.25</v>
      </c>
      <c r="U94" s="29">
        <v>2</v>
      </c>
      <c r="V94" s="29" t="s">
        <v>551</v>
      </c>
      <c r="W94" s="30">
        <v>1.92</v>
      </c>
      <c r="Y94" s="29">
        <v>999</v>
      </c>
      <c r="Z94" s="29" t="s">
        <v>551</v>
      </c>
      <c r="AA94" s="62"/>
      <c r="AB94" s="29">
        <v>0.25</v>
      </c>
      <c r="AC94" s="29">
        <v>4</v>
      </c>
      <c r="AD94" s="29" t="s">
        <v>552</v>
      </c>
      <c r="AE94" s="62">
        <v>0.64127999999999996</v>
      </c>
      <c r="AF94" s="29" t="s">
        <v>548</v>
      </c>
      <c r="AG94" s="29" t="s">
        <v>546</v>
      </c>
      <c r="AH94" s="29" t="s">
        <v>546</v>
      </c>
      <c r="AI94" s="29" t="s">
        <v>546</v>
      </c>
      <c r="AJ94" s="29" t="s">
        <v>546</v>
      </c>
      <c r="AK94" s="29">
        <v>1</v>
      </c>
      <c r="AL94" s="29">
        <v>2</v>
      </c>
      <c r="AM94" s="29" t="s">
        <v>653</v>
      </c>
      <c r="AN94" s="29" t="s">
        <v>654</v>
      </c>
      <c r="AO94" s="29">
        <v>-4.3583149909973145</v>
      </c>
      <c r="AP94" s="29">
        <v>35.590850830078125</v>
      </c>
      <c r="AQ94" s="29">
        <v>1538.5999755859375</v>
      </c>
      <c r="AR94" s="29">
        <v>5</v>
      </c>
      <c r="AS94" s="29">
        <v>1706031849</v>
      </c>
      <c r="AT94" s="29" t="s">
        <v>655</v>
      </c>
      <c r="AU94" s="31">
        <v>42926.575925925921</v>
      </c>
      <c r="AV94" s="31">
        <v>42921.595821759256</v>
      </c>
      <c r="AW94" s="31">
        <v>42921.62777777778</v>
      </c>
      <c r="AX94" s="32">
        <v>42748</v>
      </c>
      <c r="AZ94" s="44">
        <v>4.1918074074074072</v>
      </c>
      <c r="BA94" s="44">
        <v>5.5087407407407412</v>
      </c>
      <c r="BB94" s="44">
        <v>2.0924137931034488</v>
      </c>
      <c r="BC94" s="44">
        <v>1.9164750957854406</v>
      </c>
      <c r="BD94" s="29" t="s">
        <v>2179</v>
      </c>
      <c r="BE94" s="29">
        <v>2.7974951267199999</v>
      </c>
      <c r="BF94" s="29" t="str">
        <f>IF(BE94&lt;0.5,"Depression",IF(BE94&lt;2,"Very gentle",IF(BE94&lt;5,"Gentle",IF(BE94&lt;9,"Moderate",IF(BE94&lt;15,"Strong",IF(BE94&lt;30,"Steep",IF(BE94&lt;1,"Very steep")))))))</f>
        <v>Gentle</v>
      </c>
      <c r="BG94" s="29" t="s">
        <v>2172</v>
      </c>
      <c r="BH94" s="29">
        <v>-0.725126743317</v>
      </c>
      <c r="BI94" s="43">
        <v>10.1518363953</v>
      </c>
      <c r="BJ94" s="43">
        <f>VLOOKUP(D94,[1]SoilData!$G$15:$K$237,5,FALSE)</f>
        <v>596.11717215183614</v>
      </c>
      <c r="BK94" s="43">
        <f>VLOOKUP(D94,[1]SoilData!$G$245:$K$451,5,FALSE)</f>
        <v>422.89560012174923</v>
      </c>
      <c r="BL94" s="43">
        <f>VLOOKUP(D94,[1]SoilData!$G$15:$M$238,7,FALSE)</f>
        <v>2.403</v>
      </c>
      <c r="BM94" s="43">
        <f>VLOOKUP(D94,[1]SoilData!$G$245:$M$454,7,FALSE)</f>
        <v>0.91300000000000003</v>
      </c>
      <c r="BN94" s="60">
        <f>BL94-BM94</f>
        <v>1.49</v>
      </c>
      <c r="BO94" s="44">
        <f>AVERAGE(BB94:BC94)</f>
        <v>2.0044444444444447</v>
      </c>
      <c r="BP94" s="44">
        <f>AVERAGE(AZ94:BA94)</f>
        <v>4.8502740740740737</v>
      </c>
      <c r="BQ94" s="43">
        <f>BP94-BO94</f>
        <v>2.845829629629629</v>
      </c>
      <c r="BR94" s="64">
        <f>IF(W94&gt;0.000001,W94*352,0)</f>
        <v>675.83999999999992</v>
      </c>
      <c r="BS94" s="64">
        <f>IF(AE94&gt;0.0001,AE94*682,0)</f>
        <v>437.35296</v>
      </c>
      <c r="BT94" s="64">
        <f>AA94*795</f>
        <v>0</v>
      </c>
      <c r="BU94" s="64">
        <f>BR94+BS94+BT94</f>
        <v>1113.1929599999999</v>
      </c>
      <c r="BV94" s="64">
        <f>IF(G94="YES",3.5*18.2,0)</f>
        <v>63.699999999999996</v>
      </c>
      <c r="BW94" s="64">
        <f>BU94-BV94</f>
        <v>1049.4929599999998</v>
      </c>
    </row>
    <row r="95" spans="1:75" x14ac:dyDescent="0.15">
      <c r="A95" s="29" t="s">
        <v>789</v>
      </c>
      <c r="B95" s="29">
        <v>55</v>
      </c>
      <c r="C95" s="29" t="s">
        <v>368</v>
      </c>
      <c r="D95" s="29" t="s">
        <v>368</v>
      </c>
      <c r="E95" s="29" t="str">
        <f>VLOOKUP(D95,Harvest_2017_Formulae!$C$2:$D$968,2,FALSE)</f>
        <v>MANDI</v>
      </c>
      <c r="F95" s="29" t="s">
        <v>1014</v>
      </c>
      <c r="G95" s="61" t="s">
        <v>546</v>
      </c>
      <c r="H95" s="29" t="s">
        <v>547</v>
      </c>
      <c r="I95" s="29" t="s">
        <v>548</v>
      </c>
      <c r="J95" s="29" t="s">
        <v>546</v>
      </c>
      <c r="K95" s="29" t="s">
        <v>548</v>
      </c>
      <c r="L95" s="29" t="s">
        <v>2220</v>
      </c>
      <c r="M95" s="29" t="s">
        <v>548</v>
      </c>
      <c r="N95" s="29" t="s">
        <v>546</v>
      </c>
      <c r="O95" s="29" t="s">
        <v>547</v>
      </c>
      <c r="P95" s="29">
        <v>0.5</v>
      </c>
      <c r="Q95" s="29">
        <v>1</v>
      </c>
      <c r="R95" s="29">
        <v>0</v>
      </c>
      <c r="S95" s="29" t="s">
        <v>548</v>
      </c>
      <c r="T95" s="29">
        <v>1</v>
      </c>
      <c r="U95" s="29">
        <v>8</v>
      </c>
      <c r="V95" s="29" t="s">
        <v>551</v>
      </c>
      <c r="W95" s="30">
        <v>1.92</v>
      </c>
      <c r="Y95" s="29">
        <v>999</v>
      </c>
      <c r="Z95" s="29" t="s">
        <v>551</v>
      </c>
      <c r="AA95" s="62"/>
      <c r="AC95" s="29">
        <v>999</v>
      </c>
      <c r="AD95" s="29" t="s">
        <v>551</v>
      </c>
      <c r="AE95" s="62"/>
      <c r="AF95" s="29" t="s">
        <v>546</v>
      </c>
      <c r="AG95" s="29" t="s">
        <v>546</v>
      </c>
      <c r="AH95" s="29" t="s">
        <v>546</v>
      </c>
      <c r="AI95" s="29" t="s">
        <v>546</v>
      </c>
      <c r="AJ95" s="29" t="s">
        <v>546</v>
      </c>
      <c r="AK95" s="29">
        <v>0</v>
      </c>
      <c r="AL95" s="29">
        <v>3</v>
      </c>
      <c r="AM95" s="29" t="s">
        <v>1093</v>
      </c>
      <c r="AN95" s="29" t="s">
        <v>1094</v>
      </c>
      <c r="AO95" s="29">
        <v>-4.3410921096801758</v>
      </c>
      <c r="AP95" s="29">
        <v>35.419467926025391</v>
      </c>
      <c r="AQ95" s="29">
        <v>1643</v>
      </c>
      <c r="AR95" s="29">
        <v>5</v>
      </c>
      <c r="AS95" s="29">
        <v>1705231439</v>
      </c>
      <c r="AT95" s="29" t="s">
        <v>1095</v>
      </c>
      <c r="AU95" s="31">
        <v>42923.381793981476</v>
      </c>
      <c r="AV95" s="31">
        <v>42908.54515046296</v>
      </c>
      <c r="AW95" s="31">
        <v>42923.379259259258</v>
      </c>
      <c r="AX95" s="32">
        <v>42781</v>
      </c>
      <c r="AZ95" s="44">
        <v>2.08</v>
      </c>
      <c r="BA95" s="44">
        <v>1.4733333333333332</v>
      </c>
      <c r="BB95" s="44">
        <v>1.7436363636363637</v>
      </c>
      <c r="BC95" s="44"/>
      <c r="BD95" s="29" t="s">
        <v>2171</v>
      </c>
      <c r="BE95" s="29">
        <v>2.0972545146899999</v>
      </c>
      <c r="BF95" s="29" t="str">
        <f>IF(BE95&lt;0.5,"Depression",IF(BE95&lt;2,"Very gentle",IF(BE95&lt;5,"Gentle",IF(BE95&lt;9,"Moderate",IF(BE95&lt;15,"Strong",IF(BE95&lt;30,"Steep",IF(BE95&lt;1,"Very steep")))))))</f>
        <v>Gentle</v>
      </c>
      <c r="BG95" s="29" t="s">
        <v>2173</v>
      </c>
      <c r="BH95" s="29">
        <v>9.0650379657699995E-2</v>
      </c>
      <c r="BI95" s="43">
        <v>8.3043279647800006</v>
      </c>
      <c r="BJ95" s="43"/>
      <c r="BK95" s="43">
        <f>VLOOKUP(D95,[1]SoilData!$G$245:$K$451,5,FALSE)</f>
        <v>184.07203736697673</v>
      </c>
      <c r="BL95" s="43"/>
      <c r="BM95" s="43">
        <f>VLOOKUP(D95,[1]SoilData!$G$245:$M$454,7,FALSE)</f>
        <v>0.78700000000000003</v>
      </c>
      <c r="BN95" s="60"/>
      <c r="BO95" s="44">
        <f>AVERAGE(BB95:BC95)</f>
        <v>1.7436363636363637</v>
      </c>
      <c r="BP95" s="44">
        <f>AVERAGE(AZ95:BA95)</f>
        <v>1.7766666666666666</v>
      </c>
      <c r="BQ95" s="43">
        <f>BP95-BO95</f>
        <v>3.3030303030302965E-2</v>
      </c>
      <c r="BR95" s="64">
        <f>IF(W95&gt;0.000001,W95*352,0)</f>
        <v>675.83999999999992</v>
      </c>
      <c r="BS95" s="64">
        <f>IF(AE95&gt;0.0001,AE95*682,0)</f>
        <v>0</v>
      </c>
      <c r="BT95" s="64">
        <f>AA95*795</f>
        <v>0</v>
      </c>
      <c r="BU95" s="64">
        <f>BR95+BS95+BT95</f>
        <v>675.83999999999992</v>
      </c>
      <c r="BV95" s="64">
        <f>IF(G95="YES",3.5*18.2,0)</f>
        <v>0</v>
      </c>
      <c r="BW95" s="64">
        <f>BU95-BV95</f>
        <v>675.83999999999992</v>
      </c>
    </row>
    <row r="96" spans="1:75" s="33" customFormat="1" x14ac:dyDescent="0.15">
      <c r="A96" s="29" t="s">
        <v>1062</v>
      </c>
      <c r="B96" s="29">
        <v>212</v>
      </c>
      <c r="C96" s="29" t="s">
        <v>366</v>
      </c>
      <c r="D96" s="29" t="s">
        <v>366</v>
      </c>
      <c r="E96" s="29" t="str">
        <f>VLOOKUP(D96,Harvest_2017_Formulae!$C$2:$D$968,2,FALSE)</f>
        <v>MANDI</v>
      </c>
      <c r="F96" s="29" t="s">
        <v>1042</v>
      </c>
      <c r="G96" s="61" t="s">
        <v>546</v>
      </c>
      <c r="H96" s="29" t="s">
        <v>547</v>
      </c>
      <c r="I96" s="29" t="s">
        <v>546</v>
      </c>
      <c r="J96" s="29" t="s">
        <v>546</v>
      </c>
      <c r="K96" s="29" t="s">
        <v>548</v>
      </c>
      <c r="L96" s="29" t="s">
        <v>2221</v>
      </c>
      <c r="M96" s="29" t="s">
        <v>548</v>
      </c>
      <c r="N96" s="29" t="s">
        <v>548</v>
      </c>
      <c r="O96" s="29" t="s">
        <v>550</v>
      </c>
      <c r="P96" s="29">
        <v>0.25</v>
      </c>
      <c r="Q96" s="29">
        <v>0.75</v>
      </c>
      <c r="R96" s="29"/>
      <c r="S96" s="29" t="s">
        <v>548</v>
      </c>
      <c r="T96" s="29">
        <v>1</v>
      </c>
      <c r="U96" s="29">
        <v>9</v>
      </c>
      <c r="V96" s="29" t="s">
        <v>551</v>
      </c>
      <c r="W96" s="30">
        <v>2.16</v>
      </c>
      <c r="X96" s="29"/>
      <c r="Y96" s="29">
        <v>999</v>
      </c>
      <c r="Z96" s="29" t="s">
        <v>551</v>
      </c>
      <c r="AA96" s="62"/>
      <c r="AB96" s="29">
        <v>1</v>
      </c>
      <c r="AC96" s="29">
        <v>3</v>
      </c>
      <c r="AD96" s="29" t="s">
        <v>551</v>
      </c>
      <c r="AE96" s="62">
        <v>0.72</v>
      </c>
      <c r="AF96" s="29" t="s">
        <v>546</v>
      </c>
      <c r="AG96" s="29" t="s">
        <v>546</v>
      </c>
      <c r="AH96" s="29" t="s">
        <v>546</v>
      </c>
      <c r="AI96" s="29" t="s">
        <v>546</v>
      </c>
      <c r="AJ96" s="29" t="s">
        <v>546</v>
      </c>
      <c r="AK96" s="29">
        <v>0</v>
      </c>
      <c r="AL96" s="29">
        <v>3</v>
      </c>
      <c r="AM96" s="29" t="s">
        <v>1063</v>
      </c>
      <c r="AN96" s="29" t="s">
        <v>1064</v>
      </c>
      <c r="AO96" s="29">
        <v>-4.3393521308898926</v>
      </c>
      <c r="AP96" s="29">
        <v>35.444431304931641</v>
      </c>
      <c r="AQ96" s="29">
        <v>1585.300048828125</v>
      </c>
      <c r="AR96" s="29">
        <v>5</v>
      </c>
      <c r="AS96" s="29">
        <v>1706031849</v>
      </c>
      <c r="AT96" s="29" t="s">
        <v>1065</v>
      </c>
      <c r="AU96" s="31">
        <v>42950.967210648145</v>
      </c>
      <c r="AV96" s="31">
        <v>42928.52621527778</v>
      </c>
      <c r="AW96" s="31">
        <v>42950.876435185186</v>
      </c>
      <c r="AX96" s="32">
        <v>42770</v>
      </c>
      <c r="AY96" s="29"/>
      <c r="AZ96" s="44">
        <v>0.88611111111111118</v>
      </c>
      <c r="BA96" s="44">
        <v>0.88611111111111118</v>
      </c>
      <c r="BB96" s="44">
        <v>2.2025925925925929</v>
      </c>
      <c r="BC96" s="44">
        <v>1.8548148148148151</v>
      </c>
      <c r="BD96" s="29" t="s">
        <v>2171</v>
      </c>
      <c r="BE96" s="29">
        <v>3.3609845638300002</v>
      </c>
      <c r="BF96" s="29" t="str">
        <f>IF(BE96&lt;0.5,"Depression",IF(BE96&lt;2,"Very gentle",IF(BE96&lt;5,"Gentle",IF(BE96&lt;9,"Moderate",IF(BE96&lt;15,"Strong",IF(BE96&lt;30,"Steep",IF(BE96&lt;1,"Very steep")))))))</f>
        <v>Gentle</v>
      </c>
      <c r="BG96" s="29" t="s">
        <v>2173</v>
      </c>
      <c r="BH96" s="29">
        <v>9.0650379657699995E-2</v>
      </c>
      <c r="BI96" s="43">
        <v>9.5012483596799999</v>
      </c>
      <c r="BJ96" s="43"/>
      <c r="BK96" s="43"/>
      <c r="BL96" s="43"/>
      <c r="BM96" s="43"/>
      <c r="BN96" s="60"/>
      <c r="BO96" s="44">
        <f>AVERAGE(BB96:BC96)</f>
        <v>2.0287037037037039</v>
      </c>
      <c r="BP96" s="44">
        <f>AVERAGE(AZ96:BA96)</f>
        <v>0.88611111111111118</v>
      </c>
      <c r="BQ96" s="43">
        <f>BP96-BO96</f>
        <v>-1.1425925925925928</v>
      </c>
      <c r="BR96" s="64">
        <f>IF(W96&gt;0.000001,W96*352,0)</f>
        <v>760.32</v>
      </c>
      <c r="BS96" s="64">
        <f>IF(AE96&gt;0.0001,AE96*682,0)</f>
        <v>491.03999999999996</v>
      </c>
      <c r="BT96" s="64">
        <f>AA96*795</f>
        <v>0</v>
      </c>
      <c r="BU96" s="64">
        <f>BR96+BS96+BT96</f>
        <v>1251.3600000000001</v>
      </c>
      <c r="BV96" s="64">
        <f>IF(G96="YES",3.5*18.2,0)</f>
        <v>0</v>
      </c>
      <c r="BW96" s="64">
        <f>BU96-BV96</f>
        <v>1251.3600000000001</v>
      </c>
    </row>
    <row r="97" spans="1:75" x14ac:dyDescent="0.15">
      <c r="A97" s="29" t="s">
        <v>556</v>
      </c>
      <c r="B97" s="29">
        <v>211</v>
      </c>
      <c r="C97" s="29" t="s">
        <v>342</v>
      </c>
      <c r="D97" s="29" t="s">
        <v>342</v>
      </c>
      <c r="E97" s="29" t="str">
        <f>VLOOKUP(D97,Harvest_2017_Formulae!$C$2:$D$968,2,FALSE)</f>
        <v>ENDAGWE</v>
      </c>
      <c r="F97" s="29" t="s">
        <v>732</v>
      </c>
      <c r="G97" s="61" t="s">
        <v>546</v>
      </c>
      <c r="H97" s="29" t="s">
        <v>547</v>
      </c>
      <c r="I97" s="29" t="s">
        <v>548</v>
      </c>
      <c r="J97" s="29" t="s">
        <v>546</v>
      </c>
      <c r="K97" s="29" t="s">
        <v>548</v>
      </c>
      <c r="L97" s="29" t="s">
        <v>2221</v>
      </c>
      <c r="M97" s="29" t="s">
        <v>546</v>
      </c>
      <c r="N97" s="29" t="s">
        <v>548</v>
      </c>
      <c r="O97" s="29" t="s">
        <v>550</v>
      </c>
      <c r="P97" s="29">
        <v>0.25</v>
      </c>
      <c r="Q97" s="29">
        <v>1.25</v>
      </c>
      <c r="S97" s="29" t="s">
        <v>548</v>
      </c>
      <c r="T97" s="29">
        <v>0.5</v>
      </c>
      <c r="U97" s="29">
        <v>3</v>
      </c>
      <c r="V97" s="29" t="s">
        <v>551</v>
      </c>
      <c r="W97" s="30">
        <v>1.4400000000000002</v>
      </c>
      <c r="Y97" s="29">
        <v>999</v>
      </c>
      <c r="Z97" s="29" t="s">
        <v>551</v>
      </c>
      <c r="AA97" s="62"/>
      <c r="AB97" s="29">
        <v>0.5</v>
      </c>
      <c r="AC97" s="29">
        <v>4</v>
      </c>
      <c r="AD97" s="29" t="s">
        <v>552</v>
      </c>
      <c r="AE97" s="62">
        <v>0.32063999999999998</v>
      </c>
      <c r="AF97" s="29" t="s">
        <v>546</v>
      </c>
      <c r="AG97" s="29" t="s">
        <v>546</v>
      </c>
      <c r="AH97" s="29" t="s">
        <v>546</v>
      </c>
      <c r="AI97" s="29" t="s">
        <v>546</v>
      </c>
      <c r="AJ97" s="29" t="s">
        <v>546</v>
      </c>
      <c r="AK97" s="29">
        <v>0</v>
      </c>
      <c r="AL97" s="29">
        <v>2</v>
      </c>
      <c r="AM97" s="29" t="s">
        <v>746</v>
      </c>
      <c r="AN97" s="29" t="s">
        <v>747</v>
      </c>
      <c r="AO97" s="29">
        <v>-4.3565845489501953</v>
      </c>
      <c r="AP97" s="29">
        <v>35.647743225097656</v>
      </c>
      <c r="AQ97" s="29">
        <v>1576.4000244140625</v>
      </c>
      <c r="AR97" s="29">
        <v>5</v>
      </c>
      <c r="AS97" s="29">
        <v>1706031849</v>
      </c>
      <c r="AT97" s="29" t="s">
        <v>748</v>
      </c>
      <c r="AU97" s="31">
        <v>42950.967222222222</v>
      </c>
      <c r="AV97" s="31">
        <v>42934.38690972222</v>
      </c>
      <c r="AW97" s="31">
        <v>42950.884479166663</v>
      </c>
      <c r="AX97" s="32">
        <v>42769</v>
      </c>
      <c r="AZ97" s="44">
        <v>1.0721428571428573</v>
      </c>
      <c r="BA97" s="44">
        <v>1.0706349206349208</v>
      </c>
      <c r="BB97" s="44">
        <v>2.5317829457364343</v>
      </c>
      <c r="BC97" s="44">
        <v>3.7727131782945746</v>
      </c>
      <c r="BD97" s="29" t="s">
        <v>2171</v>
      </c>
      <c r="BE97" s="29">
        <v>3.7037451267199999</v>
      </c>
      <c r="BF97" s="29" t="str">
        <f>IF(BE97&lt;0.5,"Depression",IF(BE97&lt;2,"Very gentle",IF(BE97&lt;5,"Gentle",IF(BE97&lt;9,"Moderate",IF(BE97&lt;15,"Strong",IF(BE97&lt;30,"Steep",IF(BE97&lt;1,"Very steep")))))))</f>
        <v>Gentle</v>
      </c>
      <c r="BG97" s="29" t="s">
        <v>2173</v>
      </c>
      <c r="BH97" s="29">
        <v>-0.18127532303300001</v>
      </c>
      <c r="BI97" s="43">
        <v>9.8761577606199999</v>
      </c>
      <c r="BJ97" s="43">
        <f>VLOOKUP(D97,[1]SoilData!$G$15:$K$237,5,FALSE)</f>
        <v>181.51844753695775</v>
      </c>
      <c r="BK97" s="43">
        <f>VLOOKUP(D97,[1]SoilData!$G$245:$K$451,5,FALSE)</f>
        <v>629.67346270525377</v>
      </c>
      <c r="BL97" s="43">
        <f>VLOOKUP(D97,[1]SoilData!$G$15:$M$238,7,FALSE)</f>
        <v>1.1180000000000001</v>
      </c>
      <c r="BM97" s="43">
        <f>VLOOKUP(D97,[1]SoilData!$G$245:$M$454,7,FALSE)</f>
        <v>2.1070000000000002</v>
      </c>
      <c r="BN97" s="60">
        <f>BL97-BM97</f>
        <v>-0.9890000000000001</v>
      </c>
      <c r="BO97" s="44">
        <f>AVERAGE(BB97:BC97)</f>
        <v>3.1522480620155044</v>
      </c>
      <c r="BP97" s="44">
        <f>AVERAGE(AZ97:BA97)</f>
        <v>1.0713888888888889</v>
      </c>
      <c r="BQ97" s="43">
        <f>BP97-BO97</f>
        <v>-2.0808591731266155</v>
      </c>
      <c r="BR97" s="64">
        <f>IF(W97&gt;0.000001,W97*352,0)</f>
        <v>506.88000000000005</v>
      </c>
      <c r="BS97" s="64">
        <f>IF(AE97&gt;0.0001,AE97*682,0)</f>
        <v>218.67648</v>
      </c>
      <c r="BT97" s="64">
        <f>AA97*795</f>
        <v>0</v>
      </c>
      <c r="BU97" s="64">
        <f>BR97+BS97+BT97</f>
        <v>725.55648000000008</v>
      </c>
      <c r="BV97" s="64">
        <f>IF(G97="YES",3.5*18.2,0)</f>
        <v>0</v>
      </c>
      <c r="BW97" s="64">
        <f>BU97-BV97</f>
        <v>725.55648000000008</v>
      </c>
    </row>
    <row r="98" spans="1:75" x14ac:dyDescent="0.15">
      <c r="A98" s="29" t="s">
        <v>556</v>
      </c>
      <c r="B98" s="29">
        <v>121</v>
      </c>
      <c r="C98" s="29" t="s">
        <v>307</v>
      </c>
      <c r="D98" s="33" t="s">
        <v>307</v>
      </c>
      <c r="E98" s="29" t="e">
        <f>VLOOKUP(D98,Harvest_2017_Formulae!$C$2:$D$968,2,FALSE)</f>
        <v>#N/A</v>
      </c>
      <c r="F98" s="29" t="s">
        <v>196</v>
      </c>
      <c r="G98" s="61" t="s">
        <v>548</v>
      </c>
      <c r="H98" s="29" t="s">
        <v>568</v>
      </c>
      <c r="I98" s="29" t="s">
        <v>546</v>
      </c>
      <c r="J98" s="29" t="s">
        <v>546</v>
      </c>
      <c r="K98" s="29" t="s">
        <v>548</v>
      </c>
      <c r="L98" s="29" t="s">
        <v>2220</v>
      </c>
      <c r="M98" s="29" t="s">
        <v>546</v>
      </c>
      <c r="N98" s="29" t="s">
        <v>548</v>
      </c>
      <c r="O98" s="29" t="s">
        <v>550</v>
      </c>
      <c r="P98" s="29">
        <v>0.25</v>
      </c>
      <c r="Q98" s="29">
        <v>0.75</v>
      </c>
      <c r="S98" s="29" t="s">
        <v>548</v>
      </c>
      <c r="T98" s="29">
        <v>1</v>
      </c>
      <c r="U98" s="29">
        <v>9</v>
      </c>
      <c r="V98" s="29" t="s">
        <v>551</v>
      </c>
      <c r="W98" s="30">
        <v>2.16</v>
      </c>
      <c r="Y98" s="29">
        <v>999</v>
      </c>
      <c r="Z98" s="29" t="s">
        <v>551</v>
      </c>
      <c r="AA98" s="62"/>
      <c r="AB98" s="29">
        <v>1</v>
      </c>
      <c r="AC98" s="29">
        <v>3</v>
      </c>
      <c r="AD98" s="29" t="s">
        <v>551</v>
      </c>
      <c r="AE98" s="62">
        <v>0.72</v>
      </c>
      <c r="AF98" s="29" t="s">
        <v>546</v>
      </c>
      <c r="AG98" s="29" t="s">
        <v>546</v>
      </c>
      <c r="AH98" s="29" t="s">
        <v>546</v>
      </c>
      <c r="AI98" s="29" t="s">
        <v>546</v>
      </c>
      <c r="AJ98" s="29" t="s">
        <v>546</v>
      </c>
      <c r="AK98" s="29">
        <v>0</v>
      </c>
      <c r="AL98" s="29">
        <v>3</v>
      </c>
      <c r="AM98" s="29" t="s">
        <v>1470</v>
      </c>
      <c r="AN98" s="29" t="s">
        <v>1471</v>
      </c>
      <c r="AO98" s="29">
        <v>-4.2431526184082031</v>
      </c>
      <c r="AP98" s="29">
        <v>35.890655517578125</v>
      </c>
      <c r="AQ98" s="29">
        <v>1222</v>
      </c>
      <c r="AR98" s="29">
        <v>5</v>
      </c>
      <c r="AS98" s="29">
        <v>1706031849</v>
      </c>
      <c r="AT98" s="29" t="s">
        <v>1472</v>
      </c>
      <c r="AU98" s="31">
        <v>42906.49899305556</v>
      </c>
      <c r="AV98" s="31">
        <v>42905.643553240741</v>
      </c>
      <c r="AW98" s="31">
        <v>42905.675625000003</v>
      </c>
      <c r="AX98" s="32">
        <v>42769</v>
      </c>
      <c r="BD98" s="29" t="s">
        <v>2171</v>
      </c>
      <c r="BE98" s="29">
        <v>1.2451889514900001</v>
      </c>
      <c r="BF98" s="29" t="str">
        <f>IF(BE98&lt;0.5,"Depression",IF(BE98&lt;2,"Very gentle",IF(BE98&lt;5,"Gentle",IF(BE98&lt;9,"Moderate",IF(BE98&lt;15,"Strong",IF(BE98&lt;30,"Steep",IF(BE98&lt;1,"Very steep")))))))</f>
        <v>Very gentle</v>
      </c>
      <c r="BG98" s="29" t="s">
        <v>2173</v>
      </c>
      <c r="BH98" s="29">
        <v>0.18129228055499999</v>
      </c>
      <c r="BI98" s="43">
        <v>10.190670967100001</v>
      </c>
      <c r="BJ98" s="43"/>
      <c r="BK98" s="43"/>
      <c r="BL98" s="43"/>
      <c r="BM98" s="43"/>
      <c r="BN98" s="60"/>
      <c r="BO98" s="43"/>
      <c r="BP98" s="43"/>
      <c r="BQ98" s="43"/>
      <c r="BR98" s="64">
        <f>IF(W98&gt;0.000001,W98*352,0)</f>
        <v>760.32</v>
      </c>
      <c r="BS98" s="64">
        <f>IF(AE98&gt;0.0001,AE98*682,0)</f>
        <v>491.03999999999996</v>
      </c>
      <c r="BT98" s="64">
        <f>AA98*795</f>
        <v>0</v>
      </c>
      <c r="BU98" s="64">
        <f>BR98+BS98+BT98</f>
        <v>1251.3600000000001</v>
      </c>
      <c r="BV98" s="64">
        <f>IF(G98="YES",3.5*18.2,0)</f>
        <v>63.699999999999996</v>
      </c>
      <c r="BW98" s="64">
        <f>BU98-BV98</f>
        <v>1187.6600000000001</v>
      </c>
    </row>
    <row r="99" spans="1:75" x14ac:dyDescent="0.15">
      <c r="A99" s="29" t="s">
        <v>556</v>
      </c>
      <c r="B99" s="29">
        <v>208</v>
      </c>
      <c r="C99" s="29" t="s">
        <v>1391</v>
      </c>
      <c r="D99" s="29" t="s">
        <v>410</v>
      </c>
      <c r="E99" s="29" t="str">
        <f>VLOOKUP(D99,Harvest_2017_Formulae!$C$2:$D$968,2,FALSE)</f>
        <v>TSAMASI</v>
      </c>
      <c r="F99" s="29" t="s">
        <v>1014</v>
      </c>
      <c r="G99" s="61" t="s">
        <v>548</v>
      </c>
      <c r="H99" s="29" t="s">
        <v>568</v>
      </c>
      <c r="I99" s="29" t="s">
        <v>546</v>
      </c>
      <c r="J99" s="29" t="s">
        <v>546</v>
      </c>
      <c r="K99" s="29" t="s">
        <v>548</v>
      </c>
      <c r="L99" s="29" t="s">
        <v>2220</v>
      </c>
      <c r="M99" s="29" t="s">
        <v>546</v>
      </c>
      <c r="N99" s="29" t="s">
        <v>548</v>
      </c>
      <c r="O99" s="29" t="s">
        <v>550</v>
      </c>
      <c r="P99" s="29">
        <v>0.25</v>
      </c>
      <c r="Q99" s="29">
        <v>0.25</v>
      </c>
      <c r="S99" s="29" t="s">
        <v>546</v>
      </c>
      <c r="T99" s="29">
        <v>0.5</v>
      </c>
      <c r="U99" s="29">
        <v>4</v>
      </c>
      <c r="V99" s="29" t="s">
        <v>551</v>
      </c>
      <c r="W99" s="30">
        <v>1.92</v>
      </c>
      <c r="Y99" s="29">
        <v>999</v>
      </c>
      <c r="Z99" s="29" t="s">
        <v>551</v>
      </c>
      <c r="AA99" s="62"/>
      <c r="AB99" s="29">
        <v>0.5</v>
      </c>
      <c r="AC99" s="29">
        <v>1</v>
      </c>
      <c r="AD99" s="29" t="s">
        <v>551</v>
      </c>
      <c r="AE99" s="62">
        <v>0.48</v>
      </c>
      <c r="AF99" s="29" t="s">
        <v>546</v>
      </c>
      <c r="AG99" s="29" t="s">
        <v>546</v>
      </c>
      <c r="AH99" s="29" t="s">
        <v>548</v>
      </c>
      <c r="AI99" s="29" t="s">
        <v>546</v>
      </c>
      <c r="AJ99" s="29" t="s">
        <v>546</v>
      </c>
      <c r="AK99" s="29">
        <v>1</v>
      </c>
      <c r="AL99" s="29">
        <v>3</v>
      </c>
      <c r="AM99" s="29" t="s">
        <v>1392</v>
      </c>
      <c r="AN99" s="29" t="s">
        <v>1393</v>
      </c>
      <c r="AO99" s="29">
        <v>-4.2894182205200195</v>
      </c>
      <c r="AP99" s="29">
        <v>35.829944610595703</v>
      </c>
      <c r="AQ99" s="29">
        <v>1322</v>
      </c>
      <c r="AR99" s="29">
        <v>5</v>
      </c>
      <c r="AS99" s="29">
        <v>1706031849</v>
      </c>
      <c r="AT99" s="29" t="s">
        <v>1394</v>
      </c>
      <c r="AU99" s="31">
        <v>42948.908761574072</v>
      </c>
      <c r="AV99" s="31">
        <v>42938.430034722223</v>
      </c>
      <c r="AW99" s="31">
        <v>42938.465555555551</v>
      </c>
      <c r="AX99" s="32">
        <v>42800</v>
      </c>
      <c r="AZ99" s="44">
        <v>4.8997714736012616</v>
      </c>
      <c r="BA99" s="44">
        <v>3.4404806934594174</v>
      </c>
      <c r="BB99" s="44">
        <v>1.8176767676767676</v>
      </c>
      <c r="BC99" s="44">
        <v>1.9905050505050506</v>
      </c>
      <c r="BD99" s="29" t="s">
        <v>2171</v>
      </c>
      <c r="BE99" s="29">
        <v>4.0479316711399997</v>
      </c>
      <c r="BF99" s="29" t="str">
        <f>IF(BE99&lt;0.5,"Depression",IF(BE99&lt;2,"Very gentle",IF(BE99&lt;5,"Gentle",IF(BE99&lt;9,"Moderate",IF(BE99&lt;15,"Strong",IF(BE99&lt;30,"Steep",IF(BE99&lt;1,"Very steep")))))))</f>
        <v>Gentle</v>
      </c>
      <c r="BG99" s="29" t="s">
        <v>2173</v>
      </c>
      <c r="BH99" s="29">
        <v>0.36257606744799997</v>
      </c>
      <c r="BI99" s="43">
        <v>8.5629081726099994</v>
      </c>
      <c r="BJ99" s="43">
        <f>VLOOKUP(D99,[1]SoilData!$G$15:$K$237,5,FALSE)</f>
        <v>311.69265136909911</v>
      </c>
      <c r="BK99" s="43">
        <f>VLOOKUP(D99,[1]SoilData!$G$245:$K$451,5,FALSE)</f>
        <v>363.32363792760424</v>
      </c>
      <c r="BL99" s="43">
        <f>VLOOKUP(D99,[1]SoilData!$G$15:$M$238,7,FALSE)</f>
        <v>1.71</v>
      </c>
      <c r="BM99" s="43">
        <f>VLOOKUP(D99,[1]SoilData!$G$245:$M$454,7,FALSE)</f>
        <v>1.194</v>
      </c>
      <c r="BN99" s="60">
        <f>BL99-BM99</f>
        <v>0.51600000000000001</v>
      </c>
      <c r="BO99" s="44">
        <f>AVERAGE(BB99:BC99)</f>
        <v>1.9040909090909091</v>
      </c>
      <c r="BP99" s="44">
        <f>AVERAGE(AZ99:BA99)</f>
        <v>4.1701260835303398</v>
      </c>
      <c r="BQ99" s="43">
        <f>BP99-BO99</f>
        <v>2.2660351744394305</v>
      </c>
      <c r="BR99" s="64">
        <f>IF(W99&gt;0.000001,W99*352,0)</f>
        <v>675.83999999999992</v>
      </c>
      <c r="BS99" s="64">
        <f>IF(AE99&gt;0.0001,AE99*682,0)</f>
        <v>327.36</v>
      </c>
      <c r="BT99" s="64">
        <f>AA99*795</f>
        <v>0</v>
      </c>
      <c r="BU99" s="64">
        <f>BR99+BS99+BT99</f>
        <v>1003.1999999999999</v>
      </c>
      <c r="BV99" s="64">
        <f>IF(G99="YES",3.5*18.2,0)</f>
        <v>63.699999999999996</v>
      </c>
      <c r="BW99" s="64">
        <f>BU99-BV99</f>
        <v>939.49999999999989</v>
      </c>
    </row>
    <row r="100" spans="1:75" x14ac:dyDescent="0.15">
      <c r="A100" s="29" t="s">
        <v>556</v>
      </c>
      <c r="B100" s="29">
        <v>201</v>
      </c>
      <c r="C100" s="29" t="s">
        <v>1353</v>
      </c>
      <c r="D100" s="29" t="s">
        <v>401</v>
      </c>
      <c r="E100" s="29" t="str">
        <f>VLOOKUP(D100,Harvest_2017_Formulae!$C$2:$D$968,2,FALSE)</f>
        <v>TSAMASI</v>
      </c>
      <c r="F100" s="29" t="s">
        <v>1014</v>
      </c>
      <c r="G100" s="61" t="s">
        <v>546</v>
      </c>
      <c r="H100" s="29" t="s">
        <v>547</v>
      </c>
      <c r="I100" s="29" t="s">
        <v>548</v>
      </c>
      <c r="J100" s="29" t="s">
        <v>546</v>
      </c>
      <c r="K100" s="29" t="s">
        <v>548</v>
      </c>
      <c r="L100" s="29" t="s">
        <v>2220</v>
      </c>
      <c r="M100" s="29" t="s">
        <v>546</v>
      </c>
      <c r="N100" s="29" t="s">
        <v>548</v>
      </c>
      <c r="O100" s="29" t="s">
        <v>550</v>
      </c>
      <c r="P100" s="29">
        <v>0.25</v>
      </c>
      <c r="Q100" s="29">
        <v>1.75</v>
      </c>
      <c r="S100" s="29" t="s">
        <v>546</v>
      </c>
      <c r="T100" s="29">
        <v>2</v>
      </c>
      <c r="U100" s="29">
        <v>3</v>
      </c>
      <c r="V100" s="29" t="s">
        <v>551</v>
      </c>
      <c r="W100" s="30">
        <v>0.36000000000000004</v>
      </c>
      <c r="Y100" s="29">
        <v>999</v>
      </c>
      <c r="Z100" s="29" t="s">
        <v>552</v>
      </c>
      <c r="AA100" s="62"/>
      <c r="AB100" s="29">
        <v>2</v>
      </c>
      <c r="AC100" s="29">
        <v>1</v>
      </c>
      <c r="AD100" s="29" t="s">
        <v>552</v>
      </c>
      <c r="AE100" s="62">
        <v>2.0039999999999999E-2</v>
      </c>
      <c r="AF100" s="29" t="s">
        <v>546</v>
      </c>
      <c r="AG100" s="29" t="s">
        <v>546</v>
      </c>
      <c r="AH100" s="29" t="s">
        <v>546</v>
      </c>
      <c r="AI100" s="29" t="s">
        <v>546</v>
      </c>
      <c r="AJ100" s="29" t="s">
        <v>546</v>
      </c>
      <c r="AK100" s="29">
        <v>0</v>
      </c>
      <c r="AL100" s="29">
        <v>2</v>
      </c>
      <c r="AM100" s="29" t="s">
        <v>1354</v>
      </c>
      <c r="AN100" s="29" t="s">
        <v>1355</v>
      </c>
      <c r="AO100" s="29">
        <v>-4.2895283699035645</v>
      </c>
      <c r="AP100" s="29">
        <v>35.826389312744141</v>
      </c>
      <c r="AQ100" s="29">
        <v>1317.800048828125</v>
      </c>
      <c r="AR100" s="29">
        <v>5</v>
      </c>
      <c r="AS100" s="29">
        <v>1706031849</v>
      </c>
      <c r="AT100" s="29" t="s">
        <v>1356</v>
      </c>
      <c r="AU100" s="31">
        <v>42948.908495370371</v>
      </c>
      <c r="AV100" s="31">
        <v>42938.485486111109</v>
      </c>
      <c r="AW100" s="31">
        <v>42938.493981481486</v>
      </c>
      <c r="AX100" s="32">
        <v>42794</v>
      </c>
      <c r="AZ100" s="44">
        <v>2.9907295173961841</v>
      </c>
      <c r="BA100" s="44">
        <v>2.8663748597081935</v>
      </c>
      <c r="BB100" s="44">
        <v>3.0733333333333337</v>
      </c>
      <c r="BC100" s="44">
        <v>2.3933333333333335</v>
      </c>
      <c r="BD100" s="29" t="s">
        <v>2179</v>
      </c>
      <c r="BE100" s="29">
        <v>2.4237968921699999</v>
      </c>
      <c r="BF100" s="29" t="str">
        <f>IF(BE100&lt;0.5,"Depression",IF(BE100&lt;2,"Very gentle",IF(BE100&lt;5,"Gentle",IF(BE100&lt;9,"Moderate",IF(BE100&lt;15,"Strong",IF(BE100&lt;30,"Steep",IF(BE100&lt;1,"Very steep")))))))</f>
        <v>Gentle</v>
      </c>
      <c r="BG100" s="29" t="s">
        <v>2173</v>
      </c>
      <c r="BH100" s="29">
        <v>9.0650379657699995E-2</v>
      </c>
      <c r="BI100" s="43">
        <v>11.2585916519</v>
      </c>
      <c r="BJ100" s="43">
        <f>VLOOKUP(D100,[1]SoilData!$G$15:$K$237,5,FALSE)</f>
        <v>329.54469884000144</v>
      </c>
      <c r="BK100" s="43">
        <f>VLOOKUP(D100,[1]SoilData!$G$245:$K$451,5,FALSE)</f>
        <v>156.77586661706525</v>
      </c>
      <c r="BL100" s="43">
        <f>VLOOKUP(D100,[1]SoilData!$G$15:$M$238,7,FALSE)</f>
        <v>1.198</v>
      </c>
      <c r="BM100" s="43">
        <f>VLOOKUP(D100,[1]SoilData!$G$245:$M$454,7,FALSE)</f>
        <v>1.036</v>
      </c>
      <c r="BN100" s="60">
        <f>BL100-BM100</f>
        <v>0.16199999999999992</v>
      </c>
      <c r="BO100" s="44">
        <f>AVERAGE(BB100:BC100)</f>
        <v>2.7333333333333334</v>
      </c>
      <c r="BP100" s="44">
        <f>AVERAGE(AZ100:BA100)</f>
        <v>2.9285521885521888</v>
      </c>
      <c r="BQ100" s="43">
        <f>BP100-BO100</f>
        <v>0.1952188552188554</v>
      </c>
      <c r="BR100" s="64">
        <f>IF(W100&gt;0.000001,W100*352,0)</f>
        <v>126.72000000000001</v>
      </c>
      <c r="BS100" s="64">
        <f>IF(AE100&gt;0.0001,AE100*682,0)</f>
        <v>13.66728</v>
      </c>
      <c r="BT100" s="64">
        <f>AA100*795</f>
        <v>0</v>
      </c>
      <c r="BU100" s="64">
        <f>BR100+BS100+BT100</f>
        <v>140.38728</v>
      </c>
      <c r="BV100" s="64">
        <f>IF(G100="YES",3.5*18.2,0)</f>
        <v>0</v>
      </c>
      <c r="BW100" s="64">
        <f>BU100-BV100</f>
        <v>140.38728</v>
      </c>
    </row>
    <row r="101" spans="1:75" s="39" customFormat="1" x14ac:dyDescent="0.15">
      <c r="A101" s="29" t="s">
        <v>789</v>
      </c>
      <c r="B101" s="29">
        <v>62</v>
      </c>
      <c r="C101" s="29" t="s">
        <v>257</v>
      </c>
      <c r="D101" s="29" t="s">
        <v>257</v>
      </c>
      <c r="E101" s="29" t="str">
        <f>VLOOKUP(D101,Harvest_2017_Formulae!$C$2:$D$968,2,FALSE)</f>
        <v>Sangara</v>
      </c>
      <c r="F101" s="29" t="s">
        <v>1014</v>
      </c>
      <c r="G101" s="61" t="s">
        <v>546</v>
      </c>
      <c r="H101" s="29" t="s">
        <v>547</v>
      </c>
      <c r="I101" s="29" t="s">
        <v>548</v>
      </c>
      <c r="J101" s="29" t="s">
        <v>546</v>
      </c>
      <c r="K101" s="29" t="s">
        <v>548</v>
      </c>
      <c r="L101" s="29" t="s">
        <v>2220</v>
      </c>
      <c r="M101" s="29" t="s">
        <v>546</v>
      </c>
      <c r="N101" s="29" t="s">
        <v>548</v>
      </c>
      <c r="O101" s="29" t="s">
        <v>1028</v>
      </c>
      <c r="P101" s="29">
        <v>0.25</v>
      </c>
      <c r="Q101" s="29">
        <v>2.5</v>
      </c>
      <c r="R101" s="29">
        <v>0</v>
      </c>
      <c r="S101" s="29" t="s">
        <v>548</v>
      </c>
      <c r="T101" s="29">
        <v>1</v>
      </c>
      <c r="U101" s="29">
        <v>5</v>
      </c>
      <c r="V101" s="29" t="s">
        <v>551</v>
      </c>
      <c r="W101" s="30">
        <v>1.2</v>
      </c>
      <c r="X101" s="29">
        <v>1</v>
      </c>
      <c r="Y101" s="29">
        <v>0</v>
      </c>
      <c r="Z101" s="29" t="s">
        <v>551</v>
      </c>
      <c r="AA101" s="62">
        <v>0</v>
      </c>
      <c r="AB101" s="29">
        <v>1</v>
      </c>
      <c r="AC101" s="29">
        <v>1.125</v>
      </c>
      <c r="AD101" s="29" t="s">
        <v>551</v>
      </c>
      <c r="AE101" s="62">
        <v>0.27</v>
      </c>
      <c r="AF101" s="29" t="s">
        <v>546</v>
      </c>
      <c r="AG101" s="29" t="s">
        <v>546</v>
      </c>
      <c r="AH101" s="29" t="s">
        <v>546</v>
      </c>
      <c r="AI101" s="29" t="s">
        <v>546</v>
      </c>
      <c r="AJ101" s="29" t="s">
        <v>546</v>
      </c>
      <c r="AK101" s="29">
        <v>0</v>
      </c>
      <c r="AL101" s="29">
        <v>3</v>
      </c>
      <c r="AM101" s="29" t="s">
        <v>1245</v>
      </c>
      <c r="AN101" s="29" t="s">
        <v>1246</v>
      </c>
      <c r="AO101" s="29">
        <v>-4.2805089950561523</v>
      </c>
      <c r="AP101" s="29">
        <v>35.627761840820312</v>
      </c>
      <c r="AQ101" s="29">
        <v>1422.0999755859375</v>
      </c>
      <c r="AR101" s="29">
        <v>10</v>
      </c>
      <c r="AS101" s="29">
        <v>1705231439</v>
      </c>
      <c r="AT101" s="29" t="s">
        <v>1247</v>
      </c>
      <c r="AU101" s="31">
        <v>42923.387048611112</v>
      </c>
      <c r="AV101" s="31">
        <v>42900.504224537042</v>
      </c>
      <c r="AW101" s="31">
        <v>42923.386435185181</v>
      </c>
      <c r="AX101" s="32">
        <v>42745</v>
      </c>
      <c r="AY101" s="29"/>
      <c r="AZ101" s="44">
        <v>1.9647169811320753</v>
      </c>
      <c r="BA101" s="44">
        <v>1.3098113207547168</v>
      </c>
      <c r="BB101" s="44">
        <v>2.8661971830985924</v>
      </c>
      <c r="BC101" s="44">
        <v>3.3464788732394375</v>
      </c>
      <c r="BD101" s="29" t="s">
        <v>2179</v>
      </c>
      <c r="BE101" s="29">
        <v>8.6720476150499994</v>
      </c>
      <c r="BF101" s="29" t="str">
        <f>IF(BE101&lt;0.5,"Depression",IF(BE101&lt;2,"Very gentle",IF(BE101&lt;5,"Gentle",IF(BE101&lt;9,"Moderate",IF(BE101&lt;15,"Strong",IF(BE101&lt;30,"Steep",IF(BE101&lt;1,"Very steep")))))))</f>
        <v>Moderate</v>
      </c>
      <c r="BG101" s="29" t="s">
        <v>2172</v>
      </c>
      <c r="BH101" s="29">
        <v>-0.54384291171999999</v>
      </c>
      <c r="BI101" s="43">
        <v>8.2298650741599992</v>
      </c>
      <c r="BJ101" s="43">
        <f>VLOOKUP(D101,[1]SoilData!$G$15:$K$237,5,FALSE)</f>
        <v>46.728885009081537</v>
      </c>
      <c r="BK101" s="43">
        <f>VLOOKUP(D101,[1]SoilData!$G$245:$K$451,5,FALSE)</f>
        <v>313.03855933993242</v>
      </c>
      <c r="BL101" s="43">
        <f>VLOOKUP(D101,[1]SoilData!$G$15:$M$238,7,FALSE)</f>
        <v>0.48699999999999999</v>
      </c>
      <c r="BM101" s="43">
        <f>VLOOKUP(D101,[1]SoilData!$G$245:$M$454,7,FALSE)</f>
        <v>0.93899999999999995</v>
      </c>
      <c r="BN101" s="60">
        <f>BL101-BM101</f>
        <v>-0.45199999999999996</v>
      </c>
      <c r="BO101" s="44">
        <f>AVERAGE(BB101:BC101)</f>
        <v>3.1063380281690147</v>
      </c>
      <c r="BP101" s="44">
        <f>AVERAGE(AZ101:BA101)</f>
        <v>1.6372641509433961</v>
      </c>
      <c r="BQ101" s="43">
        <f>BP101-BO101</f>
        <v>-1.4690738772256187</v>
      </c>
      <c r="BR101" s="64">
        <f>IF(W101&gt;0.000001,W101*352,0)</f>
        <v>422.4</v>
      </c>
      <c r="BS101" s="64">
        <f>IF(AE101&gt;0.0001,AE101*682,0)</f>
        <v>184.14000000000001</v>
      </c>
      <c r="BT101" s="64">
        <f>AA101*795</f>
        <v>0</v>
      </c>
      <c r="BU101" s="64">
        <f>BR101+BS101+BT101</f>
        <v>606.54</v>
      </c>
      <c r="BV101" s="64">
        <f>IF(G101="YES",3.5*18.2,0)</f>
        <v>0</v>
      </c>
      <c r="BW101" s="64">
        <f>BU101-BV101</f>
        <v>606.54</v>
      </c>
    </row>
    <row r="102" spans="1:75" x14ac:dyDescent="0.15">
      <c r="A102" s="29" t="s">
        <v>556</v>
      </c>
      <c r="B102" s="29">
        <v>149</v>
      </c>
      <c r="C102" s="29" t="s">
        <v>316</v>
      </c>
      <c r="D102" s="29" t="s">
        <v>316</v>
      </c>
      <c r="E102" s="29" t="str">
        <f>VLOOKUP(D102,Harvest_2017_Formulae!$C$2:$D$968,2,FALSE)</f>
        <v>AYAMANGO</v>
      </c>
      <c r="F102" s="29" t="s">
        <v>196</v>
      </c>
      <c r="G102" s="61" t="s">
        <v>548</v>
      </c>
      <c r="H102" s="29" t="s">
        <v>568</v>
      </c>
      <c r="I102" s="29" t="s">
        <v>548</v>
      </c>
      <c r="J102" s="29" t="s">
        <v>546</v>
      </c>
      <c r="K102" s="29" t="s">
        <v>548</v>
      </c>
      <c r="L102" s="29" t="s">
        <v>2221</v>
      </c>
      <c r="M102" s="29" t="s">
        <v>546</v>
      </c>
      <c r="N102" s="29" t="s">
        <v>548</v>
      </c>
      <c r="O102" s="29" t="s">
        <v>550</v>
      </c>
      <c r="P102" s="29">
        <v>0.25</v>
      </c>
      <c r="Q102" s="29">
        <v>5.75</v>
      </c>
      <c r="S102" s="29" t="s">
        <v>548</v>
      </c>
      <c r="T102" s="29">
        <v>6</v>
      </c>
      <c r="U102" s="29">
        <v>30</v>
      </c>
      <c r="V102" s="29" t="s">
        <v>551</v>
      </c>
      <c r="W102" s="30">
        <v>1.2</v>
      </c>
      <c r="Y102" s="29">
        <v>999</v>
      </c>
      <c r="Z102" s="29" t="s">
        <v>551</v>
      </c>
      <c r="AA102" s="62"/>
      <c r="AB102" s="29">
        <v>6</v>
      </c>
      <c r="AC102" s="29">
        <v>16</v>
      </c>
      <c r="AD102" s="29" t="s">
        <v>551</v>
      </c>
      <c r="AE102" s="62">
        <v>0.64</v>
      </c>
      <c r="AF102" s="29" t="s">
        <v>548</v>
      </c>
      <c r="AG102" s="29" t="s">
        <v>548</v>
      </c>
      <c r="AH102" s="29" t="s">
        <v>548</v>
      </c>
      <c r="AI102" s="29" t="s">
        <v>548</v>
      </c>
      <c r="AJ102" s="29" t="s">
        <v>548</v>
      </c>
      <c r="AK102" s="29">
        <v>5</v>
      </c>
      <c r="AL102" s="29">
        <v>3</v>
      </c>
      <c r="AM102" s="29" t="s">
        <v>597</v>
      </c>
      <c r="AN102" s="29" t="s">
        <v>598</v>
      </c>
      <c r="AO102" s="29">
        <v>-4.2389602661132812</v>
      </c>
      <c r="AP102" s="29">
        <v>35.907527923583984</v>
      </c>
      <c r="AQ102" s="29">
        <v>1229.199951171875</v>
      </c>
      <c r="AR102" s="29">
        <v>5</v>
      </c>
      <c r="AS102" s="29">
        <v>1706031849</v>
      </c>
      <c r="AT102" s="29" t="s">
        <v>599</v>
      </c>
      <c r="AU102" s="31">
        <v>42913.638599537036</v>
      </c>
      <c r="AV102" s="31">
        <v>42908.625891203701</v>
      </c>
      <c r="AW102" s="31">
        <v>42908.633298611108</v>
      </c>
      <c r="AX102" s="32">
        <v>42779</v>
      </c>
      <c r="AZ102" s="44">
        <v>3.2077684407096179</v>
      </c>
      <c r="BA102" s="44">
        <v>2.4935387488328673</v>
      </c>
      <c r="BB102" s="44">
        <v>3.1042000000000005</v>
      </c>
      <c r="BC102" s="44">
        <v>3.1665333333333336</v>
      </c>
      <c r="BD102" s="29" t="s">
        <v>2171</v>
      </c>
      <c r="BE102" s="29">
        <v>2.5200860500300002</v>
      </c>
      <c r="BF102" s="29" t="str">
        <f>IF(BE102&lt;0.5,"Depression",IF(BE102&lt;2,"Very gentle",IF(BE102&lt;5,"Gentle",IF(BE102&lt;9,"Moderate",IF(BE102&lt;15,"Strong",IF(BE102&lt;30,"Steep",IF(BE102&lt;1,"Very steep")))))))</f>
        <v>Gentle</v>
      </c>
      <c r="BG102" s="29" t="s">
        <v>2173</v>
      </c>
      <c r="BH102" s="29">
        <v>9.0650379657699995E-2</v>
      </c>
      <c r="BI102" s="43">
        <v>8.7876567840599993</v>
      </c>
      <c r="BJ102" s="43">
        <f>VLOOKUP(D102,[1]SoilData!$G$15:$K$237,5,FALSE)</f>
        <v>251.89603207009418</v>
      </c>
      <c r="BK102" s="43">
        <f>VLOOKUP(D102,[1]SoilData!$G$245:$K$451,5,FALSE)</f>
        <v>247.81986358543793</v>
      </c>
      <c r="BL102" s="43">
        <f>VLOOKUP(D102,[1]SoilData!$G$15:$M$238,7,FALSE)</f>
        <v>1.522</v>
      </c>
      <c r="BM102" s="43">
        <f>VLOOKUP(D102,[1]SoilData!$G$245:$M$454,7,FALSE)</f>
        <v>1.139</v>
      </c>
      <c r="BN102" s="60">
        <f>BL102-BM102</f>
        <v>0.38300000000000001</v>
      </c>
      <c r="BO102" s="44">
        <f>AVERAGE(BB102:BC102)</f>
        <v>3.1353666666666671</v>
      </c>
      <c r="BP102" s="44">
        <f>AVERAGE(AZ102:BA102)</f>
        <v>2.8506535947712424</v>
      </c>
      <c r="BQ102" s="43">
        <f>BP102-BO102</f>
        <v>-0.28471307189542472</v>
      </c>
      <c r="BR102" s="64">
        <f>IF(W102&gt;0.000001,W102*352,0)</f>
        <v>422.4</v>
      </c>
      <c r="BS102" s="64">
        <f>IF(AE102&gt;0.0001,AE102*682,0)</f>
        <v>436.48</v>
      </c>
      <c r="BT102" s="64">
        <f>AA102*795</f>
        <v>0</v>
      </c>
      <c r="BU102" s="64">
        <f>BR102+BS102+BT102</f>
        <v>858.88</v>
      </c>
      <c r="BV102" s="64">
        <f>IF(G102="YES",3.5*18.2,0)</f>
        <v>63.699999999999996</v>
      </c>
      <c r="BW102" s="64">
        <f>BU102-BV102</f>
        <v>795.18</v>
      </c>
    </row>
    <row r="103" spans="1:75" x14ac:dyDescent="0.15">
      <c r="A103" s="29" t="s">
        <v>556</v>
      </c>
      <c r="B103" s="29">
        <v>137</v>
      </c>
      <c r="C103" s="29" t="s">
        <v>319</v>
      </c>
      <c r="D103" s="29" t="s">
        <v>319</v>
      </c>
      <c r="E103" s="29" t="str">
        <f>VLOOKUP(D103,Harvest_2017_Formulae!$C$2:$D$968,2,FALSE)</f>
        <v>AYAMANGO</v>
      </c>
      <c r="F103" s="29" t="s">
        <v>196</v>
      </c>
      <c r="G103" s="61" t="s">
        <v>548</v>
      </c>
      <c r="H103" s="29" t="s">
        <v>568</v>
      </c>
      <c r="I103" s="29" t="s">
        <v>548</v>
      </c>
      <c r="J103" s="29" t="s">
        <v>546</v>
      </c>
      <c r="K103" s="29" t="s">
        <v>548</v>
      </c>
      <c r="L103" s="29" t="s">
        <v>2220</v>
      </c>
      <c r="M103" s="29" t="s">
        <v>546</v>
      </c>
      <c r="N103" s="29" t="s">
        <v>546</v>
      </c>
      <c r="O103" s="29" t="s">
        <v>547</v>
      </c>
      <c r="P103" s="29">
        <v>0.25</v>
      </c>
      <c r="Q103" s="29">
        <v>1.75</v>
      </c>
      <c r="S103" s="29" t="s">
        <v>548</v>
      </c>
      <c r="T103" s="29">
        <v>1</v>
      </c>
      <c r="U103" s="29">
        <v>7</v>
      </c>
      <c r="V103" s="29" t="s">
        <v>551</v>
      </c>
      <c r="W103" s="30">
        <v>1.6800000000000002</v>
      </c>
      <c r="Y103" s="29">
        <v>999</v>
      </c>
      <c r="Z103" s="29" t="s">
        <v>551</v>
      </c>
      <c r="AA103" s="62"/>
      <c r="AB103" s="29">
        <v>1.75</v>
      </c>
      <c r="AC103" s="29">
        <v>5</v>
      </c>
      <c r="AD103" s="29" t="s">
        <v>551</v>
      </c>
      <c r="AE103" s="62">
        <v>0.68571428571428572</v>
      </c>
      <c r="AF103" s="29" t="s">
        <v>546</v>
      </c>
      <c r="AG103" s="29" t="s">
        <v>546</v>
      </c>
      <c r="AH103" s="29" t="s">
        <v>546</v>
      </c>
      <c r="AI103" s="29" t="s">
        <v>546</v>
      </c>
      <c r="AJ103" s="29" t="s">
        <v>548</v>
      </c>
      <c r="AK103" s="29">
        <v>1</v>
      </c>
      <c r="AL103" s="29">
        <v>2</v>
      </c>
      <c r="AM103" s="29" t="s">
        <v>611</v>
      </c>
      <c r="AN103" s="29" t="s">
        <v>612</v>
      </c>
      <c r="AO103" s="29">
        <v>-4.2445802688598633</v>
      </c>
      <c r="AP103" s="29">
        <v>35.888114929199219</v>
      </c>
      <c r="AQ103" s="29">
        <v>1230</v>
      </c>
      <c r="AR103" s="29">
        <v>5</v>
      </c>
      <c r="AS103" s="29">
        <v>1706031849</v>
      </c>
      <c r="AT103" s="29" t="s">
        <v>613</v>
      </c>
      <c r="AU103" s="31">
        <v>42907.824120370366</v>
      </c>
      <c r="AV103" s="31">
        <v>42907.698923611111</v>
      </c>
      <c r="AW103" s="31">
        <v>42907.703784722224</v>
      </c>
      <c r="AX103" s="32">
        <v>42788</v>
      </c>
      <c r="AZ103" s="44">
        <v>4.589026629935721</v>
      </c>
      <c r="BA103" s="44">
        <v>5.0438475665748399</v>
      </c>
      <c r="BB103" s="44">
        <v>5.9994000000000005</v>
      </c>
      <c r="BC103" s="44">
        <v>7.3393333333333342</v>
      </c>
      <c r="BD103" s="29" t="s">
        <v>2175</v>
      </c>
      <c r="BE103" s="29">
        <v>2.6646602153800001</v>
      </c>
      <c r="BF103" s="29" t="str">
        <f>IF(BE103&lt;0.5,"Depression",IF(BE103&lt;2,"Very gentle",IF(BE103&lt;5,"Gentle",IF(BE103&lt;9,"Moderate",IF(BE103&lt;15,"Strong",IF(BE103&lt;30,"Steep",IF(BE103&lt;1,"Very steep")))))))</f>
        <v>Gentle</v>
      </c>
      <c r="BG103" s="29" t="s">
        <v>2176</v>
      </c>
      <c r="BH103" s="29">
        <v>-1.08769440651</v>
      </c>
      <c r="BI103" s="43">
        <v>9.2721815109300003</v>
      </c>
      <c r="BJ103" s="43">
        <f>VLOOKUP(D103,[1]SoilData!$G$15:$K$237,5,FALSE)</f>
        <v>376.9167979979033</v>
      </c>
      <c r="BK103" s="43">
        <f>VLOOKUP(D103,[1]SoilData!$G$245:$K$451,5,FALSE)</f>
        <v>184.6418072981842</v>
      </c>
      <c r="BL103" s="43">
        <f>VLOOKUP(D103,[1]SoilData!$G$15:$M$238,7,FALSE)</f>
        <v>1.2130000000000001</v>
      </c>
      <c r="BM103" s="43">
        <f>VLOOKUP(D103,[1]SoilData!$G$245:$M$454,7,FALSE)</f>
        <v>0.88300000000000001</v>
      </c>
      <c r="BN103" s="60">
        <f>BL103-BM103</f>
        <v>0.33000000000000007</v>
      </c>
      <c r="BO103" s="44">
        <f>AVERAGE(BB103:BC103)</f>
        <v>6.6693666666666669</v>
      </c>
      <c r="BP103" s="44">
        <f>AVERAGE(AZ103:BA103)</f>
        <v>4.81643709825528</v>
      </c>
      <c r="BQ103" s="43">
        <f>BP103-BO103</f>
        <v>-1.8529295684113869</v>
      </c>
      <c r="BR103" s="64">
        <f>IF(W103&gt;0.000001,W103*352,0)</f>
        <v>591.36</v>
      </c>
      <c r="BS103" s="64">
        <f>IF(AE103&gt;0.0001,AE103*682,0)</f>
        <v>467.65714285714284</v>
      </c>
      <c r="BT103" s="64">
        <f>AA103*795</f>
        <v>0</v>
      </c>
      <c r="BU103" s="64">
        <f>BR103+BS103+BT103</f>
        <v>1059.017142857143</v>
      </c>
      <c r="BV103" s="64">
        <f>IF(G103="YES",3.5*18.2,0)</f>
        <v>63.699999999999996</v>
      </c>
      <c r="BW103" s="64">
        <f>BU103-BV103</f>
        <v>995.31714285714293</v>
      </c>
    </row>
    <row r="104" spans="1:75" x14ac:dyDescent="0.15">
      <c r="A104" s="29" t="s">
        <v>556</v>
      </c>
      <c r="B104" s="29">
        <v>136</v>
      </c>
      <c r="C104" s="29" t="s">
        <v>624</v>
      </c>
      <c r="D104" s="29" t="s">
        <v>322</v>
      </c>
      <c r="E104" s="29" t="str">
        <f>VLOOKUP(D104,Harvest_2017_Formulae!$C$2:$D$968,2,FALSE)</f>
        <v>AYAMANGO</v>
      </c>
      <c r="F104" s="29" t="s">
        <v>196</v>
      </c>
      <c r="G104" s="61" t="s">
        <v>548</v>
      </c>
      <c r="H104" s="29" t="s">
        <v>568</v>
      </c>
      <c r="I104" s="29" t="s">
        <v>546</v>
      </c>
      <c r="J104" s="29" t="s">
        <v>546</v>
      </c>
      <c r="K104" s="29" t="s">
        <v>548</v>
      </c>
      <c r="L104" s="29" t="s">
        <v>2220</v>
      </c>
      <c r="M104" s="29" t="s">
        <v>546</v>
      </c>
      <c r="N104" s="29" t="s">
        <v>546</v>
      </c>
      <c r="O104" s="29" t="s">
        <v>547</v>
      </c>
      <c r="P104" s="29">
        <v>0.25</v>
      </c>
      <c r="Q104" s="29">
        <v>1.25</v>
      </c>
      <c r="S104" s="29" t="s">
        <v>548</v>
      </c>
      <c r="T104" s="29">
        <v>1.75</v>
      </c>
      <c r="U104" s="29">
        <v>10</v>
      </c>
      <c r="V104" s="29" t="s">
        <v>551</v>
      </c>
      <c r="W104" s="30">
        <v>1.3714285714285714</v>
      </c>
      <c r="Y104" s="29">
        <v>999</v>
      </c>
      <c r="Z104" s="29" t="s">
        <v>551</v>
      </c>
      <c r="AA104" s="62"/>
      <c r="AB104" s="29">
        <v>1.75</v>
      </c>
      <c r="AC104" s="29">
        <v>5</v>
      </c>
      <c r="AD104" s="29" t="s">
        <v>551</v>
      </c>
      <c r="AE104" s="62">
        <v>0.68571428571428572</v>
      </c>
      <c r="AF104" s="29" t="s">
        <v>546</v>
      </c>
      <c r="AG104" s="29" t="s">
        <v>546</v>
      </c>
      <c r="AH104" s="29" t="s">
        <v>546</v>
      </c>
      <c r="AI104" s="29" t="s">
        <v>546</v>
      </c>
      <c r="AJ104" s="29" t="s">
        <v>548</v>
      </c>
      <c r="AK104" s="29">
        <v>1</v>
      </c>
      <c r="AL104" s="29">
        <v>2</v>
      </c>
      <c r="AM104" s="29" t="s">
        <v>625</v>
      </c>
      <c r="AN104" s="29" t="s">
        <v>626</v>
      </c>
      <c r="AO104" s="29">
        <v>-4.2445392608642578</v>
      </c>
      <c r="AP104" s="29">
        <v>35.887638092041016</v>
      </c>
      <c r="AQ104" s="29">
        <v>1231.199951171875</v>
      </c>
      <c r="AR104" s="29">
        <v>5</v>
      </c>
      <c r="AS104" s="29">
        <v>1706031849</v>
      </c>
      <c r="AT104" s="29" t="s">
        <v>627</v>
      </c>
      <c r="AU104" s="31">
        <v>42907.824108796296</v>
      </c>
      <c r="AV104" s="31">
        <v>42907.6875</v>
      </c>
      <c r="AW104" s="31">
        <v>42907.698877314819</v>
      </c>
      <c r="AX104" s="32">
        <v>42788</v>
      </c>
      <c r="AZ104" s="44">
        <v>6.1792562724014344</v>
      </c>
      <c r="BA104" s="44">
        <v>5.8872759856630843</v>
      </c>
      <c r="BB104" s="44">
        <v>5.7438095238095235</v>
      </c>
      <c r="BC104" s="44">
        <v>5.4795238095238101</v>
      </c>
      <c r="BD104" s="29" t="s">
        <v>2171</v>
      </c>
      <c r="BE104" s="29">
        <v>2.25062417984</v>
      </c>
      <c r="BF104" s="29" t="str">
        <f>IF(BE104&lt;0.5,"Depression",IF(BE104&lt;2,"Very gentle",IF(BE104&lt;5,"Gentle",IF(BE104&lt;9,"Moderate",IF(BE104&lt;15,"Strong",IF(BE104&lt;30,"Steep",IF(BE104&lt;1,"Very steep")))))))</f>
        <v>Gentle</v>
      </c>
      <c r="BG104" s="29" t="s">
        <v>2177</v>
      </c>
      <c r="BH104" s="29">
        <v>0.54385989904400001</v>
      </c>
      <c r="BI104" s="43">
        <v>7.9989366531400004</v>
      </c>
      <c r="BJ104" s="43">
        <f>VLOOKUP(D104,[1]SoilData!$G$15:$K$237,5,FALSE)</f>
        <v>395.02965944063055</v>
      </c>
      <c r="BK104" s="43">
        <f>VLOOKUP(D104,[1]SoilData!$G$245:$K$451,5,FALSE)</f>
        <v>110.79706449321955</v>
      </c>
      <c r="BL104" s="43">
        <f>VLOOKUP(D104,[1]SoilData!$G$15:$M$238,7,FALSE)</f>
        <v>1.151</v>
      </c>
      <c r="BM104" s="43">
        <f>VLOOKUP(D104,[1]SoilData!$G$245:$M$454,7,FALSE)</f>
        <v>0.94499999999999995</v>
      </c>
      <c r="BN104" s="60">
        <f>BL104-BM104</f>
        <v>0.20600000000000007</v>
      </c>
      <c r="BO104" s="44">
        <f>AVERAGE(BB104:BC104)</f>
        <v>5.6116666666666664</v>
      </c>
      <c r="BP104" s="44">
        <f>AVERAGE(AZ104:BA104)</f>
        <v>6.0332661290322598</v>
      </c>
      <c r="BQ104" s="43">
        <f>BP104-BO104</f>
        <v>0.42159946236559342</v>
      </c>
      <c r="BR104" s="64">
        <f>IF(W104&gt;0.000001,W104*352,0)</f>
        <v>482.74285714285713</v>
      </c>
      <c r="BS104" s="64">
        <f>IF(AE104&gt;0.0001,AE104*682,0)</f>
        <v>467.65714285714284</v>
      </c>
      <c r="BT104" s="64">
        <f>AA104*795</f>
        <v>0</v>
      </c>
      <c r="BU104" s="64">
        <f>BR104+BS104+BT104</f>
        <v>950.4</v>
      </c>
      <c r="BV104" s="64">
        <f>IF(G104="YES",3.5*18.2,0)</f>
        <v>63.699999999999996</v>
      </c>
      <c r="BW104" s="64">
        <f>BU104-BV104</f>
        <v>886.69999999999993</v>
      </c>
    </row>
    <row r="105" spans="1:75" x14ac:dyDescent="0.15">
      <c r="A105" s="29" t="s">
        <v>556</v>
      </c>
      <c r="B105" s="29">
        <v>204</v>
      </c>
      <c r="C105" s="29" t="s">
        <v>407</v>
      </c>
      <c r="D105" s="29" t="s">
        <v>407</v>
      </c>
      <c r="E105" s="29" t="str">
        <f>VLOOKUP(D105,Harvest_2017_Formulae!$C$2:$D$968,2,FALSE)</f>
        <v>TSAMASI</v>
      </c>
      <c r="F105" s="29" t="s">
        <v>1014</v>
      </c>
      <c r="G105" s="61" t="s">
        <v>546</v>
      </c>
      <c r="H105" s="29" t="s">
        <v>547</v>
      </c>
      <c r="I105" s="29" t="s">
        <v>546</v>
      </c>
      <c r="J105" s="29" t="s">
        <v>546</v>
      </c>
      <c r="K105" s="29" t="s">
        <v>548</v>
      </c>
      <c r="L105" s="29" t="s">
        <v>2220</v>
      </c>
      <c r="M105" s="29" t="s">
        <v>546</v>
      </c>
      <c r="N105" s="29" t="s">
        <v>546</v>
      </c>
      <c r="O105" s="29" t="s">
        <v>547</v>
      </c>
      <c r="P105" s="29">
        <v>0.25</v>
      </c>
      <c r="Q105" s="29">
        <v>3</v>
      </c>
      <c r="S105" s="29" t="s">
        <v>546</v>
      </c>
      <c r="T105" s="29">
        <v>3</v>
      </c>
      <c r="U105" s="29">
        <v>7</v>
      </c>
      <c r="V105" s="29" t="s">
        <v>551</v>
      </c>
      <c r="W105" s="30">
        <v>0.56000000000000005</v>
      </c>
      <c r="Y105" s="29">
        <v>999</v>
      </c>
      <c r="Z105" s="29" t="s">
        <v>551</v>
      </c>
      <c r="AA105" s="62"/>
      <c r="AB105" s="29">
        <v>3</v>
      </c>
      <c r="AC105" s="29">
        <v>1.5</v>
      </c>
      <c r="AD105" s="29" t="s">
        <v>551</v>
      </c>
      <c r="AE105" s="62">
        <v>0.12</v>
      </c>
      <c r="AF105" s="29" t="s">
        <v>546</v>
      </c>
      <c r="AG105" s="29" t="s">
        <v>546</v>
      </c>
      <c r="AH105" s="29" t="s">
        <v>546</v>
      </c>
      <c r="AI105" s="29" t="s">
        <v>546</v>
      </c>
      <c r="AJ105" s="29" t="s">
        <v>546</v>
      </c>
      <c r="AK105" s="29">
        <v>0</v>
      </c>
      <c r="AL105" s="29">
        <v>2</v>
      </c>
      <c r="AM105" s="29" t="s">
        <v>1382</v>
      </c>
      <c r="AN105" s="29" t="s">
        <v>1383</v>
      </c>
      <c r="AO105" s="29">
        <v>-4.2944440841674805</v>
      </c>
      <c r="AP105" s="29">
        <v>35.815750122070312</v>
      </c>
      <c r="AQ105" s="29">
        <v>1349.9000244140625</v>
      </c>
      <c r="AR105" s="29">
        <v>5</v>
      </c>
      <c r="AS105" s="29">
        <v>1706031849</v>
      </c>
      <c r="AT105" s="29" t="s">
        <v>1384</v>
      </c>
      <c r="AU105" s="31">
        <v>42948.908541666664</v>
      </c>
      <c r="AV105" s="31">
        <v>42938.591377314813</v>
      </c>
      <c r="AW105" s="31">
        <v>42938.596782407403</v>
      </c>
      <c r="AX105" s="32">
        <v>42796</v>
      </c>
      <c r="AZ105" s="44">
        <v>3.3471645919778705</v>
      </c>
      <c r="BA105" s="44">
        <v>3.2076994006454593</v>
      </c>
      <c r="BB105" s="44">
        <v>2.332872291378516</v>
      </c>
      <c r="BC105" s="44">
        <v>3.245735361917935</v>
      </c>
      <c r="BD105" s="29" t="s">
        <v>2174</v>
      </c>
      <c r="BE105" s="29">
        <v>5.9767947197</v>
      </c>
      <c r="BF105" s="29" t="str">
        <f>IF(BE105&lt;0.5,"Depression",IF(BE105&lt;2,"Very gentle",IF(BE105&lt;5,"Gentle",IF(BE105&lt;9,"Moderate",IF(BE105&lt;15,"Strong",IF(BE105&lt;30,"Steep",IF(BE105&lt;1,"Very steep")))))))</f>
        <v>Moderate</v>
      </c>
      <c r="BG105" s="29" t="s">
        <v>2177</v>
      </c>
      <c r="BH105" s="29">
        <v>0.63450175523800001</v>
      </c>
      <c r="BI105" s="43">
        <v>9.2250022888200007</v>
      </c>
      <c r="BJ105" s="43">
        <f>VLOOKUP(D105,[1]SoilData!$G$15:$K$237,5,FALSE)</f>
        <v>233.61193895927704</v>
      </c>
      <c r="BK105" s="43">
        <f>VLOOKUP(D105,[1]SoilData!$G$245:$K$451,5,FALSE)</f>
        <v>228.79774399037726</v>
      </c>
      <c r="BL105" s="43">
        <f>VLOOKUP(D105,[1]SoilData!$G$15:$M$238,7,FALSE)</f>
        <v>1.155</v>
      </c>
      <c r="BM105" s="43">
        <f>VLOOKUP(D105,[1]SoilData!$G$245:$M$454,7,FALSE)</f>
        <v>1.119</v>
      </c>
      <c r="BN105" s="60">
        <f>BL105-BM105</f>
        <v>3.6000000000000032E-2</v>
      </c>
      <c r="BO105" s="44">
        <f>AVERAGE(BB105:BC105)</f>
        <v>2.7893038266482257</v>
      </c>
      <c r="BP105" s="44">
        <f>AVERAGE(AZ105:BA105)</f>
        <v>3.2774319963116652</v>
      </c>
      <c r="BQ105" s="43">
        <f>BP105-BO105</f>
        <v>0.48812816966343942</v>
      </c>
      <c r="BR105" s="64">
        <f>IF(W105&gt;0.000001,W105*352,0)</f>
        <v>197.12</v>
      </c>
      <c r="BS105" s="64">
        <f>IF(AE105&gt;0.0001,AE105*682,0)</f>
        <v>81.84</v>
      </c>
      <c r="BT105" s="64">
        <f>AA105*795</f>
        <v>0</v>
      </c>
      <c r="BU105" s="64">
        <f>BR105+BS105+BT105</f>
        <v>278.96000000000004</v>
      </c>
      <c r="BV105" s="64">
        <f>IF(G105="YES",3.5*18.2,0)</f>
        <v>0</v>
      </c>
      <c r="BW105" s="64">
        <f>BU105-BV105</f>
        <v>278.96000000000004</v>
      </c>
    </row>
    <row r="106" spans="1:75" x14ac:dyDescent="0.15">
      <c r="A106" s="29" t="s">
        <v>789</v>
      </c>
      <c r="B106" s="29">
        <v>60</v>
      </c>
      <c r="C106" s="29" t="s">
        <v>430</v>
      </c>
      <c r="D106" s="29" t="s">
        <v>430</v>
      </c>
      <c r="E106" s="29" t="str">
        <f>VLOOKUP(D106,Harvest_2017_Formulae!$C$2:$D$968,2,FALSE)</f>
        <v>SABILO</v>
      </c>
      <c r="F106" s="29" t="s">
        <v>1175</v>
      </c>
      <c r="G106" s="61" t="s">
        <v>548</v>
      </c>
      <c r="H106" s="29" t="s">
        <v>568</v>
      </c>
      <c r="I106" s="29" t="s">
        <v>548</v>
      </c>
      <c r="J106" s="29" t="s">
        <v>546</v>
      </c>
      <c r="K106" s="29" t="s">
        <v>548</v>
      </c>
      <c r="L106" s="29" t="s">
        <v>2221</v>
      </c>
      <c r="M106" s="29" t="s">
        <v>548</v>
      </c>
      <c r="N106" s="29" t="s">
        <v>548</v>
      </c>
      <c r="O106" s="29" t="s">
        <v>793</v>
      </c>
      <c r="P106" s="29">
        <v>0.5</v>
      </c>
      <c r="Q106" s="29">
        <v>5</v>
      </c>
      <c r="R106" s="29">
        <v>0</v>
      </c>
      <c r="S106" s="29" t="s">
        <v>548</v>
      </c>
      <c r="U106" s="29">
        <v>999</v>
      </c>
      <c r="V106" s="29" t="s">
        <v>551</v>
      </c>
      <c r="Y106" s="29">
        <v>999</v>
      </c>
      <c r="Z106" s="29" t="s">
        <v>551</v>
      </c>
      <c r="AA106" s="62"/>
      <c r="AC106" s="29">
        <v>999</v>
      </c>
      <c r="AD106" s="29" t="s">
        <v>551</v>
      </c>
      <c r="AE106" s="62"/>
      <c r="AF106" s="29" t="s">
        <v>546</v>
      </c>
      <c r="AG106" s="29" t="s">
        <v>546</v>
      </c>
      <c r="AH106" s="29" t="s">
        <v>546</v>
      </c>
      <c r="AI106" s="29" t="s">
        <v>546</v>
      </c>
      <c r="AJ106" s="29" t="s">
        <v>546</v>
      </c>
      <c r="AK106" s="29">
        <v>0</v>
      </c>
      <c r="AL106" s="29">
        <v>3</v>
      </c>
      <c r="AM106" s="29" t="s">
        <v>1193</v>
      </c>
      <c r="AN106" s="29" t="s">
        <v>1194</v>
      </c>
      <c r="AO106" s="29">
        <v>-4.3434734344482422</v>
      </c>
      <c r="AP106" s="29">
        <v>35.488506317138672</v>
      </c>
      <c r="AQ106" s="29">
        <v>1608.9000244140625</v>
      </c>
      <c r="AR106" s="29">
        <v>15</v>
      </c>
      <c r="AS106" s="29">
        <v>1705231439</v>
      </c>
      <c r="AT106" s="29" t="s">
        <v>1195</v>
      </c>
      <c r="AU106" s="31">
        <v>42923.387037037042</v>
      </c>
      <c r="AV106" s="31">
        <v>42893.583368055552</v>
      </c>
      <c r="AW106" s="31">
        <v>42923.386736111112</v>
      </c>
      <c r="AX106" s="32">
        <v>42778</v>
      </c>
      <c r="AZ106" s="44">
        <v>2.9243727598566309</v>
      </c>
      <c r="BA106" s="44">
        <v>3.5163799283154122</v>
      </c>
      <c r="BB106" s="44">
        <v>1.5242361111111113</v>
      </c>
      <c r="BC106" s="44">
        <v>2.562013888888889</v>
      </c>
      <c r="BD106" s="29" t="s">
        <v>2171</v>
      </c>
      <c r="BE106" s="29">
        <v>2.7825758457199998</v>
      </c>
      <c r="BF106" s="29" t="str">
        <f>IF(BE106&lt;0.5,"Depression",IF(BE106&lt;2,"Very gentle",IF(BE106&lt;5,"Gentle",IF(BE106&lt;9,"Moderate",IF(BE106&lt;15,"Strong",IF(BE106&lt;30,"Steep",IF(BE106&lt;1,"Very steep")))))))</f>
        <v>Gentle</v>
      </c>
      <c r="BG106" s="29" t="s">
        <v>2173</v>
      </c>
      <c r="BH106" s="29">
        <v>-0.362559139729</v>
      </c>
      <c r="BI106" s="43">
        <v>9.3342838287400003</v>
      </c>
      <c r="BJ106" s="43"/>
      <c r="BK106" s="43"/>
      <c r="BL106" s="43"/>
      <c r="BM106" s="43"/>
      <c r="BN106" s="60"/>
      <c r="BO106" s="44">
        <f>AVERAGE(BB106:BC106)</f>
        <v>2.0431250000000003</v>
      </c>
      <c r="BP106" s="44">
        <f>AVERAGE(AZ106:BA106)</f>
        <v>3.2203763440860218</v>
      </c>
      <c r="BQ106" s="43">
        <f>BP106-BO106</f>
        <v>1.1772513440860215</v>
      </c>
      <c r="BR106" s="64">
        <f>IF(W106&gt;0.000001,W106*352,0)</f>
        <v>0</v>
      </c>
      <c r="BS106" s="64">
        <f>IF(AE106&gt;0.0001,AE106*682,0)</f>
        <v>0</v>
      </c>
      <c r="BT106" s="64">
        <f>AA106*795</f>
        <v>0</v>
      </c>
      <c r="BU106" s="64">
        <f>BR106+BS106+BT106</f>
        <v>0</v>
      </c>
      <c r="BV106" s="64">
        <f>IF(G106="YES",3.5*18.2,0)</f>
        <v>63.699999999999996</v>
      </c>
      <c r="BW106" s="64">
        <f>BU106-BV106</f>
        <v>-63.699999999999996</v>
      </c>
    </row>
    <row r="107" spans="1:75" s="57" customFormat="1" x14ac:dyDescent="0.15">
      <c r="A107" s="34" t="s">
        <v>556</v>
      </c>
      <c r="B107" s="34">
        <v>135</v>
      </c>
      <c r="C107" s="34" t="s">
        <v>91</v>
      </c>
      <c r="D107" s="34" t="s">
        <v>91</v>
      </c>
      <c r="E107" s="29" t="str">
        <f>VLOOKUP(D107,Harvest_2017_Formulae!$C$2:$D$968,2,FALSE)</f>
        <v>AYAMANGO</v>
      </c>
      <c r="F107" s="34" t="s">
        <v>196</v>
      </c>
      <c r="G107" s="61" t="s">
        <v>548</v>
      </c>
      <c r="H107" s="34" t="s">
        <v>568</v>
      </c>
      <c r="I107" s="34" t="s">
        <v>548</v>
      </c>
      <c r="J107" s="34" t="s">
        <v>546</v>
      </c>
      <c r="K107" s="34" t="s">
        <v>548</v>
      </c>
      <c r="L107" s="29" t="s">
        <v>2220</v>
      </c>
      <c r="M107" s="34" t="s">
        <v>548</v>
      </c>
      <c r="N107" s="34" t="s">
        <v>546</v>
      </c>
      <c r="O107" s="34" t="s">
        <v>547</v>
      </c>
      <c r="P107" s="34">
        <v>0.5</v>
      </c>
      <c r="Q107" s="34">
        <v>1.5</v>
      </c>
      <c r="R107" s="34"/>
      <c r="S107" s="34" t="s">
        <v>548</v>
      </c>
      <c r="T107" s="34">
        <v>2</v>
      </c>
      <c r="U107" s="34">
        <v>20</v>
      </c>
      <c r="V107" s="34" t="s">
        <v>551</v>
      </c>
      <c r="W107" s="34">
        <v>2.4</v>
      </c>
      <c r="X107" s="34"/>
      <c r="Y107" s="34">
        <v>999</v>
      </c>
      <c r="Z107" s="34" t="s">
        <v>551</v>
      </c>
      <c r="AA107" s="56"/>
      <c r="AB107" s="34">
        <v>2</v>
      </c>
      <c r="AC107" s="34">
        <v>6</v>
      </c>
      <c r="AD107" s="34" t="s">
        <v>551</v>
      </c>
      <c r="AE107" s="56">
        <v>0.72</v>
      </c>
      <c r="AF107" s="34" t="s">
        <v>546</v>
      </c>
      <c r="AG107" s="34" t="s">
        <v>546</v>
      </c>
      <c r="AH107" s="34" t="s">
        <v>546</v>
      </c>
      <c r="AI107" s="34" t="s">
        <v>546</v>
      </c>
      <c r="AJ107" s="34" t="s">
        <v>546</v>
      </c>
      <c r="AK107" s="34">
        <v>0</v>
      </c>
      <c r="AL107" s="34">
        <v>3</v>
      </c>
      <c r="AM107" s="34" t="s">
        <v>641</v>
      </c>
      <c r="AN107" s="34" t="s">
        <v>642</v>
      </c>
      <c r="AO107" s="34">
        <v>-4.2432055473327637</v>
      </c>
      <c r="AP107" s="34">
        <v>35.889610290527344</v>
      </c>
      <c r="AQ107" s="34">
        <v>1224.300048828125</v>
      </c>
      <c r="AR107" s="34">
        <v>5</v>
      </c>
      <c r="AS107" s="34">
        <v>1706031849</v>
      </c>
      <c r="AT107" s="34" t="s">
        <v>643</v>
      </c>
      <c r="AU107" s="35">
        <v>42907.824097222227</v>
      </c>
      <c r="AV107" s="35">
        <v>42907.641145833331</v>
      </c>
      <c r="AW107" s="35">
        <v>42907.684432870374</v>
      </c>
      <c r="AX107" s="36">
        <v>42769</v>
      </c>
      <c r="AY107" s="34"/>
      <c r="AZ107" s="44">
        <v>4.0403591470258142</v>
      </c>
      <c r="BA107" s="44">
        <v>5.0470707070707075</v>
      </c>
      <c r="BB107" s="44">
        <v>2.9998268398268397</v>
      </c>
      <c r="BC107" s="44">
        <v>3.214978354978355</v>
      </c>
      <c r="BD107" s="29" t="s">
        <v>2171</v>
      </c>
      <c r="BE107" s="29">
        <v>3.3183093070999998</v>
      </c>
      <c r="BF107" s="29" t="str">
        <f>IF(BE107&lt;0.5,"Depression",IF(BE107&lt;2,"Very gentle",IF(BE107&lt;5,"Gentle",IF(BE107&lt;9,"Moderate",IF(BE107&lt;15,"Strong",IF(BE107&lt;30,"Steep",IF(BE107&lt;1,"Very steep")))))))</f>
        <v>Gentle</v>
      </c>
      <c r="BG107" s="29" t="s">
        <v>2173</v>
      </c>
      <c r="BH107" s="29">
        <v>0.18129228055499999</v>
      </c>
      <c r="BI107" s="43">
        <v>8.6197080612200008</v>
      </c>
      <c r="BJ107" s="43"/>
      <c r="BK107" s="43"/>
      <c r="BL107" s="43"/>
      <c r="BM107" s="43"/>
      <c r="BN107" s="60"/>
      <c r="BO107" s="44">
        <f>AVERAGE(BB107:BC107)</f>
        <v>3.1074025974025972</v>
      </c>
      <c r="BP107" s="44">
        <f>AVERAGE(AZ107:BA107)</f>
        <v>4.5437149270482609</v>
      </c>
      <c r="BQ107" s="43">
        <f>BP107-BO107</f>
        <v>1.4363123296456637</v>
      </c>
      <c r="BR107" s="64">
        <f>IF(W107&gt;0.000001,W107*352,0)</f>
        <v>844.8</v>
      </c>
      <c r="BS107" s="64">
        <f>IF(AE107&gt;0.0001,AE107*682,0)</f>
        <v>491.03999999999996</v>
      </c>
      <c r="BT107" s="64">
        <f>AA107*795</f>
        <v>0</v>
      </c>
      <c r="BU107" s="64">
        <f>BR107+BS107+BT107</f>
        <v>1335.84</v>
      </c>
      <c r="BV107" s="64">
        <f>IF(G107="YES",3.5*18.2,0)</f>
        <v>63.699999999999996</v>
      </c>
      <c r="BW107" s="64">
        <f>BU107-BV107</f>
        <v>1272.1399999999999</v>
      </c>
    </row>
    <row r="108" spans="1:75" x14ac:dyDescent="0.15">
      <c r="A108" s="29" t="s">
        <v>556</v>
      </c>
      <c r="B108" s="29">
        <v>114</v>
      </c>
      <c r="C108" s="29" t="s">
        <v>397</v>
      </c>
      <c r="D108" s="29" t="s">
        <v>397</v>
      </c>
      <c r="E108" s="29" t="str">
        <f>VLOOKUP(D108,Harvest_2017_Formulae!$C$2:$D$968,2,FALSE)</f>
        <v>SELOTO</v>
      </c>
      <c r="F108" s="29" t="s">
        <v>1310</v>
      </c>
      <c r="G108" s="61" t="s">
        <v>548</v>
      </c>
      <c r="H108" s="29" t="s">
        <v>568</v>
      </c>
      <c r="I108" s="29" t="s">
        <v>546</v>
      </c>
      <c r="J108" s="29" t="s">
        <v>546</v>
      </c>
      <c r="K108" s="29" t="s">
        <v>548</v>
      </c>
      <c r="L108" s="29" t="s">
        <v>2220</v>
      </c>
      <c r="M108" s="29" t="s">
        <v>548</v>
      </c>
      <c r="N108" s="29" t="s">
        <v>548</v>
      </c>
      <c r="O108" s="29" t="s">
        <v>550</v>
      </c>
      <c r="P108" s="29">
        <v>0.25</v>
      </c>
      <c r="Q108" s="29">
        <v>1</v>
      </c>
      <c r="R108" s="29">
        <v>0</v>
      </c>
      <c r="S108" s="29" t="s">
        <v>546</v>
      </c>
      <c r="T108" s="29">
        <v>1.25</v>
      </c>
      <c r="U108" s="29">
        <v>12</v>
      </c>
      <c r="V108" s="29" t="s">
        <v>551</v>
      </c>
      <c r="W108" s="30">
        <v>2.3040000000000003</v>
      </c>
      <c r="Y108" s="29">
        <v>999</v>
      </c>
      <c r="Z108" s="29" t="s">
        <v>551</v>
      </c>
      <c r="AA108" s="62"/>
      <c r="AB108" s="29">
        <v>1.25</v>
      </c>
      <c r="AC108" s="29">
        <v>0</v>
      </c>
      <c r="AD108" s="29" t="s">
        <v>551</v>
      </c>
      <c r="AE108" s="62">
        <v>0</v>
      </c>
      <c r="AF108" s="29" t="s">
        <v>548</v>
      </c>
      <c r="AG108" s="29" t="s">
        <v>548</v>
      </c>
      <c r="AH108" s="29" t="s">
        <v>548</v>
      </c>
      <c r="AI108" s="29" t="s">
        <v>548</v>
      </c>
      <c r="AJ108" s="29" t="s">
        <v>548</v>
      </c>
      <c r="AK108" s="29">
        <v>5</v>
      </c>
      <c r="AL108" s="29">
        <v>2</v>
      </c>
      <c r="AM108" s="29" t="s">
        <v>1324</v>
      </c>
      <c r="AN108" s="29" t="s">
        <v>1325</v>
      </c>
      <c r="AO108" s="29">
        <v>-4.2613673210144043</v>
      </c>
      <c r="AP108" s="29">
        <v>35.528682708740234</v>
      </c>
      <c r="AQ108" s="29">
        <v>1643.199951171875</v>
      </c>
      <c r="AR108" s="29">
        <v>5</v>
      </c>
      <c r="AS108" s="29">
        <v>1706031849</v>
      </c>
      <c r="AT108" s="29" t="s">
        <v>1326</v>
      </c>
      <c r="AU108" s="31">
        <v>42906.49894675926</v>
      </c>
      <c r="AV108" s="31">
        <v>42903.455775462964</v>
      </c>
      <c r="AW108" s="31">
        <v>42903.480081018519</v>
      </c>
      <c r="AX108" s="32">
        <v>42794</v>
      </c>
      <c r="AZ108" s="44">
        <v>3.9885416666666664</v>
      </c>
      <c r="BA108" s="44">
        <v>3.8593888888888888</v>
      </c>
      <c r="BB108" s="44">
        <v>3.5034649122807022</v>
      </c>
      <c r="BC108" s="44">
        <v>3.4338596491228075</v>
      </c>
      <c r="BD108" s="29" t="s">
        <v>2171</v>
      </c>
      <c r="BE108" s="29">
        <v>2.6422429084800001</v>
      </c>
      <c r="BF108" s="29" t="str">
        <f>IF(BE108&lt;0.5,"Depression",IF(BE108&lt;2,"Very gentle",IF(BE108&lt;5,"Gentle",IF(BE108&lt;9,"Moderate",IF(BE108&lt;15,"Strong",IF(BE108&lt;30,"Steep",IF(BE108&lt;1,"Very steep")))))))</f>
        <v>Gentle</v>
      </c>
      <c r="BG108" s="29" t="s">
        <v>2173</v>
      </c>
      <c r="BH108" s="29">
        <v>0.27193418145199999</v>
      </c>
      <c r="BI108" s="43">
        <v>7.71094655991</v>
      </c>
      <c r="BJ108" s="43">
        <f>VLOOKUP(D108,[1]SoilData!$G$15:$K$237,5,FALSE)</f>
        <v>272.89504776358655</v>
      </c>
      <c r="BK108" s="43">
        <f>VLOOKUP(D108,[1]SoilData!$G$245:$K$451,5,FALSE)</f>
        <v>348.93723906880854</v>
      </c>
      <c r="BL108" s="43">
        <f>VLOOKUP(D108,[1]SoilData!$G$15:$M$238,7,FALSE)</f>
        <v>1.524</v>
      </c>
      <c r="BM108" s="43">
        <f>VLOOKUP(D108,[1]SoilData!$G$245:$M$454,7,FALSE)</f>
        <v>1.371</v>
      </c>
      <c r="BN108" s="60">
        <f>BL108-BM108</f>
        <v>0.15300000000000002</v>
      </c>
      <c r="BO108" s="44">
        <f>AVERAGE(BB108:BC108)</f>
        <v>3.4686622807017549</v>
      </c>
      <c r="BP108" s="44">
        <f>AVERAGE(AZ108:BA108)</f>
        <v>3.9239652777777776</v>
      </c>
      <c r="BQ108" s="43">
        <f>BP108-BO108</f>
        <v>0.45530299707602273</v>
      </c>
      <c r="BR108" s="64">
        <f>IF(W108&gt;0.000001,W108*352,0)</f>
        <v>811.00800000000004</v>
      </c>
      <c r="BS108" s="64">
        <f>IF(AE108&gt;0.0001,AE108*682,0)</f>
        <v>0</v>
      </c>
      <c r="BT108" s="64">
        <f>AA108*795</f>
        <v>0</v>
      </c>
      <c r="BU108" s="64">
        <f>BR108+BS108+BT108</f>
        <v>811.00800000000004</v>
      </c>
      <c r="BV108" s="64">
        <f>IF(G108="YES",3.5*18.2,0)</f>
        <v>63.699999999999996</v>
      </c>
      <c r="BW108" s="64">
        <f>BU108-BV108</f>
        <v>747.30799999999999</v>
      </c>
    </row>
    <row r="109" spans="1:75" x14ac:dyDescent="0.15">
      <c r="A109" s="29" t="s">
        <v>789</v>
      </c>
      <c r="B109" s="29">
        <v>43</v>
      </c>
      <c r="C109" s="29" t="s">
        <v>270</v>
      </c>
      <c r="D109" s="29" t="s">
        <v>270</v>
      </c>
      <c r="E109" s="29" t="str">
        <f>VLOOKUP(D109,Harvest_2017_Formulae!$C$2:$D$968,2,FALSE)</f>
        <v>Sangara</v>
      </c>
      <c r="F109" s="29" t="s">
        <v>1014</v>
      </c>
      <c r="G109" s="61" t="s">
        <v>548</v>
      </c>
      <c r="H109" s="29" t="s">
        <v>568</v>
      </c>
      <c r="I109" s="29" t="s">
        <v>548</v>
      </c>
      <c r="J109" s="29" t="s">
        <v>546</v>
      </c>
      <c r="K109" s="29" t="s">
        <v>548</v>
      </c>
      <c r="L109" s="29" t="s">
        <v>2220</v>
      </c>
      <c r="M109" s="29" t="s">
        <v>548</v>
      </c>
      <c r="N109" s="29" t="s">
        <v>548</v>
      </c>
      <c r="O109" s="29" t="s">
        <v>550</v>
      </c>
      <c r="P109" s="29">
        <v>0.25</v>
      </c>
      <c r="Q109" s="29">
        <v>2.5</v>
      </c>
      <c r="R109" s="29">
        <v>0</v>
      </c>
      <c r="S109" s="29" t="s">
        <v>548</v>
      </c>
      <c r="T109" s="29">
        <v>1</v>
      </c>
      <c r="U109" s="29">
        <v>10</v>
      </c>
      <c r="V109" s="29" t="s">
        <v>551</v>
      </c>
      <c r="W109" s="30">
        <v>2.4</v>
      </c>
      <c r="Y109" s="29">
        <v>999</v>
      </c>
      <c r="Z109" s="29" t="s">
        <v>551</v>
      </c>
      <c r="AA109" s="62"/>
      <c r="AB109" s="29">
        <v>1</v>
      </c>
      <c r="AC109" s="29">
        <v>2</v>
      </c>
      <c r="AD109" s="29" t="s">
        <v>551</v>
      </c>
      <c r="AE109" s="62">
        <v>0.48</v>
      </c>
      <c r="AF109" s="29" t="s">
        <v>546</v>
      </c>
      <c r="AG109" s="29" t="s">
        <v>548</v>
      </c>
      <c r="AH109" s="29" t="s">
        <v>546</v>
      </c>
      <c r="AI109" s="29" t="s">
        <v>548</v>
      </c>
      <c r="AJ109" s="29" t="s">
        <v>546</v>
      </c>
      <c r="AK109" s="29">
        <v>2</v>
      </c>
      <c r="AL109" s="29">
        <v>4</v>
      </c>
      <c r="AM109" s="29" t="s">
        <v>1292</v>
      </c>
      <c r="AN109" s="29" t="s">
        <v>1293</v>
      </c>
      <c r="AO109" s="29">
        <v>-4.2761783599853516</v>
      </c>
      <c r="AP109" s="29">
        <v>35.630985260009766</v>
      </c>
      <c r="AQ109" s="29">
        <v>1423.5</v>
      </c>
      <c r="AR109" s="29">
        <v>15</v>
      </c>
      <c r="AS109" s="29">
        <v>1705231439</v>
      </c>
      <c r="AT109" s="29" t="s">
        <v>1294</v>
      </c>
      <c r="AU109" s="31">
        <v>42908.292696759258</v>
      </c>
      <c r="AV109" s="31">
        <v>42900.454710648148</v>
      </c>
      <c r="AW109" s="31">
        <v>42908.291041666671</v>
      </c>
      <c r="AX109" s="32">
        <v>42738</v>
      </c>
      <c r="AY109" s="34"/>
      <c r="AZ109" s="44">
        <v>5.6747619047619047</v>
      </c>
      <c r="BA109" s="44">
        <v>4.2176190476190474</v>
      </c>
      <c r="BB109" s="44">
        <v>4.1942386831275726</v>
      </c>
      <c r="BC109" s="44">
        <v>3.8101508916323734</v>
      </c>
      <c r="BD109" s="29" t="s">
        <v>2184</v>
      </c>
      <c r="BE109" s="29">
        <v>3.6909093856799999</v>
      </c>
      <c r="BF109" s="29" t="str">
        <f>IF(BE109&lt;0.5,"Depression",IF(BE109&lt;2,"Very gentle",IF(BE109&lt;5,"Gentle",IF(BE109&lt;9,"Moderate",IF(BE109&lt;15,"Strong",IF(BE109&lt;30,"Steep",IF(BE109&lt;1,"Very steep")))))))</f>
        <v>Gentle</v>
      </c>
      <c r="BG109" s="29" t="s">
        <v>2176</v>
      </c>
      <c r="BH109" s="29">
        <v>-1.4502619504900001</v>
      </c>
      <c r="BI109" s="43">
        <v>8.9184541702299995</v>
      </c>
      <c r="BJ109" s="43"/>
      <c r="BK109" s="43"/>
      <c r="BL109" s="43"/>
      <c r="BM109" s="43"/>
      <c r="BN109" s="60"/>
      <c r="BO109" s="44">
        <f>AVERAGE(BB109:BC109)</f>
        <v>4.002194787379973</v>
      </c>
      <c r="BP109" s="44">
        <f>AVERAGE(AZ109:BA109)</f>
        <v>4.946190476190476</v>
      </c>
      <c r="BQ109" s="43">
        <f>BP109-BO109</f>
        <v>0.943995688810503</v>
      </c>
      <c r="BR109" s="64">
        <f>IF(W109&gt;0.000001,W109*352,0)</f>
        <v>844.8</v>
      </c>
      <c r="BS109" s="64">
        <f>IF(AE109&gt;0.0001,AE109*682,0)</f>
        <v>327.36</v>
      </c>
      <c r="BT109" s="64">
        <f>AA109*795</f>
        <v>0</v>
      </c>
      <c r="BU109" s="64">
        <f>BR109+BS109+BT109</f>
        <v>1172.1599999999999</v>
      </c>
      <c r="BV109" s="64">
        <f>IF(G109="YES",3.5*18.2,0)</f>
        <v>63.699999999999996</v>
      </c>
      <c r="BW109" s="64">
        <f>BU109-BV109</f>
        <v>1108.4599999999998</v>
      </c>
    </row>
    <row r="110" spans="1:75" x14ac:dyDescent="0.15">
      <c r="A110" s="29" t="s">
        <v>556</v>
      </c>
      <c r="B110" s="29">
        <v>207</v>
      </c>
      <c r="C110" s="29" t="s">
        <v>1357</v>
      </c>
      <c r="D110" s="40" t="s">
        <v>296</v>
      </c>
      <c r="E110" s="29" t="str">
        <f>VLOOKUP(D110,Harvest_2017_Formulae!$C$2:$D$968,2,FALSE)</f>
        <v>TSAMASI</v>
      </c>
      <c r="F110" s="29" t="s">
        <v>1014</v>
      </c>
      <c r="G110" s="61" t="s">
        <v>548</v>
      </c>
      <c r="H110" s="29" t="s">
        <v>568</v>
      </c>
      <c r="I110" s="29" t="s">
        <v>548</v>
      </c>
      <c r="J110" s="29" t="s">
        <v>546</v>
      </c>
      <c r="K110" s="29" t="s">
        <v>548</v>
      </c>
      <c r="L110" s="29" t="s">
        <v>2221</v>
      </c>
      <c r="M110" s="29" t="s">
        <v>546</v>
      </c>
      <c r="N110" s="29" t="s">
        <v>548</v>
      </c>
      <c r="O110" s="29" t="s">
        <v>550</v>
      </c>
      <c r="P110" s="29">
        <v>0.25</v>
      </c>
      <c r="Q110" s="29">
        <v>0.5</v>
      </c>
      <c r="S110" s="29" t="s">
        <v>546</v>
      </c>
      <c r="T110" s="29">
        <v>999</v>
      </c>
      <c r="U110" s="29">
        <v>999</v>
      </c>
      <c r="V110" s="29" t="s">
        <v>551</v>
      </c>
      <c r="X110" s="29">
        <v>0.5</v>
      </c>
      <c r="Y110" s="29">
        <v>3</v>
      </c>
      <c r="Z110" s="29" t="s">
        <v>551</v>
      </c>
      <c r="AA110" s="62">
        <v>1.44</v>
      </c>
      <c r="AB110" s="29">
        <v>999</v>
      </c>
      <c r="AC110" s="29">
        <v>999</v>
      </c>
      <c r="AD110" s="29" t="s">
        <v>551</v>
      </c>
      <c r="AE110" s="62"/>
      <c r="AF110" s="29" t="s">
        <v>546</v>
      </c>
      <c r="AG110" s="29" t="s">
        <v>546</v>
      </c>
      <c r="AH110" s="29" t="s">
        <v>546</v>
      </c>
      <c r="AI110" s="29" t="s">
        <v>548</v>
      </c>
      <c r="AJ110" s="29" t="s">
        <v>546</v>
      </c>
      <c r="AK110" s="29">
        <v>1</v>
      </c>
      <c r="AL110" s="29">
        <v>3</v>
      </c>
      <c r="AM110" s="29" t="s">
        <v>1358</v>
      </c>
      <c r="AN110" s="29" t="s">
        <v>1359</v>
      </c>
      <c r="AO110" s="29">
        <v>-4.3011412620544434</v>
      </c>
      <c r="AP110" s="29">
        <v>35.795352935791016</v>
      </c>
      <c r="AQ110" s="29">
        <v>1368.699951171875</v>
      </c>
      <c r="AR110" s="29">
        <v>5</v>
      </c>
      <c r="AS110" s="29">
        <v>1706031849</v>
      </c>
      <c r="AT110" s="29" t="s">
        <v>1360</v>
      </c>
      <c r="AU110" s="31">
        <v>42948.908587962964</v>
      </c>
      <c r="AV110" s="31">
        <v>42940.59002314815</v>
      </c>
      <c r="AW110" s="31">
        <v>42940.598090277781</v>
      </c>
      <c r="AX110" s="32">
        <v>42802</v>
      </c>
      <c r="AZ110" s="44">
        <v>10.211666666666668</v>
      </c>
      <c r="BA110" s="44">
        <v>6.6305555555555555</v>
      </c>
      <c r="BB110" s="44">
        <v>8.9415015015015022</v>
      </c>
      <c r="BC110" s="44">
        <v>6.9640540540540545</v>
      </c>
      <c r="BD110" s="29" t="s">
        <v>2179</v>
      </c>
      <c r="BE110" s="29">
        <v>3.7609581947300001</v>
      </c>
      <c r="BF110" s="29" t="str">
        <f>IF(BE110&lt;0.5,"Depression",IF(BE110&lt;2,"Very gentle",IF(BE110&lt;5,"Gentle",IF(BE110&lt;9,"Moderate",IF(BE110&lt;15,"Strong",IF(BE110&lt;30,"Steep",IF(BE110&lt;1,"Very steep")))))))</f>
        <v>Gentle</v>
      </c>
      <c r="BG110" s="29" t="s">
        <v>2173</v>
      </c>
      <c r="BH110" s="29">
        <v>-9.0633422136300004E-2</v>
      </c>
      <c r="BI110" s="43">
        <v>9.4905805587799996</v>
      </c>
      <c r="BJ110" s="43">
        <f>VLOOKUP(D110,[1]SoilData!$G$15:$K$237,5,FALSE)</f>
        <v>113.30630359179413</v>
      </c>
      <c r="BK110" s="43">
        <f>VLOOKUP(D110,[1]SoilData!$G$245:$K$451,5,FALSE)</f>
        <v>269.55942883693626</v>
      </c>
      <c r="BL110" s="43">
        <f>VLOOKUP(D110,[1]SoilData!$G$15:$M$238,7,FALSE)</f>
        <v>0.88600000000000001</v>
      </c>
      <c r="BM110" s="43">
        <f>VLOOKUP(D110,[1]SoilData!$G$245:$M$454,7,FALSE)</f>
        <v>0.98599999999999999</v>
      </c>
      <c r="BN110" s="60">
        <f>BL110-BM110</f>
        <v>-9.9999999999999978E-2</v>
      </c>
      <c r="BO110" s="44">
        <f>AVERAGE(BB110:BC110)</f>
        <v>7.9527777777777784</v>
      </c>
      <c r="BP110" s="44">
        <f>AVERAGE(AZ110:BA110)</f>
        <v>8.4211111111111112</v>
      </c>
      <c r="BQ110" s="43">
        <f>BP110-BO110</f>
        <v>0.46833333333333282</v>
      </c>
      <c r="BR110" s="64">
        <f>IF(W110&gt;0.000001,W110*352,0)</f>
        <v>0</v>
      </c>
      <c r="BS110" s="64">
        <f>IF(AE110&gt;0.0001,AE110*682,0)</f>
        <v>0</v>
      </c>
      <c r="BT110" s="64">
        <f>AA110*795</f>
        <v>1144.8</v>
      </c>
      <c r="BU110" s="64">
        <f>BR110+BS110+BT110</f>
        <v>1144.8</v>
      </c>
      <c r="BV110" s="64">
        <f>IF(G110="YES",3.5*18.2,0)</f>
        <v>63.699999999999996</v>
      </c>
      <c r="BW110" s="64">
        <f>BU110-BV110</f>
        <v>1081.0999999999999</v>
      </c>
    </row>
    <row r="111" spans="1:75" x14ac:dyDescent="0.15">
      <c r="A111" s="29" t="s">
        <v>556</v>
      </c>
      <c r="B111" s="29">
        <v>159</v>
      </c>
      <c r="C111" s="29" t="s">
        <v>425</v>
      </c>
      <c r="D111" s="29" t="s">
        <v>425</v>
      </c>
      <c r="E111" s="29" t="str">
        <f>VLOOKUP(D111,Harvest_2017_Formulae!$C$2:$D$968,2,FALSE)</f>
        <v>HALLU</v>
      </c>
      <c r="F111" s="29" t="s">
        <v>938</v>
      </c>
      <c r="G111" s="61" t="s">
        <v>548</v>
      </c>
      <c r="H111" s="29" t="s">
        <v>568</v>
      </c>
      <c r="I111" s="29" t="s">
        <v>546</v>
      </c>
      <c r="J111" s="29" t="s">
        <v>546</v>
      </c>
      <c r="K111" s="29" t="s">
        <v>548</v>
      </c>
      <c r="L111" s="29" t="s">
        <v>2220</v>
      </c>
      <c r="M111" s="29" t="s">
        <v>546</v>
      </c>
      <c r="N111" s="29" t="s">
        <v>548</v>
      </c>
      <c r="O111" s="29" t="s">
        <v>550</v>
      </c>
      <c r="P111" s="29">
        <v>0.25</v>
      </c>
      <c r="Q111" s="29">
        <v>0.25</v>
      </c>
      <c r="S111" s="29" t="s">
        <v>548</v>
      </c>
      <c r="T111" s="29">
        <v>0.25</v>
      </c>
      <c r="U111" s="29">
        <v>3</v>
      </c>
      <c r="V111" s="29" t="s">
        <v>551</v>
      </c>
      <c r="W111" s="30">
        <v>2.8800000000000003</v>
      </c>
      <c r="Y111" s="29">
        <v>999</v>
      </c>
      <c r="Z111" s="29" t="s">
        <v>551</v>
      </c>
      <c r="AA111" s="62"/>
      <c r="AB111" s="29">
        <v>0.25</v>
      </c>
      <c r="AC111" s="29">
        <v>1</v>
      </c>
      <c r="AD111" s="29" t="s">
        <v>551</v>
      </c>
      <c r="AE111" s="62">
        <v>0.96</v>
      </c>
      <c r="AF111" s="29" t="s">
        <v>548</v>
      </c>
      <c r="AG111" s="29" t="s">
        <v>548</v>
      </c>
      <c r="AH111" s="29" t="s">
        <v>548</v>
      </c>
      <c r="AI111" s="29" t="s">
        <v>548</v>
      </c>
      <c r="AJ111" s="29" t="s">
        <v>548</v>
      </c>
      <c r="AK111" s="29">
        <v>5</v>
      </c>
      <c r="AL111" s="29">
        <v>3</v>
      </c>
      <c r="AM111" s="29" t="s">
        <v>975</v>
      </c>
      <c r="AN111" s="29" t="s">
        <v>976</v>
      </c>
      <c r="AO111" s="29">
        <v>-4.2848515510559082</v>
      </c>
      <c r="AP111" s="29">
        <v>35.895671844482422</v>
      </c>
      <c r="AQ111" s="29">
        <v>1215.699951171875</v>
      </c>
      <c r="AR111" s="29">
        <v>5</v>
      </c>
      <c r="AS111" s="29">
        <v>1706031849</v>
      </c>
      <c r="AT111" s="29" t="s">
        <v>977</v>
      </c>
      <c r="AU111" s="31">
        <v>42921.432430555556</v>
      </c>
      <c r="AV111" s="31">
        <v>42913.58729166667</v>
      </c>
      <c r="AW111" s="31">
        <v>42913.599988425922</v>
      </c>
      <c r="AX111" s="32">
        <v>42789</v>
      </c>
      <c r="AZ111" s="44"/>
      <c r="BA111" s="44"/>
      <c r="BB111" s="44"/>
      <c r="BC111" s="44"/>
      <c r="BD111" s="29" t="s">
        <v>2171</v>
      </c>
      <c r="BE111" s="29">
        <v>1.5749045610400001</v>
      </c>
      <c r="BF111" s="29" t="str">
        <f>IF(BE111&lt;0.5,"Depression",IF(BE111&lt;2,"Very gentle",IF(BE111&lt;5,"Gentle",IF(BE111&lt;9,"Moderate",IF(BE111&lt;15,"Strong",IF(BE111&lt;30,"Steep",IF(BE111&lt;1,"Very steep")))))))</f>
        <v>Very gentle</v>
      </c>
      <c r="BG111" s="29" t="s">
        <v>2173</v>
      </c>
      <c r="BH111" s="29">
        <v>-0.362559139729</v>
      </c>
      <c r="BI111" s="43">
        <v>9.9196262359599991</v>
      </c>
      <c r="BJ111" s="43">
        <f>VLOOKUP(D111,[1]SoilData!$G$15:$K$237,5,FALSE)</f>
        <v>261.80792280765667</v>
      </c>
      <c r="BK111" s="43">
        <f>VLOOKUP(D111,[1]SoilData!$G$245:$K$451,5,FALSE)</f>
        <v>332.60712790744435</v>
      </c>
      <c r="BL111" s="43">
        <f>VLOOKUP(D111,[1]SoilData!$G$15:$M$238,7,FALSE)</f>
        <v>0.98199999999999998</v>
      </c>
      <c r="BM111" s="43">
        <f>VLOOKUP(D111,[1]SoilData!$G$245:$M$454,7,FALSE)</f>
        <v>1.2250000000000001</v>
      </c>
      <c r="BN111" s="60">
        <f>BL111-BM111</f>
        <v>-0.2430000000000001</v>
      </c>
      <c r="BO111" s="44"/>
      <c r="BP111" s="44"/>
      <c r="BQ111" s="43"/>
      <c r="BR111" s="64">
        <f>IF(W111&gt;0.000001,W111*352,0)</f>
        <v>1013.7600000000001</v>
      </c>
      <c r="BS111" s="64">
        <f>IF(AE111&gt;0.0001,AE111*682,0)</f>
        <v>654.72</v>
      </c>
      <c r="BT111" s="64">
        <f>AA111*795</f>
        <v>0</v>
      </c>
      <c r="BU111" s="64">
        <f>BR111+BS111+BT111</f>
        <v>1668.48</v>
      </c>
      <c r="BV111" s="64">
        <f>IF(G111="YES",3.5*18.2,0)</f>
        <v>63.699999999999996</v>
      </c>
      <c r="BW111" s="64">
        <f>BU111-BV111</f>
        <v>1604.78</v>
      </c>
    </row>
    <row r="112" spans="1:75" x14ac:dyDescent="0.15">
      <c r="A112" s="29" t="s">
        <v>841</v>
      </c>
      <c r="B112" s="29">
        <v>245</v>
      </c>
      <c r="C112" s="29" t="s">
        <v>884</v>
      </c>
      <c r="D112" s="33" t="s">
        <v>155</v>
      </c>
      <c r="E112" s="29" t="str">
        <f>VLOOKUP(D112,Harvest_2017_Formulae!$C$2:$D$968,2,FALSE)</f>
        <v>ENDANOGA</v>
      </c>
      <c r="F112" s="29" t="s">
        <v>843</v>
      </c>
      <c r="G112" s="61" t="s">
        <v>548</v>
      </c>
      <c r="H112" s="29" t="s">
        <v>568</v>
      </c>
      <c r="I112" s="29" t="s">
        <v>548</v>
      </c>
      <c r="J112" s="29" t="s">
        <v>546</v>
      </c>
      <c r="K112" s="29" t="s">
        <v>548</v>
      </c>
      <c r="L112" s="29" t="s">
        <v>2220</v>
      </c>
      <c r="M112" s="29" t="s">
        <v>548</v>
      </c>
      <c r="N112" s="29" t="s">
        <v>548</v>
      </c>
      <c r="O112" s="29" t="s">
        <v>550</v>
      </c>
      <c r="P112" s="29">
        <v>0.25</v>
      </c>
      <c r="Q112" s="29">
        <v>0</v>
      </c>
      <c r="R112" s="29">
        <v>2.5</v>
      </c>
      <c r="S112" s="29" t="s">
        <v>546</v>
      </c>
      <c r="T112" s="29">
        <v>2.75</v>
      </c>
      <c r="U112" s="29">
        <v>30</v>
      </c>
      <c r="V112" s="29" t="s">
        <v>551</v>
      </c>
      <c r="W112" s="30">
        <v>2.6181818181818182</v>
      </c>
      <c r="X112" s="29">
        <v>0.25</v>
      </c>
      <c r="Y112" s="29">
        <v>1</v>
      </c>
      <c r="Z112" s="29" t="s">
        <v>551</v>
      </c>
      <c r="AA112" s="62">
        <v>0.96</v>
      </c>
      <c r="AB112" s="29">
        <v>2.75</v>
      </c>
      <c r="AC112" s="29">
        <v>10</v>
      </c>
      <c r="AD112" s="29" t="s">
        <v>551</v>
      </c>
      <c r="AE112" s="62">
        <v>0.87272727272727268</v>
      </c>
      <c r="AF112" s="29" t="s">
        <v>548</v>
      </c>
      <c r="AG112" s="29" t="s">
        <v>548</v>
      </c>
      <c r="AH112" s="29" t="s">
        <v>548</v>
      </c>
      <c r="AI112" s="29" t="s">
        <v>548</v>
      </c>
      <c r="AJ112" s="29" t="s">
        <v>548</v>
      </c>
      <c r="AK112" s="29">
        <v>5</v>
      </c>
      <c r="AL112" s="29">
        <v>3</v>
      </c>
      <c r="AM112" s="29" t="s">
        <v>886</v>
      </c>
      <c r="AN112" s="29" t="s">
        <v>887</v>
      </c>
      <c r="AO112" s="29">
        <v>-4.265164852142334</v>
      </c>
      <c r="AP112" s="29">
        <v>35.841716766357422</v>
      </c>
      <c r="AQ112" s="29">
        <v>1403.0999755859375</v>
      </c>
      <c r="AR112" s="29">
        <v>5</v>
      </c>
      <c r="AS112" s="29">
        <v>1706031849</v>
      </c>
      <c r="AT112" s="29" t="s">
        <v>888</v>
      </c>
      <c r="AU112" s="31">
        <v>42978.591296296298</v>
      </c>
      <c r="AV112" s="31">
        <v>42895.563078703708</v>
      </c>
      <c r="AW112" s="31">
        <v>42978.588784722218</v>
      </c>
      <c r="AX112" s="32">
        <v>42779</v>
      </c>
      <c r="AZ112" s="44">
        <v>5.3602854230377162</v>
      </c>
      <c r="BA112" s="44">
        <v>7.5602956167176352</v>
      </c>
      <c r="BB112" s="44">
        <v>3.2380952380952377</v>
      </c>
      <c r="BC112" s="44">
        <v>2.4126984126984126</v>
      </c>
      <c r="BD112" s="29" t="s">
        <v>2171</v>
      </c>
      <c r="BE112" s="29">
        <v>3.8559429645500001</v>
      </c>
      <c r="BF112" s="29" t="str">
        <f>IF(BE112&lt;0.5,"Depression",IF(BE112&lt;2,"Very gentle",IF(BE112&lt;5,"Gentle",IF(BE112&lt;9,"Moderate",IF(BE112&lt;15,"Strong",IF(BE112&lt;30,"Steep",IF(BE112&lt;1,"Very steep")))))))</f>
        <v>Gentle</v>
      </c>
      <c r="BG112" s="29" t="s">
        <v>2177</v>
      </c>
      <c r="BH112" s="29">
        <v>0.63450175523800001</v>
      </c>
      <c r="BI112" s="43">
        <v>10.945163726800001</v>
      </c>
      <c r="BJ112" s="43">
        <f>VLOOKUP(D112,[1]SoilData!$G$15:$K$237,5,FALSE)</f>
        <v>522.23171518844038</v>
      </c>
      <c r="BK112" s="43">
        <f>VLOOKUP(D112,[1]SoilData!$G$245:$K$451,5,FALSE)</f>
        <v>466.79589874297653</v>
      </c>
      <c r="BL112" s="43">
        <f>VLOOKUP(D112,[1]SoilData!$G$15:$M$238,7,FALSE)</f>
        <v>2.1869999999999998</v>
      </c>
      <c r="BM112" s="43">
        <f>VLOOKUP(D112,[1]SoilData!$G$245:$M$454,7,FALSE)</f>
        <v>1.5609999999999999</v>
      </c>
      <c r="BN112" s="60">
        <f>BL112-BM112</f>
        <v>0.62599999999999989</v>
      </c>
      <c r="BO112" s="44">
        <f>AVERAGE(BB112:BC112)</f>
        <v>2.8253968253968251</v>
      </c>
      <c r="BP112" s="44">
        <f>AVERAGE(AZ112:BA112)</f>
        <v>6.4602905198776757</v>
      </c>
      <c r="BQ112" s="43">
        <f>BP112-BO112</f>
        <v>3.6348936944808505</v>
      </c>
      <c r="BR112" s="64">
        <f>IF(W112&gt;0.000001,W112*352,0)</f>
        <v>921.6</v>
      </c>
      <c r="BS112" s="64">
        <f>IF(AE112&gt;0.0001,AE112*682,0)</f>
        <v>595.19999999999993</v>
      </c>
      <c r="BT112" s="64">
        <f>AA112*795</f>
        <v>763.19999999999993</v>
      </c>
      <c r="BU112" s="64">
        <f>BR112+BS112+BT112</f>
        <v>2280</v>
      </c>
      <c r="BV112" s="64">
        <f>IF(G112="YES",3.5*18.2,0)</f>
        <v>63.699999999999996</v>
      </c>
      <c r="BW112" s="64">
        <f>BU112-BV112</f>
        <v>2216.3000000000002</v>
      </c>
    </row>
    <row r="113" spans="1:75" x14ac:dyDescent="0.15">
      <c r="A113" s="29" t="s">
        <v>556</v>
      </c>
      <c r="B113" s="29">
        <v>231</v>
      </c>
      <c r="C113" s="29" t="s">
        <v>399</v>
      </c>
      <c r="D113" s="29" t="s">
        <v>399</v>
      </c>
      <c r="E113" s="29" t="str">
        <f>VLOOKUP(D113,Harvest_2017_Formulae!$C$2:$D$968,2,FALSE)</f>
        <v>TSAMASI</v>
      </c>
      <c r="F113" s="29" t="s">
        <v>1014</v>
      </c>
      <c r="G113" s="61" t="s">
        <v>546</v>
      </c>
      <c r="H113" s="29" t="s">
        <v>547</v>
      </c>
      <c r="I113" s="29" t="s">
        <v>546</v>
      </c>
      <c r="J113" s="29" t="s">
        <v>546</v>
      </c>
      <c r="K113" s="29" t="s">
        <v>548</v>
      </c>
      <c r="L113" s="29" t="s">
        <v>2221</v>
      </c>
      <c r="M113" s="29" t="s">
        <v>546</v>
      </c>
      <c r="N113" s="29" t="s">
        <v>546</v>
      </c>
      <c r="O113" s="29" t="s">
        <v>547</v>
      </c>
      <c r="P113" s="29">
        <v>1</v>
      </c>
      <c r="Q113" s="29">
        <v>3</v>
      </c>
      <c r="S113" s="29" t="s">
        <v>548</v>
      </c>
      <c r="T113" s="29">
        <v>4</v>
      </c>
      <c r="U113" s="29">
        <v>32</v>
      </c>
      <c r="V113" s="29" t="s">
        <v>551</v>
      </c>
      <c r="W113" s="30">
        <v>1.92</v>
      </c>
      <c r="Y113" s="29">
        <v>999</v>
      </c>
      <c r="Z113" s="29" t="s">
        <v>551</v>
      </c>
      <c r="AA113" s="62"/>
      <c r="AB113" s="29">
        <v>4</v>
      </c>
      <c r="AC113" s="29">
        <v>7</v>
      </c>
      <c r="AD113" s="29" t="s">
        <v>551</v>
      </c>
      <c r="AE113" s="62">
        <v>0.42</v>
      </c>
      <c r="AF113" s="29" t="s">
        <v>546</v>
      </c>
      <c r="AG113" s="29" t="s">
        <v>546</v>
      </c>
      <c r="AH113" s="29" t="s">
        <v>546</v>
      </c>
      <c r="AI113" s="29" t="s">
        <v>546</v>
      </c>
      <c r="AJ113" s="29" t="s">
        <v>546</v>
      </c>
      <c r="AK113" s="29">
        <v>0</v>
      </c>
      <c r="AL113" s="29">
        <v>3</v>
      </c>
      <c r="AM113" s="29" t="s">
        <v>1347</v>
      </c>
      <c r="AN113" s="29" t="s">
        <v>1348</v>
      </c>
      <c r="AO113" s="29">
        <v>-4.2986207008361816</v>
      </c>
      <c r="AP113" s="29">
        <v>35.798934936523438</v>
      </c>
      <c r="AQ113" s="29">
        <v>1397.800048828125</v>
      </c>
      <c r="AR113" s="29">
        <v>5</v>
      </c>
      <c r="AS113" s="29">
        <v>1706031849</v>
      </c>
      <c r="AT113" s="29" t="s">
        <v>1349</v>
      </c>
      <c r="AU113" s="31">
        <v>42951.014293981483</v>
      </c>
      <c r="AV113" s="31">
        <v>42940.542129629626</v>
      </c>
      <c r="AW113" s="31">
        <v>42951.000567129631</v>
      </c>
      <c r="AX113" s="32">
        <v>42788</v>
      </c>
      <c r="AZ113" s="44">
        <v>3.5928065843621395</v>
      </c>
      <c r="BA113" s="44">
        <v>5.0664855967078184</v>
      </c>
      <c r="BB113" s="44">
        <v>6.9449999999999994</v>
      </c>
      <c r="BC113" s="44">
        <v>5.64</v>
      </c>
      <c r="BD113" s="29" t="s">
        <v>2179</v>
      </c>
      <c r="BE113" s="29">
        <v>1.2062788009600001</v>
      </c>
      <c r="BF113" s="29" t="str">
        <f>IF(BE113&lt;0.5,"Depression",IF(BE113&lt;2,"Very gentle",IF(BE113&lt;5,"Gentle",IF(BE113&lt;9,"Moderate",IF(BE113&lt;15,"Strong",IF(BE113&lt;30,"Steep",IF(BE113&lt;1,"Very steep")))))))</f>
        <v>Very gentle</v>
      </c>
      <c r="BG113" s="29" t="s">
        <v>2172</v>
      </c>
      <c r="BH113" s="29">
        <v>-0.725126743317</v>
      </c>
      <c r="BI113" s="43">
        <v>9.6621332168599992</v>
      </c>
      <c r="BJ113" s="43">
        <f>VLOOKUP(D113,[1]SoilData!$G$15:$K$237,5,FALSE)</f>
        <v>538.96329641911655</v>
      </c>
      <c r="BK113" s="43">
        <f>VLOOKUP(D113,[1]SoilData!$G$245:$K$451,5,FALSE)</f>
        <v>589.15804011114483</v>
      </c>
      <c r="BL113" s="43">
        <f>VLOOKUP(D113,[1]SoilData!$G$15:$M$238,7,FALSE)</f>
        <v>2.1040000000000001</v>
      </c>
      <c r="BM113" s="43">
        <f>VLOOKUP(D113,[1]SoilData!$G$245:$M$454,7,FALSE)</f>
        <v>2.2130000000000001</v>
      </c>
      <c r="BN113" s="60">
        <f>BL113-BM113</f>
        <v>-0.10899999999999999</v>
      </c>
      <c r="BO113" s="44">
        <f>AVERAGE(BB113:BC113)</f>
        <v>6.2924999999999995</v>
      </c>
      <c r="BP113" s="44">
        <f>AVERAGE(AZ113:BA113)</f>
        <v>4.329646090534979</v>
      </c>
      <c r="BQ113" s="43">
        <f>BP113-BO113</f>
        <v>-1.9628539094650206</v>
      </c>
      <c r="BR113" s="64">
        <f>IF(W113&gt;0.000001,W113*352,0)</f>
        <v>675.83999999999992</v>
      </c>
      <c r="BS113" s="64">
        <f>IF(AE113&gt;0.0001,AE113*682,0)</f>
        <v>286.44</v>
      </c>
      <c r="BT113" s="64">
        <f>AA113*795</f>
        <v>0</v>
      </c>
      <c r="BU113" s="64">
        <f>BR113+BS113+BT113</f>
        <v>962.28</v>
      </c>
      <c r="BV113" s="64">
        <f>IF(G113="YES",3.5*18.2,0)</f>
        <v>0</v>
      </c>
      <c r="BW113" s="64">
        <f>BU113-BV113</f>
        <v>962.28</v>
      </c>
    </row>
    <row r="114" spans="1:75" x14ac:dyDescent="0.15">
      <c r="A114" s="29" t="s">
        <v>789</v>
      </c>
      <c r="B114" s="29">
        <v>30</v>
      </c>
      <c r="C114" s="29" t="s">
        <v>386</v>
      </c>
      <c r="D114" s="29" t="s">
        <v>386</v>
      </c>
      <c r="E114" s="29" t="str">
        <f>VLOOKUP(D114,Harvest_2017_Formulae!$C$2:$D$968,2,FALSE)</f>
        <v>Sangara</v>
      </c>
      <c r="F114" s="29" t="s">
        <v>1014</v>
      </c>
      <c r="G114" s="61" t="s">
        <v>548</v>
      </c>
      <c r="H114" s="29" t="s">
        <v>568</v>
      </c>
      <c r="I114" s="29" t="s">
        <v>548</v>
      </c>
      <c r="J114" s="29" t="s">
        <v>546</v>
      </c>
      <c r="K114" s="29" t="s">
        <v>548</v>
      </c>
      <c r="L114" s="29" t="s">
        <v>2220</v>
      </c>
      <c r="M114" s="29" t="s">
        <v>546</v>
      </c>
      <c r="N114" s="29" t="s">
        <v>548</v>
      </c>
      <c r="O114" s="29" t="s">
        <v>793</v>
      </c>
      <c r="P114" s="29">
        <v>0.25</v>
      </c>
      <c r="Q114" s="29">
        <v>1.5</v>
      </c>
      <c r="R114" s="29">
        <v>0</v>
      </c>
      <c r="S114" s="29" t="s">
        <v>548</v>
      </c>
      <c r="T114" s="29">
        <v>1</v>
      </c>
      <c r="U114" s="29">
        <v>15</v>
      </c>
      <c r="V114" s="29" t="s">
        <v>551</v>
      </c>
      <c r="W114" s="30">
        <v>3.5999999999999996</v>
      </c>
      <c r="Y114" s="29">
        <v>999</v>
      </c>
      <c r="Z114" s="29" t="s">
        <v>551</v>
      </c>
      <c r="AA114" s="62"/>
      <c r="AB114" s="29">
        <v>1</v>
      </c>
      <c r="AC114" s="29">
        <v>1</v>
      </c>
      <c r="AD114" s="29" t="s">
        <v>551</v>
      </c>
      <c r="AE114" s="62">
        <v>0.24</v>
      </c>
      <c r="AF114" s="29" t="s">
        <v>546</v>
      </c>
      <c r="AG114" s="29" t="s">
        <v>548</v>
      </c>
      <c r="AH114" s="29" t="s">
        <v>546</v>
      </c>
      <c r="AI114" s="29" t="s">
        <v>546</v>
      </c>
      <c r="AJ114" s="29" t="s">
        <v>546</v>
      </c>
      <c r="AK114" s="29">
        <v>1</v>
      </c>
      <c r="AL114" s="29">
        <v>4</v>
      </c>
      <c r="AM114" s="29" t="s">
        <v>1274</v>
      </c>
      <c r="AN114" s="29" t="s">
        <v>1275</v>
      </c>
      <c r="AO114" s="29">
        <v>-4.2771849632263184</v>
      </c>
      <c r="AP114" s="29">
        <v>35.638599395751953</v>
      </c>
      <c r="AQ114" s="29">
        <v>1412.4000244140625</v>
      </c>
      <c r="AR114" s="29">
        <v>15</v>
      </c>
      <c r="AS114" s="29">
        <v>1705231439</v>
      </c>
      <c r="AT114" s="29" t="s">
        <v>1276</v>
      </c>
      <c r="AU114" s="31">
        <v>42908.292592592596</v>
      </c>
      <c r="AV114" s="31">
        <v>42898.573796296296</v>
      </c>
      <c r="AW114" s="31">
        <v>42908.288437499999</v>
      </c>
      <c r="AX114" s="32">
        <v>42763</v>
      </c>
      <c r="AZ114" s="44">
        <v>6.0900119474313028</v>
      </c>
      <c r="BA114" s="44">
        <v>5.9020071684587814</v>
      </c>
      <c r="BB114" s="44">
        <v>5.2796666666666656</v>
      </c>
      <c r="BC114" s="44">
        <v>4.2378333333333327</v>
      </c>
      <c r="BD114" s="29" t="s">
        <v>2179</v>
      </c>
      <c r="BE114" s="29">
        <v>3.4100914001499998</v>
      </c>
      <c r="BF114" s="29" t="str">
        <f>IF(BE114&lt;0.5,"Depression",IF(BE114&lt;2,"Very gentle",IF(BE114&lt;5,"Gentle",IF(BE114&lt;9,"Moderate",IF(BE114&lt;15,"Strong",IF(BE114&lt;30,"Steep",IF(BE114&lt;1,"Very steep")))))))</f>
        <v>Gentle</v>
      </c>
      <c r="BG114" s="29" t="s">
        <v>2173</v>
      </c>
      <c r="BH114" s="29">
        <v>-0.45320102572400001</v>
      </c>
      <c r="BI114" s="43">
        <v>11.5620450974</v>
      </c>
      <c r="BJ114" s="43">
        <f>VLOOKUP(D114,[1]SoilData!$G$15:$K$237,5,FALSE)</f>
        <v>493.95374885860213</v>
      </c>
      <c r="BK114" s="43">
        <f>VLOOKUP(D114,[1]SoilData!$G$245:$K$451,5,FALSE)</f>
        <v>308.96239085527617</v>
      </c>
      <c r="BL114" s="43">
        <f>VLOOKUP(D114,[1]SoilData!$G$15:$M$238,7,FALSE)</f>
        <v>1.387</v>
      </c>
      <c r="BM114" s="43">
        <f>VLOOKUP(D114,[1]SoilData!$G$245:$M$454,7,FALSE)</f>
        <v>1.216</v>
      </c>
      <c r="BN114" s="60">
        <f>BL114-BM114</f>
        <v>0.17100000000000004</v>
      </c>
      <c r="BO114" s="44">
        <f>AVERAGE(BB114:BC114)</f>
        <v>4.7587499999999991</v>
      </c>
      <c r="BP114" s="44">
        <f>AVERAGE(AZ114:BA114)</f>
        <v>5.9960095579450421</v>
      </c>
      <c r="BQ114" s="43">
        <f>BP114-BO114</f>
        <v>1.2372595579450429</v>
      </c>
      <c r="BR114" s="64">
        <f>IF(W114&gt;0.000001,W114*352,0)</f>
        <v>1267.1999999999998</v>
      </c>
      <c r="BS114" s="64">
        <f>IF(AE114&gt;0.0001,AE114*682,0)</f>
        <v>163.68</v>
      </c>
      <c r="BT114" s="64">
        <f>AA114*795</f>
        <v>0</v>
      </c>
      <c r="BU114" s="64">
        <f>BR114+BS114+BT114</f>
        <v>1430.8799999999999</v>
      </c>
      <c r="BV114" s="64">
        <f>IF(G114="YES",3.5*18.2,0)</f>
        <v>63.699999999999996</v>
      </c>
      <c r="BW114" s="64">
        <f>BU114-BV114</f>
        <v>1367.1799999999998</v>
      </c>
    </row>
    <row r="115" spans="1:75" x14ac:dyDescent="0.15">
      <c r="A115" s="29" t="s">
        <v>556</v>
      </c>
      <c r="B115" s="29">
        <v>222</v>
      </c>
      <c r="C115" s="29" t="s">
        <v>1129</v>
      </c>
      <c r="D115" s="29" t="s">
        <v>372</v>
      </c>
      <c r="E115" s="29" t="str">
        <f>VLOOKUP(D115,Harvest_2017_Formulae!$C$2:$D$968,2,FALSE)</f>
        <v>ORNGADIDA</v>
      </c>
      <c r="F115" s="29" t="s">
        <v>777</v>
      </c>
      <c r="G115" s="61" t="s">
        <v>548</v>
      </c>
      <c r="H115" s="29" t="s">
        <v>568</v>
      </c>
      <c r="I115" s="29" t="s">
        <v>548</v>
      </c>
      <c r="J115" s="29" t="s">
        <v>546</v>
      </c>
      <c r="K115" s="29" t="s">
        <v>548</v>
      </c>
      <c r="L115" s="29" t="s">
        <v>2221</v>
      </c>
      <c r="M115" s="29" t="s">
        <v>548</v>
      </c>
      <c r="N115" s="29" t="s">
        <v>548</v>
      </c>
      <c r="O115" s="29" t="s">
        <v>550</v>
      </c>
      <c r="P115" s="29">
        <v>0.25</v>
      </c>
      <c r="Q115" s="29">
        <v>0.25</v>
      </c>
      <c r="S115" s="29" t="s">
        <v>548</v>
      </c>
      <c r="T115" s="29">
        <v>0.5</v>
      </c>
      <c r="U115" s="29">
        <v>9</v>
      </c>
      <c r="V115" s="29" t="s">
        <v>551</v>
      </c>
      <c r="W115" s="30">
        <v>4.32</v>
      </c>
      <c r="Y115" s="29">
        <v>999</v>
      </c>
      <c r="Z115" s="29" t="s">
        <v>551</v>
      </c>
      <c r="AA115" s="62"/>
      <c r="AB115" s="29">
        <v>0.5</v>
      </c>
      <c r="AC115" s="29">
        <v>1</v>
      </c>
      <c r="AD115" s="29" t="s">
        <v>551</v>
      </c>
      <c r="AE115" s="62">
        <v>0.48</v>
      </c>
      <c r="AF115" s="29" t="s">
        <v>546</v>
      </c>
      <c r="AG115" s="29" t="s">
        <v>548</v>
      </c>
      <c r="AH115" s="29" t="s">
        <v>546</v>
      </c>
      <c r="AI115" s="29" t="s">
        <v>548</v>
      </c>
      <c r="AJ115" s="29" t="s">
        <v>546</v>
      </c>
      <c r="AK115" s="29">
        <v>2</v>
      </c>
      <c r="AL115" s="29">
        <v>3</v>
      </c>
      <c r="AM115" s="29" t="s">
        <v>1130</v>
      </c>
      <c r="AN115" s="29" t="s">
        <v>1131</v>
      </c>
      <c r="AO115" s="29">
        <v>-4.3123254776000977</v>
      </c>
      <c r="AP115" s="29">
        <v>35.874874114990234</v>
      </c>
      <c r="AQ115" s="29">
        <v>1228.9000244140625</v>
      </c>
      <c r="AR115" s="29">
        <v>5</v>
      </c>
      <c r="AS115" s="29">
        <v>1706031849</v>
      </c>
      <c r="AT115" s="29" t="s">
        <v>1132</v>
      </c>
      <c r="AU115" s="31">
        <v>42950.967673611114</v>
      </c>
      <c r="AV115" s="31">
        <v>42949.590173611112</v>
      </c>
      <c r="AW115" s="31">
        <v>42950.842858796299</v>
      </c>
      <c r="AX115" s="32">
        <v>42787</v>
      </c>
      <c r="AZ115" s="44">
        <v>3.8820430107526889</v>
      </c>
      <c r="BA115" s="44">
        <v>5.4381362007168468</v>
      </c>
      <c r="BB115" s="44">
        <v>4.7089285714285714</v>
      </c>
      <c r="BC115" s="44">
        <v>3.1178571428571429</v>
      </c>
      <c r="BD115" s="29" t="s">
        <v>2171</v>
      </c>
      <c r="BE115" s="29">
        <v>0.10922735929500001</v>
      </c>
      <c r="BF115" s="29" t="str">
        <f>IF(BE115&lt;0.5,"Depression",IF(BE115&lt;2,"Very gentle",IF(BE115&lt;5,"Gentle",IF(BE115&lt;9,"Moderate",IF(BE115&lt;15,"Strong",IF(BE115&lt;30,"Steep",IF(BE115&lt;1,"Very steep")))))))</f>
        <v>Depression</v>
      </c>
      <c r="BG115" s="29" t="s">
        <v>2173</v>
      </c>
      <c r="BH115" s="29">
        <v>0.36257606744799997</v>
      </c>
      <c r="BI115" s="43">
        <v>11.4374370575</v>
      </c>
      <c r="BJ115" s="43">
        <f>VLOOKUP(D115,[1]SoilData!$G$15:$K$237,5,FALSE)</f>
        <v>402.13526203854667</v>
      </c>
      <c r="BK115" s="43">
        <f>VLOOKUP(D115,[1]SoilData!$G$245:$K$451,5,FALSE)</f>
        <v>417.66021711276636</v>
      </c>
      <c r="BL115" s="43">
        <f>VLOOKUP(D115,[1]SoilData!$G$15:$M$238,7,FALSE)</f>
        <v>2.1419999999999999</v>
      </c>
      <c r="BM115" s="43">
        <f>VLOOKUP(D115,[1]SoilData!$G$245:$M$454,7,FALSE)</f>
        <v>1.8759999999999999</v>
      </c>
      <c r="BN115" s="60">
        <f>BL115-BM115</f>
        <v>0.26600000000000001</v>
      </c>
      <c r="BO115" s="44">
        <f>AVERAGE(BB115:BC115)</f>
        <v>3.9133928571428571</v>
      </c>
      <c r="BP115" s="44">
        <f>AVERAGE(AZ115:BA115)</f>
        <v>4.6600896057347683</v>
      </c>
      <c r="BQ115" s="43">
        <f>BP115-BO115</f>
        <v>0.74669674859191115</v>
      </c>
      <c r="BR115" s="64">
        <f>IF(W115&gt;0.000001,W115*352,0)</f>
        <v>1520.64</v>
      </c>
      <c r="BS115" s="64">
        <f>IF(AE115&gt;0.0001,AE115*682,0)</f>
        <v>327.36</v>
      </c>
      <c r="BT115" s="64">
        <f>AA115*795</f>
        <v>0</v>
      </c>
      <c r="BU115" s="64">
        <f>BR115+BS115+BT115</f>
        <v>1848</v>
      </c>
      <c r="BV115" s="64">
        <f>IF(G115="YES",3.5*18.2,0)</f>
        <v>63.699999999999996</v>
      </c>
      <c r="BW115" s="64">
        <f>BU115-BV115</f>
        <v>1784.3</v>
      </c>
    </row>
    <row r="116" spans="1:75" x14ac:dyDescent="0.15">
      <c r="A116" s="33" t="s">
        <v>556</v>
      </c>
      <c r="B116" s="33">
        <v>153</v>
      </c>
      <c r="C116" s="33" t="s">
        <v>1429</v>
      </c>
      <c r="D116" s="33" t="s">
        <v>1429</v>
      </c>
      <c r="E116" s="33" t="e">
        <f>VLOOKUP(D116,Harvest_2017_Formulae!$C$2:$D$968,2,FALSE)</f>
        <v>#N/A</v>
      </c>
      <c r="F116" s="33" t="s">
        <v>938</v>
      </c>
      <c r="G116" s="61" t="s">
        <v>548</v>
      </c>
      <c r="H116" s="33" t="s">
        <v>568</v>
      </c>
      <c r="I116" s="33" t="s">
        <v>546</v>
      </c>
      <c r="J116" s="33" t="s">
        <v>546</v>
      </c>
      <c r="K116" s="33" t="s">
        <v>548</v>
      </c>
      <c r="L116" s="29" t="s">
        <v>2221</v>
      </c>
      <c r="M116" s="33" t="s">
        <v>546</v>
      </c>
      <c r="N116" s="33" t="s">
        <v>548</v>
      </c>
      <c r="O116" s="33" t="s">
        <v>550</v>
      </c>
      <c r="P116" s="33">
        <v>0.25</v>
      </c>
      <c r="Q116" s="33">
        <v>4.75</v>
      </c>
      <c r="R116" s="33"/>
      <c r="S116" s="33" t="s">
        <v>548</v>
      </c>
      <c r="T116" s="33">
        <v>5</v>
      </c>
      <c r="U116" s="33">
        <v>25</v>
      </c>
      <c r="V116" s="33" t="s">
        <v>551</v>
      </c>
      <c r="W116" s="33">
        <v>1.2</v>
      </c>
      <c r="X116" s="33"/>
      <c r="Y116" s="33">
        <v>999</v>
      </c>
      <c r="Z116" s="33" t="s">
        <v>551</v>
      </c>
      <c r="AA116" s="63"/>
      <c r="AB116" s="33">
        <v>5</v>
      </c>
      <c r="AC116" s="33">
        <v>10</v>
      </c>
      <c r="AD116" s="33" t="s">
        <v>551</v>
      </c>
      <c r="AE116" s="63">
        <v>0.48</v>
      </c>
      <c r="AF116" s="33" t="s">
        <v>546</v>
      </c>
      <c r="AG116" s="33" t="s">
        <v>548</v>
      </c>
      <c r="AH116" s="33" t="s">
        <v>546</v>
      </c>
      <c r="AI116" s="33" t="s">
        <v>546</v>
      </c>
      <c r="AJ116" s="33" t="s">
        <v>546</v>
      </c>
      <c r="AK116" s="33">
        <v>1</v>
      </c>
      <c r="AL116" s="33">
        <v>3</v>
      </c>
      <c r="AM116" s="33" t="s">
        <v>1430</v>
      </c>
      <c r="AN116" s="33" t="s">
        <v>1431</v>
      </c>
      <c r="AO116" s="33">
        <v>-4.2844042778015137</v>
      </c>
      <c r="AP116" s="33">
        <v>35.891590118408203</v>
      </c>
      <c r="AQ116" s="33">
        <v>1222.199951171875</v>
      </c>
      <c r="AR116" s="33">
        <v>5</v>
      </c>
      <c r="AS116" s="33">
        <v>1706031849</v>
      </c>
      <c r="AT116" s="33" t="s">
        <v>1432</v>
      </c>
      <c r="AU116" s="37">
        <v>42913.638645833329</v>
      </c>
      <c r="AV116" s="37">
        <v>42913.626597222217</v>
      </c>
      <c r="AW116" s="37">
        <v>42913.634768518517</v>
      </c>
      <c r="AX116" s="38">
        <v>42774</v>
      </c>
      <c r="BD116" s="29" t="s">
        <v>2171</v>
      </c>
      <c r="BE116" s="29">
        <v>0.93315756320999999</v>
      </c>
      <c r="BF116" s="29" t="str">
        <f>IF(BE116&lt;0.5,"Depression",IF(BE116&lt;2,"Very gentle",IF(BE116&lt;5,"Gentle",IF(BE116&lt;9,"Moderate",IF(BE116&lt;15,"Strong",IF(BE116&lt;30,"Steep",IF(BE116&lt;1,"Very steep")))))))</f>
        <v>Very gentle</v>
      </c>
      <c r="BG116" s="29" t="s">
        <v>2173</v>
      </c>
      <c r="BH116" s="29">
        <v>0.27193418145199999</v>
      </c>
      <c r="BI116" s="43">
        <v>9.0723009109500001</v>
      </c>
      <c r="BJ116" s="43"/>
      <c r="BK116" s="43"/>
      <c r="BL116" s="43"/>
      <c r="BM116" s="43"/>
      <c r="BN116" s="60"/>
      <c r="BO116" s="43"/>
      <c r="BP116" s="43"/>
      <c r="BQ116" s="43"/>
      <c r="BR116" s="64">
        <f>IF(W116&gt;0.000001,W116*352,0)</f>
        <v>422.4</v>
      </c>
      <c r="BS116" s="64">
        <f>IF(AE116&gt;0.0001,AE116*682,0)</f>
        <v>327.36</v>
      </c>
      <c r="BT116" s="64">
        <f>AA116*795</f>
        <v>0</v>
      </c>
      <c r="BU116" s="64">
        <f>BR116+BS116+BT116</f>
        <v>749.76</v>
      </c>
      <c r="BV116" s="64">
        <f>IF(G116="YES",3.5*18.2,0)</f>
        <v>63.699999999999996</v>
      </c>
      <c r="BW116" s="64">
        <f>BU116-BV116</f>
        <v>686.06</v>
      </c>
    </row>
    <row r="117" spans="1:75" x14ac:dyDescent="0.15">
      <c r="A117" s="29" t="s">
        <v>556</v>
      </c>
      <c r="B117" s="29">
        <v>172</v>
      </c>
      <c r="C117" s="29" t="s">
        <v>335</v>
      </c>
      <c r="D117" s="29" t="s">
        <v>335</v>
      </c>
      <c r="E117" s="29" t="str">
        <f>VLOOKUP(D117,Harvest_2017_Formulae!$C$2:$D$968,2,FALSE)</f>
        <v>DURU</v>
      </c>
      <c r="F117" s="29" t="s">
        <v>645</v>
      </c>
      <c r="G117" s="61" t="s">
        <v>548</v>
      </c>
      <c r="H117" s="29" t="s">
        <v>568</v>
      </c>
      <c r="I117" s="29" t="s">
        <v>546</v>
      </c>
      <c r="J117" s="29" t="s">
        <v>546</v>
      </c>
      <c r="K117" s="29" t="s">
        <v>548</v>
      </c>
      <c r="L117" s="29" t="s">
        <v>2221</v>
      </c>
      <c r="M117" s="29" t="s">
        <v>546</v>
      </c>
      <c r="N117" s="29" t="s">
        <v>548</v>
      </c>
      <c r="O117" s="29" t="s">
        <v>550</v>
      </c>
      <c r="P117" s="29">
        <v>0.25</v>
      </c>
      <c r="Q117" s="29">
        <v>2.75</v>
      </c>
      <c r="S117" s="29" t="s">
        <v>546</v>
      </c>
      <c r="T117" s="29">
        <v>3.5</v>
      </c>
      <c r="U117" s="29">
        <v>35</v>
      </c>
      <c r="V117" s="29" t="s">
        <v>551</v>
      </c>
      <c r="W117" s="30">
        <v>2.4</v>
      </c>
      <c r="Y117" s="29">
        <v>999</v>
      </c>
      <c r="Z117" s="29" t="s">
        <v>551</v>
      </c>
      <c r="AA117" s="62"/>
      <c r="AB117" s="29">
        <v>3.5</v>
      </c>
      <c r="AC117" s="29">
        <v>2</v>
      </c>
      <c r="AD117" s="29" t="s">
        <v>551</v>
      </c>
      <c r="AE117" s="62">
        <v>0.13714285714285715</v>
      </c>
      <c r="AF117" s="29" t="s">
        <v>546</v>
      </c>
      <c r="AG117" s="29" t="s">
        <v>548</v>
      </c>
      <c r="AH117" s="29" t="s">
        <v>546</v>
      </c>
      <c r="AI117" s="29" t="s">
        <v>548</v>
      </c>
      <c r="AJ117" s="29" t="s">
        <v>546</v>
      </c>
      <c r="AK117" s="29">
        <v>2</v>
      </c>
      <c r="AL117" s="29">
        <v>4</v>
      </c>
      <c r="AM117" s="29" t="s">
        <v>695</v>
      </c>
      <c r="AN117" s="29" t="s">
        <v>696</v>
      </c>
      <c r="AO117" s="29">
        <v>-4.3725309371948242</v>
      </c>
      <c r="AP117" s="29">
        <v>35.595748901367188</v>
      </c>
      <c r="AQ117" s="29">
        <v>1536.5999755859375</v>
      </c>
      <c r="AR117" s="29">
        <v>5</v>
      </c>
      <c r="AS117" s="29">
        <v>1706031849</v>
      </c>
      <c r="AT117" s="29" t="s">
        <v>697</v>
      </c>
      <c r="AU117" s="31">
        <v>42921.432708333334</v>
      </c>
      <c r="AV117" s="31">
        <v>42920.46601851852</v>
      </c>
      <c r="AW117" s="31">
        <v>42920.554143518515</v>
      </c>
      <c r="AX117" s="32">
        <v>42761</v>
      </c>
      <c r="AZ117" s="44">
        <v>4.5354878048780485</v>
      </c>
      <c r="BA117" s="44">
        <v>3.4836585365853656</v>
      </c>
      <c r="BB117" s="44">
        <v>3.2498974358974357</v>
      </c>
      <c r="BC117" s="44">
        <v>1.6292136752136752</v>
      </c>
      <c r="BD117" s="29" t="s">
        <v>2171</v>
      </c>
      <c r="BE117" s="29">
        <v>1.85621762276</v>
      </c>
      <c r="BF117" s="29" t="str">
        <f>IF(BE117&lt;0.5,"Depression",IF(BE117&lt;2,"Very gentle",IF(BE117&lt;5,"Gentle",IF(BE117&lt;9,"Moderate",IF(BE117&lt;15,"Strong",IF(BE117&lt;30,"Steep",IF(BE117&lt;1,"Very steep")))))))</f>
        <v>Very gentle</v>
      </c>
      <c r="BG117" s="29" t="s">
        <v>2172</v>
      </c>
      <c r="BH117" s="29">
        <v>-0.54384291171999999</v>
      </c>
      <c r="BI117" s="43">
        <v>12.278872489899999</v>
      </c>
      <c r="BJ117" s="43">
        <f>VLOOKUP(D117,[1]SoilData!$G$15:$K$237,5,FALSE)</f>
        <v>157.25029749836568</v>
      </c>
      <c r="BK117" s="43">
        <f>VLOOKUP(D117,[1]SoilData!$G$245:$K$451,5,FALSE)</f>
        <v>54.88122197839354</v>
      </c>
      <c r="BL117" s="43">
        <f>VLOOKUP(D117,[1]SoilData!$G$15:$M$238,7,FALSE)</f>
        <v>0.75600000000000001</v>
      </c>
      <c r="BM117" s="43">
        <f>VLOOKUP(D117,[1]SoilData!$G$245:$M$454,7,FALSE)</f>
        <v>0.624</v>
      </c>
      <c r="BN117" s="60">
        <f>BL117-BM117</f>
        <v>0.13200000000000001</v>
      </c>
      <c r="BO117" s="44">
        <f>AVERAGE(BB117:BC117)</f>
        <v>2.4395555555555557</v>
      </c>
      <c r="BP117" s="44">
        <f>AVERAGE(AZ117:BA117)</f>
        <v>4.0095731707317075</v>
      </c>
      <c r="BQ117" s="43">
        <f>BP117-BO117</f>
        <v>1.5700176151761518</v>
      </c>
      <c r="BR117" s="64">
        <f>IF(W117&gt;0.000001,W117*352,0)</f>
        <v>844.8</v>
      </c>
      <c r="BS117" s="64">
        <f>IF(AE117&gt;0.0001,AE117*682,0)</f>
        <v>93.531428571428577</v>
      </c>
      <c r="BT117" s="64">
        <f>AA117*795</f>
        <v>0</v>
      </c>
      <c r="BU117" s="64">
        <f>BR117+BS117+BT117</f>
        <v>938.33142857142855</v>
      </c>
      <c r="BV117" s="64">
        <f>IF(G117="YES",3.5*18.2,0)</f>
        <v>63.699999999999996</v>
      </c>
      <c r="BW117" s="64">
        <f>BU117-BV117</f>
        <v>874.6314285714285</v>
      </c>
    </row>
    <row r="118" spans="1:75" x14ac:dyDescent="0.15">
      <c r="A118" s="29" t="s">
        <v>556</v>
      </c>
      <c r="B118" s="29">
        <v>171</v>
      </c>
      <c r="C118" s="29" t="s">
        <v>337</v>
      </c>
      <c r="D118" s="29" t="s">
        <v>337</v>
      </c>
      <c r="E118" s="29" t="str">
        <f>VLOOKUP(D118,Harvest_2017_Formulae!$C$2:$D$968,2,FALSE)</f>
        <v>DURU</v>
      </c>
      <c r="F118" s="29" t="s">
        <v>645</v>
      </c>
      <c r="G118" s="61" t="s">
        <v>548</v>
      </c>
      <c r="H118" s="29" t="s">
        <v>568</v>
      </c>
      <c r="I118" s="29" t="s">
        <v>546</v>
      </c>
      <c r="J118" s="29" t="s">
        <v>546</v>
      </c>
      <c r="K118" s="29" t="s">
        <v>548</v>
      </c>
      <c r="L118" s="29" t="s">
        <v>2221</v>
      </c>
      <c r="M118" s="29" t="s">
        <v>546</v>
      </c>
      <c r="N118" s="29" t="s">
        <v>548</v>
      </c>
      <c r="O118" s="29" t="s">
        <v>550</v>
      </c>
      <c r="P118" s="29">
        <v>0.25</v>
      </c>
      <c r="Q118" s="29">
        <v>3.25</v>
      </c>
      <c r="S118" s="29" t="s">
        <v>546</v>
      </c>
      <c r="T118" s="29">
        <v>3.5</v>
      </c>
      <c r="U118" s="29">
        <v>30</v>
      </c>
      <c r="V118" s="29" t="s">
        <v>551</v>
      </c>
      <c r="W118" s="30">
        <v>2.0571428571428569</v>
      </c>
      <c r="Y118" s="29">
        <v>999</v>
      </c>
      <c r="Z118" s="29" t="s">
        <v>551</v>
      </c>
      <c r="AA118" s="62"/>
      <c r="AB118" s="29">
        <v>3.5</v>
      </c>
      <c r="AC118" s="29">
        <v>6</v>
      </c>
      <c r="AD118" s="29" t="s">
        <v>551</v>
      </c>
      <c r="AE118" s="62">
        <v>0.41142857142857142</v>
      </c>
      <c r="AF118" s="29" t="s">
        <v>546</v>
      </c>
      <c r="AG118" s="29" t="s">
        <v>548</v>
      </c>
      <c r="AH118" s="29" t="s">
        <v>546</v>
      </c>
      <c r="AI118" s="29" t="s">
        <v>548</v>
      </c>
      <c r="AJ118" s="29" t="s">
        <v>546</v>
      </c>
      <c r="AK118" s="29">
        <v>2</v>
      </c>
      <c r="AL118" s="29">
        <v>4</v>
      </c>
      <c r="AM118" s="29" t="s">
        <v>702</v>
      </c>
      <c r="AN118" s="29" t="s">
        <v>703</v>
      </c>
      <c r="AO118" s="29">
        <v>-4.3727331161499023</v>
      </c>
      <c r="AP118" s="29">
        <v>35.595802307128906</v>
      </c>
      <c r="AQ118" s="29">
        <v>1517.9000244140625</v>
      </c>
      <c r="AR118" s="29">
        <v>5</v>
      </c>
      <c r="AS118" s="29">
        <v>1706031849</v>
      </c>
      <c r="AT118" s="29" t="s">
        <v>704</v>
      </c>
      <c r="AU118" s="31">
        <v>42921.43268518518</v>
      </c>
      <c r="AV118" s="31">
        <v>42920.441817129627</v>
      </c>
      <c r="AW118" s="31">
        <v>42920.465925925921</v>
      </c>
      <c r="AX118" s="32">
        <v>42761</v>
      </c>
      <c r="AZ118" s="44">
        <v>2.3739898989898993</v>
      </c>
      <c r="BA118" s="44">
        <v>2.9954166666666668</v>
      </c>
      <c r="BB118" s="44">
        <v>1.5058479532163744</v>
      </c>
      <c r="BC118" s="44">
        <v>2.7558479532163749</v>
      </c>
      <c r="BD118" s="29" t="s">
        <v>2171</v>
      </c>
      <c r="BE118" s="29">
        <v>1.85621762276</v>
      </c>
      <c r="BF118" s="29" t="str">
        <f>IF(BE118&lt;0.5,"Depression",IF(BE118&lt;2,"Very gentle",IF(BE118&lt;5,"Gentle",IF(BE118&lt;9,"Moderate",IF(BE118&lt;15,"Strong",IF(BE118&lt;30,"Steep",IF(BE118&lt;1,"Very steep")))))))</f>
        <v>Very gentle</v>
      </c>
      <c r="BG118" s="29" t="s">
        <v>2172</v>
      </c>
      <c r="BH118" s="29">
        <v>-0.54384291171999999</v>
      </c>
      <c r="BI118" s="43">
        <v>12.278872489899999</v>
      </c>
      <c r="BJ118" s="43">
        <f>VLOOKUP(D118,[1]SoilData!$G$15:$K$237,5,FALSE)</f>
        <v>224.66245065830302</v>
      </c>
      <c r="BK118" s="43"/>
      <c r="BL118" s="43">
        <f>VLOOKUP(D118,[1]SoilData!$G$15:$M$238,7,FALSE)</f>
        <v>0.81</v>
      </c>
      <c r="BM118" s="43"/>
      <c r="BN118" s="60"/>
      <c r="BO118" s="44">
        <f>AVERAGE(BB118:BC118)</f>
        <v>2.1308479532163744</v>
      </c>
      <c r="BP118" s="44">
        <f>AVERAGE(AZ118:BA118)</f>
        <v>2.6847032828282833</v>
      </c>
      <c r="BQ118" s="43">
        <f>BP118-BO118</f>
        <v>0.55385532961190886</v>
      </c>
      <c r="BR118" s="64">
        <f>IF(W118&gt;0.000001,W118*352,0)</f>
        <v>724.11428571428564</v>
      </c>
      <c r="BS118" s="64">
        <f>IF(AE118&gt;0.0001,AE118*682,0)</f>
        <v>280.59428571428572</v>
      </c>
      <c r="BT118" s="64">
        <f>AA118*795</f>
        <v>0</v>
      </c>
      <c r="BU118" s="64">
        <f>BR118+BS118+BT118</f>
        <v>1004.7085714285713</v>
      </c>
      <c r="BV118" s="64">
        <f>IF(G118="YES",3.5*18.2,0)</f>
        <v>63.699999999999996</v>
      </c>
      <c r="BW118" s="64">
        <f>BU118-BV118</f>
        <v>941.00857142857126</v>
      </c>
    </row>
    <row r="119" spans="1:75" x14ac:dyDescent="0.15">
      <c r="A119" s="29" t="s">
        <v>789</v>
      </c>
      <c r="B119" s="29">
        <v>49</v>
      </c>
      <c r="C119" s="29" t="s">
        <v>210</v>
      </c>
      <c r="D119" s="29" t="s">
        <v>210</v>
      </c>
      <c r="E119" s="29" t="str">
        <f>VLOOKUP(D119,Harvest_2017_Formulae!$C$2:$D$968,2,FALSE)</f>
        <v>MANDI</v>
      </c>
      <c r="F119" s="29" t="s">
        <v>1014</v>
      </c>
      <c r="G119" s="61" t="s">
        <v>548</v>
      </c>
      <c r="H119" s="29" t="s">
        <v>568</v>
      </c>
      <c r="I119" s="29" t="s">
        <v>548</v>
      </c>
      <c r="J119" s="29" t="s">
        <v>546</v>
      </c>
      <c r="K119" s="29" t="s">
        <v>548</v>
      </c>
      <c r="L119" s="29" t="s">
        <v>2220</v>
      </c>
      <c r="M119" s="29" t="s">
        <v>548</v>
      </c>
      <c r="N119" s="29" t="s">
        <v>546</v>
      </c>
      <c r="O119" s="29" t="s">
        <v>547</v>
      </c>
      <c r="P119" s="29">
        <v>0.25</v>
      </c>
      <c r="Q119" s="29">
        <v>2.75</v>
      </c>
      <c r="R119" s="29">
        <v>0</v>
      </c>
      <c r="S119" s="29" t="s">
        <v>548</v>
      </c>
      <c r="T119" s="29">
        <v>1</v>
      </c>
      <c r="U119" s="29">
        <v>8</v>
      </c>
      <c r="V119" s="29" t="s">
        <v>551</v>
      </c>
      <c r="W119" s="30">
        <v>1.92</v>
      </c>
      <c r="X119" s="29">
        <v>1</v>
      </c>
      <c r="Y119" s="29">
        <v>1</v>
      </c>
      <c r="Z119" s="29" t="s">
        <v>551</v>
      </c>
      <c r="AA119" s="62">
        <v>0.24</v>
      </c>
      <c r="AC119" s="29">
        <v>999</v>
      </c>
      <c r="AD119" s="29" t="s">
        <v>551</v>
      </c>
      <c r="AE119" s="62"/>
      <c r="AF119" s="29" t="s">
        <v>546</v>
      </c>
      <c r="AG119" s="29" t="s">
        <v>548</v>
      </c>
      <c r="AH119" s="29" t="s">
        <v>546</v>
      </c>
      <c r="AI119" s="29" t="s">
        <v>546</v>
      </c>
      <c r="AJ119" s="29" t="s">
        <v>548</v>
      </c>
      <c r="AK119" s="29">
        <v>2</v>
      </c>
      <c r="AL119" s="29">
        <v>2</v>
      </c>
      <c r="AM119" s="29" t="s">
        <v>1071</v>
      </c>
      <c r="AN119" s="29" t="s">
        <v>1072</v>
      </c>
      <c r="AO119" s="29">
        <v>-4.3409576416015625</v>
      </c>
      <c r="AP119" s="29">
        <v>35.425041198730469</v>
      </c>
      <c r="AQ119" s="29">
        <v>1617.699951171875</v>
      </c>
      <c r="AR119" s="29">
        <v>5</v>
      </c>
      <c r="AS119" s="29">
        <v>1705231439</v>
      </c>
      <c r="AT119" s="29" t="s">
        <v>1073</v>
      </c>
      <c r="AU119" s="31">
        <v>42923.381701388891</v>
      </c>
      <c r="AV119" s="31">
        <v>42907.659097222218</v>
      </c>
      <c r="AW119" s="31">
        <v>42923.379745370374</v>
      </c>
      <c r="AX119" s="32">
        <v>42769</v>
      </c>
      <c r="AZ119" s="44">
        <v>1.5526851851851851</v>
      </c>
      <c r="BA119" s="44">
        <v>0.79527777777777786</v>
      </c>
      <c r="BB119" s="44">
        <v>0.67272727272727262</v>
      </c>
      <c r="BC119" s="44">
        <v>2.0555555555555554</v>
      </c>
      <c r="BD119" s="29" t="s">
        <v>2171</v>
      </c>
      <c r="BE119" s="29">
        <v>4.1733207702600001</v>
      </c>
      <c r="BF119" s="29" t="str">
        <f>IF(BE119&lt;0.5,"Depression",IF(BE119&lt;2,"Very gentle",IF(BE119&lt;5,"Gentle",IF(BE119&lt;9,"Moderate",IF(BE119&lt;15,"Strong",IF(BE119&lt;30,"Steep",IF(BE119&lt;1,"Very steep")))))))</f>
        <v>Gentle</v>
      </c>
      <c r="BG119" s="29" t="s">
        <v>2173</v>
      </c>
      <c r="BH119" s="29">
        <v>-0.27191722393000001</v>
      </c>
      <c r="BI119" s="43">
        <v>9.3243646621699998</v>
      </c>
      <c r="BJ119" s="43"/>
      <c r="BK119" s="43">
        <f>VLOOKUP(D119,[1]SoilData!$G$245:$K$451,5,FALSE)</f>
        <v>339.84101699812226</v>
      </c>
      <c r="BL119" s="43"/>
      <c r="BM119" s="43">
        <f>VLOOKUP(D119,[1]SoilData!$G$245:$M$454,7,FALSE)</f>
        <v>1.33</v>
      </c>
      <c r="BN119" s="60"/>
      <c r="BO119" s="44">
        <f>AVERAGE(BB119:BC119)</f>
        <v>1.3641414141414141</v>
      </c>
      <c r="BP119" s="44">
        <f>AVERAGE(AZ119:BA119)</f>
        <v>1.1739814814814815</v>
      </c>
      <c r="BQ119" s="43">
        <f>BP119-BO119</f>
        <v>-0.19015993265993258</v>
      </c>
      <c r="BR119" s="64">
        <f>IF(W119&gt;0.000001,W119*352,0)</f>
        <v>675.83999999999992</v>
      </c>
      <c r="BS119" s="64">
        <f>IF(AE119&gt;0.0001,AE119*682,0)</f>
        <v>0</v>
      </c>
      <c r="BT119" s="64">
        <f>AA119*795</f>
        <v>190.79999999999998</v>
      </c>
      <c r="BU119" s="64">
        <f>BR119+BS119+BT119</f>
        <v>866.63999999999987</v>
      </c>
      <c r="BV119" s="64">
        <f>IF(G119="YES",3.5*18.2,0)</f>
        <v>63.699999999999996</v>
      </c>
      <c r="BW119" s="64">
        <f>BU119-BV119</f>
        <v>802.93999999999983</v>
      </c>
    </row>
    <row r="120" spans="1:75" s="57" customFormat="1" x14ac:dyDescent="0.15">
      <c r="A120" s="29" t="s">
        <v>556</v>
      </c>
      <c r="B120" s="29">
        <v>206</v>
      </c>
      <c r="C120" s="29" t="s">
        <v>400</v>
      </c>
      <c r="D120" s="29" t="s">
        <v>400</v>
      </c>
      <c r="E120" s="29" t="str">
        <f>VLOOKUP(D120,Harvest_2017_Formulae!$C$2:$D$968,2,FALSE)</f>
        <v>TSAMASI</v>
      </c>
      <c r="F120" s="29" t="s">
        <v>1014</v>
      </c>
      <c r="G120" s="61" t="s">
        <v>548</v>
      </c>
      <c r="H120" s="29" t="s">
        <v>568</v>
      </c>
      <c r="I120" s="29" t="s">
        <v>548</v>
      </c>
      <c r="J120" s="29" t="s">
        <v>546</v>
      </c>
      <c r="K120" s="29" t="s">
        <v>548</v>
      </c>
      <c r="L120" s="29" t="s">
        <v>2221</v>
      </c>
      <c r="M120" s="29" t="s">
        <v>546</v>
      </c>
      <c r="N120" s="29" t="s">
        <v>548</v>
      </c>
      <c r="O120" s="29" t="s">
        <v>550</v>
      </c>
      <c r="P120" s="29">
        <v>1</v>
      </c>
      <c r="Q120" s="29"/>
      <c r="R120" s="29"/>
      <c r="S120" s="29" t="s">
        <v>546</v>
      </c>
      <c r="T120" s="29">
        <v>1</v>
      </c>
      <c r="U120" s="29">
        <v>5</v>
      </c>
      <c r="V120" s="29" t="s">
        <v>551</v>
      </c>
      <c r="W120" s="30">
        <v>1.2</v>
      </c>
      <c r="X120" s="29"/>
      <c r="Y120" s="29">
        <v>999</v>
      </c>
      <c r="Z120" s="29" t="s">
        <v>551</v>
      </c>
      <c r="AA120" s="62"/>
      <c r="AB120" s="29">
        <v>1</v>
      </c>
      <c r="AC120" s="29">
        <v>1</v>
      </c>
      <c r="AD120" s="29" t="s">
        <v>551</v>
      </c>
      <c r="AE120" s="62">
        <v>0.24</v>
      </c>
      <c r="AF120" s="29" t="s">
        <v>546</v>
      </c>
      <c r="AG120" s="29" t="s">
        <v>546</v>
      </c>
      <c r="AH120" s="29" t="s">
        <v>546</v>
      </c>
      <c r="AI120" s="29" t="s">
        <v>546</v>
      </c>
      <c r="AJ120" s="29" t="s">
        <v>546</v>
      </c>
      <c r="AK120" s="29">
        <v>0</v>
      </c>
      <c r="AL120" s="29">
        <v>3</v>
      </c>
      <c r="AM120" s="29" t="s">
        <v>1350</v>
      </c>
      <c r="AN120" s="29" t="s">
        <v>1351</v>
      </c>
      <c r="AO120" s="29">
        <v>-4.2992243766784668</v>
      </c>
      <c r="AP120" s="29">
        <v>35.799945831298828</v>
      </c>
      <c r="AQ120" s="29">
        <v>1384.199951171875</v>
      </c>
      <c r="AR120" s="29">
        <v>5</v>
      </c>
      <c r="AS120" s="29">
        <v>1706031849</v>
      </c>
      <c r="AT120" s="29" t="s">
        <v>1352</v>
      </c>
      <c r="AU120" s="31">
        <v>42948.908576388887</v>
      </c>
      <c r="AV120" s="31">
        <v>42940.564583333333</v>
      </c>
      <c r="AW120" s="31">
        <v>42940.575578703705</v>
      </c>
      <c r="AX120" s="32">
        <v>42791</v>
      </c>
      <c r="AY120" s="29"/>
      <c r="AZ120" s="44">
        <v>6.8713333333333324</v>
      </c>
      <c r="BA120" s="44">
        <v>6.5339999999999998</v>
      </c>
      <c r="BB120" s="44">
        <v>4.1790579710144922</v>
      </c>
      <c r="BC120" s="44">
        <v>3.600869565217391</v>
      </c>
      <c r="BD120" s="29" t="s">
        <v>2179</v>
      </c>
      <c r="BE120" s="29">
        <v>6.0023140907299997</v>
      </c>
      <c r="BF120" s="29" t="str">
        <f>IF(BE120&lt;0.5,"Depression",IF(BE120&lt;2,"Very gentle",IF(BE120&lt;5,"Gentle",IF(BE120&lt;9,"Moderate",IF(BE120&lt;15,"Strong",IF(BE120&lt;30,"Steep",IF(BE120&lt;1,"Very steep")))))))</f>
        <v>Moderate</v>
      </c>
      <c r="BG120" s="29" t="s">
        <v>2172</v>
      </c>
      <c r="BH120" s="29">
        <v>-0.81576859951000003</v>
      </c>
      <c r="BI120" s="43">
        <v>9.39083576202</v>
      </c>
      <c r="BJ120" s="43">
        <f>VLOOKUP(D120,[1]SoilData!$G$15:$K$237,5,FALSE)</f>
        <v>466.45977775285326</v>
      </c>
      <c r="BK120" s="43">
        <f>VLOOKUP(D120,[1]SoilData!$G$245:$K$451,5,FALSE)</f>
        <v>513.86592457310235</v>
      </c>
      <c r="BL120" s="43">
        <f>VLOOKUP(D120,[1]SoilData!$G$15:$M$238,7,FALSE)</f>
        <v>1.8160000000000001</v>
      </c>
      <c r="BM120" s="43">
        <f>VLOOKUP(D120,[1]SoilData!$G$245:$M$454,7,FALSE)</f>
        <v>2.2240000000000002</v>
      </c>
      <c r="BN120" s="60">
        <f>BL120-BM120</f>
        <v>-0.40800000000000014</v>
      </c>
      <c r="BO120" s="44">
        <f>AVERAGE(BB120:BC120)</f>
        <v>3.8899637681159414</v>
      </c>
      <c r="BP120" s="44">
        <f>AVERAGE(AZ120:BA120)</f>
        <v>6.7026666666666657</v>
      </c>
      <c r="BQ120" s="43">
        <f>BP120-BO120</f>
        <v>2.8127028985507243</v>
      </c>
      <c r="BR120" s="64">
        <f>IF(W120&gt;0.000001,W120*352,0)</f>
        <v>422.4</v>
      </c>
      <c r="BS120" s="64">
        <f>IF(AE120&gt;0.0001,AE120*682,0)</f>
        <v>163.68</v>
      </c>
      <c r="BT120" s="64">
        <f>AA120*795</f>
        <v>0</v>
      </c>
      <c r="BU120" s="64">
        <f>BR120+BS120+BT120</f>
        <v>586.07999999999993</v>
      </c>
      <c r="BV120" s="64">
        <f>IF(G120="YES",3.5*18.2,0)</f>
        <v>63.699999999999996</v>
      </c>
      <c r="BW120" s="64">
        <f>BU120-BV120</f>
        <v>522.37999999999988</v>
      </c>
    </row>
    <row r="121" spans="1:75" s="57" customFormat="1" x14ac:dyDescent="0.15">
      <c r="A121" s="29" t="s">
        <v>556</v>
      </c>
      <c r="B121" s="29">
        <v>158</v>
      </c>
      <c r="C121" s="29" t="s">
        <v>1001</v>
      </c>
      <c r="D121" s="29" t="s">
        <v>360</v>
      </c>
      <c r="E121" s="29" t="str">
        <f>VLOOKUP(D121,Harvest_2017_Formulae!$C$2:$D$968,2,FALSE)</f>
        <v>HALLU</v>
      </c>
      <c r="F121" s="29" t="s">
        <v>938</v>
      </c>
      <c r="G121" s="61" t="s">
        <v>548</v>
      </c>
      <c r="H121" s="29" t="s">
        <v>568</v>
      </c>
      <c r="I121" s="29" t="s">
        <v>546</v>
      </c>
      <c r="J121" s="29" t="s">
        <v>546</v>
      </c>
      <c r="K121" s="29" t="s">
        <v>548</v>
      </c>
      <c r="L121" s="29" t="s">
        <v>2221</v>
      </c>
      <c r="M121" s="29" t="s">
        <v>546</v>
      </c>
      <c r="N121" s="29" t="s">
        <v>548</v>
      </c>
      <c r="O121" s="29" t="s">
        <v>550</v>
      </c>
      <c r="P121" s="29">
        <v>0.25</v>
      </c>
      <c r="Q121" s="29">
        <v>0.5</v>
      </c>
      <c r="R121" s="29"/>
      <c r="S121" s="29" t="s">
        <v>548</v>
      </c>
      <c r="T121" s="29">
        <v>0.75</v>
      </c>
      <c r="U121" s="29">
        <v>5</v>
      </c>
      <c r="V121" s="29" t="s">
        <v>551</v>
      </c>
      <c r="W121" s="30">
        <v>1.5999999999999999</v>
      </c>
      <c r="X121" s="29"/>
      <c r="Y121" s="29">
        <v>999</v>
      </c>
      <c r="Z121" s="29" t="s">
        <v>551</v>
      </c>
      <c r="AA121" s="62"/>
      <c r="AB121" s="29">
        <v>0.75</v>
      </c>
      <c r="AC121" s="29">
        <v>1</v>
      </c>
      <c r="AD121" s="29" t="s">
        <v>551</v>
      </c>
      <c r="AE121" s="62">
        <v>0.32</v>
      </c>
      <c r="AF121" s="29" t="s">
        <v>546</v>
      </c>
      <c r="AG121" s="29" t="s">
        <v>546</v>
      </c>
      <c r="AH121" s="29" t="s">
        <v>546</v>
      </c>
      <c r="AI121" s="29" t="s">
        <v>546</v>
      </c>
      <c r="AJ121" s="29" t="s">
        <v>546</v>
      </c>
      <c r="AK121" s="29">
        <v>0</v>
      </c>
      <c r="AL121" s="29">
        <v>3</v>
      </c>
      <c r="AM121" s="29" t="s">
        <v>1002</v>
      </c>
      <c r="AN121" s="29" t="s">
        <v>1003</v>
      </c>
      <c r="AO121" s="29">
        <v>-4.2881665229797363</v>
      </c>
      <c r="AP121" s="29">
        <v>35.896720886230469</v>
      </c>
      <c r="AQ121" s="29">
        <v>1215.4000244140625</v>
      </c>
      <c r="AR121" s="29">
        <v>5</v>
      </c>
      <c r="AS121" s="29">
        <v>1706031849</v>
      </c>
      <c r="AT121" s="29" t="s">
        <v>1004</v>
      </c>
      <c r="AU121" s="31">
        <v>42921.43240740741</v>
      </c>
      <c r="AV121" s="31">
        <v>42913.555555555555</v>
      </c>
      <c r="AW121" s="31">
        <v>42913.568715277783</v>
      </c>
      <c r="AX121" s="32">
        <v>42789</v>
      </c>
      <c r="AY121" s="29"/>
      <c r="AZ121" s="44">
        <v>6.9337448559670776</v>
      </c>
      <c r="BA121" s="44">
        <v>10.883950617283949</v>
      </c>
      <c r="BB121" s="44">
        <v>4.9519354838709679</v>
      </c>
      <c r="BC121" s="44">
        <v>4.7983870967741939</v>
      </c>
      <c r="BD121" s="29" t="s">
        <v>2171</v>
      </c>
      <c r="BE121" s="29">
        <v>1.9347803592699999</v>
      </c>
      <c r="BF121" s="29" t="str">
        <f>IF(BE121&lt;0.5,"Depression",IF(BE121&lt;2,"Very gentle",IF(BE121&lt;5,"Gentle",IF(BE121&lt;9,"Moderate",IF(BE121&lt;15,"Strong",IF(BE121&lt;30,"Steep",IF(BE121&lt;1,"Very steep")))))))</f>
        <v>Very gentle</v>
      </c>
      <c r="BG121" s="29" t="s">
        <v>2173</v>
      </c>
      <c r="BH121" s="29">
        <v>0.36257606744799997</v>
      </c>
      <c r="BI121" s="43">
        <v>8.62525939941</v>
      </c>
      <c r="BJ121" s="43">
        <f>VLOOKUP(D121,[1]SoilData!$G$15:$K$237,5,FALSE)</f>
        <v>322.84703885621667</v>
      </c>
      <c r="BK121" s="43">
        <f>VLOOKUP(D121,[1]SoilData!$G$245:$K$451,5,FALSE)</f>
        <v>318.66414354854766</v>
      </c>
      <c r="BL121" s="43">
        <f>VLOOKUP(D121,[1]SoilData!$G$15:$M$238,7,FALSE)</f>
        <v>1.464</v>
      </c>
      <c r="BM121" s="43">
        <f>VLOOKUP(D121,[1]SoilData!$G$245:$M$454,7,FALSE)</f>
        <v>1.71</v>
      </c>
      <c r="BN121" s="60">
        <f>BL121-BM121</f>
        <v>-0.246</v>
      </c>
      <c r="BO121" s="44">
        <f>AVERAGE(BB121:BC121)</f>
        <v>4.8751612903225805</v>
      </c>
      <c r="BP121" s="44">
        <f>AVERAGE(AZ121:BA121)</f>
        <v>8.9088477366255141</v>
      </c>
      <c r="BQ121" s="43">
        <f>BP121-BO121</f>
        <v>4.0336864463029336</v>
      </c>
      <c r="BR121" s="64">
        <f>IF(W121&gt;0.000001,W121*352,0)</f>
        <v>563.19999999999993</v>
      </c>
      <c r="BS121" s="64">
        <f>IF(AE121&gt;0.0001,AE121*682,0)</f>
        <v>218.24</v>
      </c>
      <c r="BT121" s="64">
        <f>AA121*795</f>
        <v>0</v>
      </c>
      <c r="BU121" s="64">
        <f>BR121+BS121+BT121</f>
        <v>781.43999999999994</v>
      </c>
      <c r="BV121" s="64">
        <f>IF(G121="YES",3.5*18.2,0)</f>
        <v>63.699999999999996</v>
      </c>
      <c r="BW121" s="64">
        <f>BU121-BV121</f>
        <v>717.7399999999999</v>
      </c>
    </row>
    <row r="122" spans="1:75" x14ac:dyDescent="0.15">
      <c r="A122" s="29" t="s">
        <v>789</v>
      </c>
      <c r="B122" s="29">
        <v>27</v>
      </c>
      <c r="C122" s="29" t="s">
        <v>1418</v>
      </c>
      <c r="D122" s="29" t="s">
        <v>1418</v>
      </c>
      <c r="E122" s="29" t="e">
        <f>VLOOKUP(D122,Harvest_2017_Formulae!$C$2:$D$968,2,FALSE)</f>
        <v>#N/A</v>
      </c>
      <c r="F122" s="29" t="s">
        <v>1175</v>
      </c>
      <c r="G122" s="61" t="s">
        <v>548</v>
      </c>
      <c r="H122" s="29" t="s">
        <v>568</v>
      </c>
      <c r="I122" s="29" t="s">
        <v>548</v>
      </c>
      <c r="J122" s="29" t="s">
        <v>546</v>
      </c>
      <c r="K122" s="29" t="s">
        <v>548</v>
      </c>
      <c r="L122" s="29" t="s">
        <v>2220</v>
      </c>
      <c r="M122" s="29" t="s">
        <v>548</v>
      </c>
      <c r="N122" s="29" t="s">
        <v>548</v>
      </c>
      <c r="O122" s="29" t="s">
        <v>827</v>
      </c>
      <c r="P122" s="29">
        <v>0.25</v>
      </c>
      <c r="Q122" s="29">
        <v>2.75</v>
      </c>
      <c r="R122" s="29">
        <v>0</v>
      </c>
      <c r="S122" s="29" t="s">
        <v>546</v>
      </c>
      <c r="T122" s="29">
        <v>1</v>
      </c>
      <c r="U122" s="29">
        <v>0.5</v>
      </c>
      <c r="V122" s="29" t="s">
        <v>551</v>
      </c>
      <c r="W122" s="30">
        <v>0.12</v>
      </c>
      <c r="X122" s="29">
        <v>1</v>
      </c>
      <c r="Y122" s="29">
        <v>0.10000000149011612</v>
      </c>
      <c r="Z122" s="29" t="s">
        <v>551</v>
      </c>
      <c r="AA122" s="62">
        <v>2.4000000357627869E-2</v>
      </c>
      <c r="AB122" s="29">
        <v>1</v>
      </c>
      <c r="AC122" s="29">
        <v>0</v>
      </c>
      <c r="AD122" s="29" t="s">
        <v>551</v>
      </c>
      <c r="AE122" s="62">
        <v>0</v>
      </c>
      <c r="AF122" s="29" t="s">
        <v>548</v>
      </c>
      <c r="AG122" s="29" t="s">
        <v>548</v>
      </c>
      <c r="AH122" s="29" t="s">
        <v>546</v>
      </c>
      <c r="AI122" s="29" t="s">
        <v>548</v>
      </c>
      <c r="AJ122" s="29" t="s">
        <v>546</v>
      </c>
      <c r="AK122" s="29">
        <v>3</v>
      </c>
      <c r="AL122" s="29">
        <v>3</v>
      </c>
      <c r="AM122" s="29" t="s">
        <v>1419</v>
      </c>
      <c r="AN122" s="29" t="s">
        <v>1420</v>
      </c>
      <c r="AO122" s="29">
        <v>-4.3597235679626465</v>
      </c>
      <c r="AP122" s="29">
        <v>35.488140106201172</v>
      </c>
      <c r="AQ122" s="29">
        <v>1706.800048828125</v>
      </c>
      <c r="AR122" s="29">
        <v>15</v>
      </c>
      <c r="AS122" s="29">
        <v>1705231439</v>
      </c>
      <c r="AT122" s="29" t="s">
        <v>1421</v>
      </c>
      <c r="AU122" s="31">
        <v>42908.292569444442</v>
      </c>
      <c r="AV122" s="31">
        <v>42895.569097222222</v>
      </c>
      <c r="AW122" s="31">
        <v>42908.288564814815</v>
      </c>
      <c r="AX122" s="32">
        <v>42796</v>
      </c>
      <c r="BD122" s="29" t="s">
        <v>2171</v>
      </c>
      <c r="BE122" s="29">
        <v>2.6377365589099999</v>
      </c>
      <c r="BF122" s="29" t="str">
        <f>IF(BE122&lt;0.5,"Depression",IF(BE122&lt;2,"Very gentle",IF(BE122&lt;5,"Gentle",IF(BE122&lt;9,"Moderate",IF(BE122&lt;15,"Strong",IF(BE122&lt;30,"Steep",IF(BE122&lt;1,"Very steep")))))))</f>
        <v>Gentle</v>
      </c>
      <c r="BG122" s="29" t="s">
        <v>2173</v>
      </c>
      <c r="BH122" s="29">
        <v>0.27193418145199999</v>
      </c>
      <c r="BI122" s="43">
        <v>8.3488903045700003</v>
      </c>
      <c r="BJ122" s="43"/>
      <c r="BK122" s="43"/>
      <c r="BL122" s="43"/>
      <c r="BM122" s="43"/>
      <c r="BN122" s="60"/>
      <c r="BO122" s="43"/>
      <c r="BP122" s="43"/>
      <c r="BQ122" s="43"/>
      <c r="BR122" s="64">
        <f>IF(W122&gt;0.000001,W122*352,0)</f>
        <v>42.239999999999995</v>
      </c>
      <c r="BS122" s="64">
        <f>IF(AE122&gt;0.0001,AE122*682,0)</f>
        <v>0</v>
      </c>
      <c r="BT122" s="64">
        <f>AA122*795</f>
        <v>19.080000284314156</v>
      </c>
      <c r="BU122" s="64">
        <f>BR122+BS122+BT122</f>
        <v>61.320000284314148</v>
      </c>
      <c r="BV122" s="64">
        <f>IF(G122="YES",3.5*18.2,0)</f>
        <v>63.699999999999996</v>
      </c>
      <c r="BW122" s="64">
        <f>BU122-BV122</f>
        <v>-2.3799997156858481</v>
      </c>
    </row>
    <row r="123" spans="1:75" x14ac:dyDescent="0.15">
      <c r="A123" s="29" t="s">
        <v>556</v>
      </c>
      <c r="B123" s="29">
        <v>183</v>
      </c>
      <c r="C123" s="29" t="s">
        <v>330</v>
      </c>
      <c r="D123" s="29" t="s">
        <v>330</v>
      </c>
      <c r="E123" s="29" t="str">
        <f>VLOOKUP(D123,Harvest_2017_Formulae!$C$2:$D$968,2,FALSE)</f>
        <v>DURU</v>
      </c>
      <c r="F123" s="29" t="s">
        <v>645</v>
      </c>
      <c r="G123" s="61" t="s">
        <v>548</v>
      </c>
      <c r="H123" s="29" t="s">
        <v>568</v>
      </c>
      <c r="I123" s="29" t="s">
        <v>546</v>
      </c>
      <c r="J123" s="29" t="s">
        <v>546</v>
      </c>
      <c r="K123" s="29" t="s">
        <v>548</v>
      </c>
      <c r="L123" s="29" t="s">
        <v>2221</v>
      </c>
      <c r="M123" s="29" t="s">
        <v>546</v>
      </c>
      <c r="N123" s="29" t="s">
        <v>548</v>
      </c>
      <c r="O123" s="29" t="s">
        <v>550</v>
      </c>
      <c r="P123" s="29">
        <v>0.25</v>
      </c>
      <c r="Q123" s="29">
        <v>0.25</v>
      </c>
      <c r="R123" s="29">
        <v>0.75</v>
      </c>
      <c r="S123" s="29" t="s">
        <v>548</v>
      </c>
      <c r="T123" s="29">
        <v>1</v>
      </c>
      <c r="U123" s="29">
        <v>7</v>
      </c>
      <c r="V123" s="29" t="s">
        <v>551</v>
      </c>
      <c r="W123" s="30">
        <v>1.6800000000000002</v>
      </c>
      <c r="Y123" s="29">
        <v>999</v>
      </c>
      <c r="Z123" s="29" t="s">
        <v>551</v>
      </c>
      <c r="AA123" s="62"/>
      <c r="AB123" s="29">
        <v>1</v>
      </c>
      <c r="AC123" s="29">
        <v>7</v>
      </c>
      <c r="AD123" s="29" t="s">
        <v>551</v>
      </c>
      <c r="AE123" s="62">
        <v>1.68</v>
      </c>
      <c r="AF123" s="29" t="s">
        <v>548</v>
      </c>
      <c r="AG123" s="29" t="s">
        <v>546</v>
      </c>
      <c r="AH123" s="29" t="s">
        <v>546</v>
      </c>
      <c r="AI123" s="29" t="s">
        <v>546</v>
      </c>
      <c r="AJ123" s="29" t="s">
        <v>546</v>
      </c>
      <c r="AK123" s="29">
        <v>1</v>
      </c>
      <c r="AL123" s="29">
        <v>2</v>
      </c>
      <c r="AM123" s="29" t="s">
        <v>670</v>
      </c>
      <c r="AN123" s="29" t="s">
        <v>671</v>
      </c>
      <c r="AO123" s="29">
        <v>-4.3584175109863281</v>
      </c>
      <c r="AP123" s="29">
        <v>35.589954376220703</v>
      </c>
      <c r="AQ123" s="29">
        <v>1514.5999755859375</v>
      </c>
      <c r="AR123" s="29">
        <v>5</v>
      </c>
      <c r="AS123" s="29">
        <v>1706031849</v>
      </c>
      <c r="AT123" s="29" t="s">
        <v>672</v>
      </c>
      <c r="AU123" s="31">
        <v>42926.575949074075</v>
      </c>
      <c r="AV123" s="31">
        <v>42921.601701388892</v>
      </c>
      <c r="AW123" s="31">
        <v>42921.622037037036</v>
      </c>
      <c r="AX123" s="32">
        <v>43072</v>
      </c>
      <c r="AZ123" s="44">
        <v>5.8612149532710278</v>
      </c>
      <c r="BA123" s="44">
        <v>4.1597611630321909</v>
      </c>
      <c r="BB123" s="44">
        <v>2.9100114547537226</v>
      </c>
      <c r="BC123" s="44">
        <v>3.2822222222222224</v>
      </c>
      <c r="BD123" s="29" t="s">
        <v>2179</v>
      </c>
      <c r="BE123" s="29">
        <v>0.10922735929500001</v>
      </c>
      <c r="BF123" s="29" t="str">
        <f>IF(BE123&lt;0.5,"Depression",IF(BE123&lt;2,"Very gentle",IF(BE123&lt;5,"Gentle",IF(BE123&lt;9,"Moderate",IF(BE123&lt;15,"Strong",IF(BE123&lt;30,"Steep",IF(BE123&lt;1,"Very steep")))))))</f>
        <v>Depression</v>
      </c>
      <c r="BG123" s="29" t="s">
        <v>2173</v>
      </c>
      <c r="BH123" s="29">
        <v>8.4776775111099995E-6</v>
      </c>
      <c r="BI123" s="43">
        <v>12.6122112274</v>
      </c>
      <c r="BJ123" s="43">
        <f>VLOOKUP(D123,[1]SoilData!$G$15:$K$237,5,FALSE)</f>
        <v>215.03214306402631</v>
      </c>
      <c r="BK123" s="43">
        <f>VLOOKUP(D123,[1]SoilData!$G$245:$K$451,5,FALSE)</f>
        <v>465.42014051522273</v>
      </c>
      <c r="BL123" s="43">
        <f>VLOOKUP(D123,[1]SoilData!$G$15:$M$238,7,FALSE)</f>
        <v>1.2470000000000001</v>
      </c>
      <c r="BM123" s="43">
        <f>VLOOKUP(D123,[1]SoilData!$G$245:$M$454,7,FALSE)</f>
        <v>1.599</v>
      </c>
      <c r="BN123" s="60">
        <f>BL123-BM123</f>
        <v>-0.35199999999999987</v>
      </c>
      <c r="BO123" s="44">
        <f>AVERAGE(BB123:BC123)</f>
        <v>3.0961168384879727</v>
      </c>
      <c r="BP123" s="44">
        <f>AVERAGE(AZ123:BA123)</f>
        <v>5.0104880581516094</v>
      </c>
      <c r="BQ123" s="43">
        <f>BP123-BO123</f>
        <v>1.9143712196636367</v>
      </c>
      <c r="BR123" s="64">
        <f>IF(W123&gt;0.000001,W123*352,0)</f>
        <v>591.36</v>
      </c>
      <c r="BS123" s="64">
        <f>IF(AE123&gt;0.0001,AE123*682,0)</f>
        <v>1145.76</v>
      </c>
      <c r="BT123" s="64">
        <f>AA123*795</f>
        <v>0</v>
      </c>
      <c r="BU123" s="64">
        <f>BR123+BS123+BT123</f>
        <v>1737.12</v>
      </c>
      <c r="BV123" s="64">
        <f>IF(G123="YES",3.5*18.2,0)</f>
        <v>63.699999999999996</v>
      </c>
      <c r="BW123" s="64">
        <f>BU123-BV123</f>
        <v>1673.4199999999998</v>
      </c>
    </row>
    <row r="124" spans="1:75" s="57" customFormat="1" x14ac:dyDescent="0.15">
      <c r="A124" s="29" t="s">
        <v>556</v>
      </c>
      <c r="B124" s="29">
        <v>141</v>
      </c>
      <c r="C124" s="29" t="s">
        <v>592</v>
      </c>
      <c r="D124" s="29" t="s">
        <v>429</v>
      </c>
      <c r="E124" s="29" t="str">
        <f>VLOOKUP(D124,Harvest_2017_Formulae!$C$2:$D$968,2,FALSE)</f>
        <v>AYAMANGO</v>
      </c>
      <c r="F124" s="29" t="s">
        <v>196</v>
      </c>
      <c r="G124" s="61" t="s">
        <v>548</v>
      </c>
      <c r="H124" s="29" t="s">
        <v>568</v>
      </c>
      <c r="I124" s="29" t="s">
        <v>548</v>
      </c>
      <c r="J124" s="29" t="s">
        <v>546</v>
      </c>
      <c r="K124" s="29" t="s">
        <v>548</v>
      </c>
      <c r="L124" s="29" t="s">
        <v>2221</v>
      </c>
      <c r="M124" s="29" t="s">
        <v>548</v>
      </c>
      <c r="N124" s="29" t="s">
        <v>548</v>
      </c>
      <c r="O124" s="29" t="s">
        <v>550</v>
      </c>
      <c r="P124" s="29">
        <v>1</v>
      </c>
      <c r="Q124" s="29">
        <v>1</v>
      </c>
      <c r="R124" s="29"/>
      <c r="S124" s="29" t="s">
        <v>548</v>
      </c>
      <c r="T124" s="29">
        <v>2</v>
      </c>
      <c r="U124" s="29">
        <v>40</v>
      </c>
      <c r="V124" s="29" t="s">
        <v>551</v>
      </c>
      <c r="W124" s="30">
        <v>4.8</v>
      </c>
      <c r="X124" s="29"/>
      <c r="Y124" s="29">
        <v>999</v>
      </c>
      <c r="Z124" s="29" t="s">
        <v>551</v>
      </c>
      <c r="AA124" s="62"/>
      <c r="AB124" s="29">
        <v>2</v>
      </c>
      <c r="AC124" s="29">
        <v>7</v>
      </c>
      <c r="AD124" s="29" t="s">
        <v>551</v>
      </c>
      <c r="AE124" s="62">
        <v>0.84</v>
      </c>
      <c r="AF124" s="29" t="s">
        <v>546</v>
      </c>
      <c r="AG124" s="29" t="s">
        <v>546</v>
      </c>
      <c r="AH124" s="29" t="s">
        <v>546</v>
      </c>
      <c r="AI124" s="29" t="s">
        <v>546</v>
      </c>
      <c r="AJ124" s="29" t="s">
        <v>548</v>
      </c>
      <c r="AK124" s="29">
        <v>1</v>
      </c>
      <c r="AL124" s="29">
        <v>3</v>
      </c>
      <c r="AM124" s="29" t="s">
        <v>594</v>
      </c>
      <c r="AN124" s="29" t="s">
        <v>595</v>
      </c>
      <c r="AO124" s="29">
        <v>-4.2444863319396973</v>
      </c>
      <c r="AP124" s="29">
        <v>35.892360687255859</v>
      </c>
      <c r="AQ124" s="29">
        <v>1236.800048828125</v>
      </c>
      <c r="AR124" s="29">
        <v>5</v>
      </c>
      <c r="AS124" s="29">
        <v>1706031849</v>
      </c>
      <c r="AT124" s="29" t="s">
        <v>596</v>
      </c>
      <c r="AU124" s="31">
        <v>42909.495486111111</v>
      </c>
      <c r="AV124" s="31">
        <v>42908.430115740739</v>
      </c>
      <c r="AW124" s="31">
        <v>42908.44395833333</v>
      </c>
      <c r="AX124" s="32">
        <v>42775</v>
      </c>
      <c r="AY124" s="29"/>
      <c r="AZ124" s="44">
        <v>6.6190412186379932</v>
      </c>
      <c r="BA124" s="44">
        <v>6.3587813620071687</v>
      </c>
      <c r="BB124" s="44">
        <v>6.261868686868687</v>
      </c>
      <c r="BC124" s="44">
        <v>5.3831313131313134</v>
      </c>
      <c r="BD124" s="29" t="s">
        <v>2171</v>
      </c>
      <c r="BE124" s="29">
        <v>0.92674517631499997</v>
      </c>
      <c r="BF124" s="29" t="str">
        <f>IF(BE124&lt;0.5,"Depression",IF(BE124&lt;2,"Very gentle",IF(BE124&lt;5,"Gentle",IF(BE124&lt;9,"Moderate",IF(BE124&lt;15,"Strong",IF(BE124&lt;30,"Steep",IF(BE124&lt;1,"Very steep")))))))</f>
        <v>Very gentle</v>
      </c>
      <c r="BG124" s="29" t="s">
        <v>2173</v>
      </c>
      <c r="BH124" s="29">
        <v>-0.45320102572400001</v>
      </c>
      <c r="BI124" s="43">
        <v>11.6241054535</v>
      </c>
      <c r="BJ124" s="43">
        <f>VLOOKUP(D124,[1]SoilData!$G$15:$K$237,5,FALSE)</f>
        <v>470.2676992796512</v>
      </c>
      <c r="BK124" s="43">
        <f>VLOOKUP(D124,[1]SoilData!$G$245:$K$451,5,FALSE)</f>
        <v>439.61516453042049</v>
      </c>
      <c r="BL124" s="43">
        <f>VLOOKUP(D124,[1]SoilData!$G$15:$M$238,7,FALSE)</f>
        <v>2.2480000000000002</v>
      </c>
      <c r="BM124" s="43">
        <f>VLOOKUP(D124,[1]SoilData!$G$245:$M$454,7,FALSE)</f>
        <v>1.8280000000000001</v>
      </c>
      <c r="BN124" s="60">
        <f>BL124-BM124</f>
        <v>0.42000000000000015</v>
      </c>
      <c r="BO124" s="44">
        <f>AVERAGE(BB124:BC124)</f>
        <v>5.8224999999999998</v>
      </c>
      <c r="BP124" s="44">
        <f>AVERAGE(AZ124:BA124)</f>
        <v>6.488911290322581</v>
      </c>
      <c r="BQ124" s="43">
        <f>BP124-BO124</f>
        <v>0.66641129032258117</v>
      </c>
      <c r="BR124" s="64">
        <f>IF(W124&gt;0.000001,W124*352,0)</f>
        <v>1689.6</v>
      </c>
      <c r="BS124" s="64">
        <f>IF(AE124&gt;0.0001,AE124*682,0)</f>
        <v>572.88</v>
      </c>
      <c r="BT124" s="64">
        <f>AA124*795</f>
        <v>0</v>
      </c>
      <c r="BU124" s="64">
        <f>BR124+BS124+BT124</f>
        <v>2262.48</v>
      </c>
      <c r="BV124" s="64">
        <f>IF(G124="YES",3.5*18.2,0)</f>
        <v>63.699999999999996</v>
      </c>
      <c r="BW124" s="64">
        <f>BU124-BV124</f>
        <v>2198.7800000000002</v>
      </c>
    </row>
    <row r="125" spans="1:75" x14ac:dyDescent="0.15">
      <c r="A125" s="29" t="s">
        <v>556</v>
      </c>
      <c r="B125" s="29">
        <v>220</v>
      </c>
      <c r="C125" s="29" t="s">
        <v>1158</v>
      </c>
      <c r="D125" s="29" t="s">
        <v>413</v>
      </c>
      <c r="E125" s="29" t="str">
        <f>VLOOKUP(D125,Harvest_2017_Formulae!$C$2:$D$968,2,FALSE)</f>
        <v>ORNGADIDA</v>
      </c>
      <c r="F125" s="29" t="s">
        <v>777</v>
      </c>
      <c r="G125" s="61" t="s">
        <v>548</v>
      </c>
      <c r="H125" s="29" t="s">
        <v>568</v>
      </c>
      <c r="I125" s="29" t="s">
        <v>548</v>
      </c>
      <c r="J125" s="29" t="s">
        <v>546</v>
      </c>
      <c r="K125" s="29" t="s">
        <v>548</v>
      </c>
      <c r="L125" s="29" t="s">
        <v>2221</v>
      </c>
      <c r="M125" s="29" t="s">
        <v>548</v>
      </c>
      <c r="N125" s="29" t="s">
        <v>548</v>
      </c>
      <c r="O125" s="29" t="s">
        <v>550</v>
      </c>
      <c r="P125" s="29">
        <v>0.25</v>
      </c>
      <c r="Q125" s="29">
        <v>2.25</v>
      </c>
      <c r="S125" s="29" t="s">
        <v>548</v>
      </c>
      <c r="T125" s="29">
        <v>2.25</v>
      </c>
      <c r="U125" s="29">
        <v>24</v>
      </c>
      <c r="V125" s="29" t="s">
        <v>551</v>
      </c>
      <c r="W125" s="30">
        <v>2.5600000000000005</v>
      </c>
      <c r="Y125" s="29">
        <v>999</v>
      </c>
      <c r="Z125" s="29" t="s">
        <v>551</v>
      </c>
      <c r="AA125" s="62"/>
      <c r="AB125" s="29">
        <v>2.25</v>
      </c>
      <c r="AC125" s="29">
        <v>5</v>
      </c>
      <c r="AD125" s="29" t="s">
        <v>551</v>
      </c>
      <c r="AE125" s="62">
        <v>0.53333333333333333</v>
      </c>
      <c r="AF125" s="29" t="s">
        <v>546</v>
      </c>
      <c r="AG125" s="29" t="s">
        <v>546</v>
      </c>
      <c r="AH125" s="29" t="s">
        <v>546</v>
      </c>
      <c r="AI125" s="29" t="s">
        <v>546</v>
      </c>
      <c r="AJ125" s="29" t="s">
        <v>546</v>
      </c>
      <c r="AK125" s="29">
        <v>0</v>
      </c>
      <c r="AL125" s="29">
        <v>4</v>
      </c>
      <c r="AM125" s="29" t="s">
        <v>1160</v>
      </c>
      <c r="AN125" s="29" t="s">
        <v>1161</v>
      </c>
      <c r="AO125" s="29">
        <v>-4.3019556999206543</v>
      </c>
      <c r="AP125" s="29">
        <v>35.868911743164062</v>
      </c>
      <c r="AQ125" s="29">
        <v>1252.300048828125</v>
      </c>
      <c r="AR125" s="29">
        <v>5</v>
      </c>
      <c r="AS125" s="29">
        <v>1706031849</v>
      </c>
      <c r="AT125" s="29" t="s">
        <v>1162</v>
      </c>
      <c r="AU125" s="31">
        <v>42950.967662037037</v>
      </c>
      <c r="AV125" s="31">
        <v>42949.582858796297</v>
      </c>
      <c r="AW125" s="31">
        <v>42950.848761574074</v>
      </c>
      <c r="AX125" s="32">
        <v>42790</v>
      </c>
      <c r="AZ125" s="44">
        <v>2.8538181818181818</v>
      </c>
      <c r="BA125" s="44">
        <v>2.1139393939393942</v>
      </c>
      <c r="BB125" s="44">
        <v>7.5257478632478634</v>
      </c>
      <c r="BC125" s="44">
        <v>6.8955128205128213</v>
      </c>
      <c r="BD125" s="29" t="s">
        <v>2171</v>
      </c>
      <c r="BE125" s="29">
        <v>0.699362456799</v>
      </c>
      <c r="BF125" s="29" t="str">
        <f>IF(BE125&lt;0.5,"Depression",IF(BE125&lt;2,"Very gentle",IF(BE125&lt;5,"Gentle",IF(BE125&lt;9,"Moderate",IF(BE125&lt;15,"Strong",IF(BE125&lt;30,"Steep",IF(BE125&lt;1,"Very steep")))))))</f>
        <v>Very gentle</v>
      </c>
      <c r="BG125" s="29" t="s">
        <v>2173</v>
      </c>
      <c r="BH125" s="29">
        <v>0.36257606744799997</v>
      </c>
      <c r="BI125" s="43">
        <v>9.0593633651700003</v>
      </c>
      <c r="BJ125" s="43"/>
      <c r="BK125" s="43"/>
      <c r="BL125" s="43"/>
      <c r="BM125" s="43"/>
      <c r="BN125" s="60"/>
      <c r="BO125" s="44">
        <f>AVERAGE(BB125:BC125)</f>
        <v>7.2106303418803428</v>
      </c>
      <c r="BP125" s="44">
        <f>AVERAGE(AZ125:BA125)</f>
        <v>2.4838787878787878</v>
      </c>
      <c r="BQ125" s="43">
        <f>BP125-BO125</f>
        <v>-4.726751554001555</v>
      </c>
      <c r="BR125" s="64">
        <f>IF(W125&gt;0.000001,W125*352,0)</f>
        <v>901.12000000000012</v>
      </c>
      <c r="BS125" s="64">
        <f>IF(AE125&gt;0.0001,AE125*682,0)</f>
        <v>363.73333333333335</v>
      </c>
      <c r="BT125" s="64">
        <f>AA125*795</f>
        <v>0</v>
      </c>
      <c r="BU125" s="64">
        <f>BR125+BS125+BT125</f>
        <v>1264.8533333333335</v>
      </c>
      <c r="BV125" s="64">
        <f>IF(G125="YES",3.5*18.2,0)</f>
        <v>63.699999999999996</v>
      </c>
      <c r="BW125" s="64">
        <f>BU125-BV125</f>
        <v>1201.1533333333334</v>
      </c>
    </row>
    <row r="126" spans="1:75" x14ac:dyDescent="0.15">
      <c r="A126" s="29" t="s">
        <v>789</v>
      </c>
      <c r="B126" s="29">
        <v>51</v>
      </c>
      <c r="C126" s="29" t="s">
        <v>201</v>
      </c>
      <c r="D126" s="29" t="s">
        <v>201</v>
      </c>
      <c r="E126" s="29" t="str">
        <f>VLOOKUP(D126,Harvest_2017_Formulae!$C$2:$D$968,2,FALSE)</f>
        <v>MANDI</v>
      </c>
      <c r="F126" s="29" t="s">
        <v>1014</v>
      </c>
      <c r="G126" s="61" t="s">
        <v>548</v>
      </c>
      <c r="H126" s="29" t="s">
        <v>568</v>
      </c>
      <c r="I126" s="29" t="s">
        <v>548</v>
      </c>
      <c r="J126" s="29" t="s">
        <v>546</v>
      </c>
      <c r="K126" s="29" t="s">
        <v>548</v>
      </c>
      <c r="L126" s="29" t="s">
        <v>2220</v>
      </c>
      <c r="M126" s="29" t="s">
        <v>548</v>
      </c>
      <c r="N126" s="29" t="s">
        <v>548</v>
      </c>
      <c r="O126" s="29" t="s">
        <v>827</v>
      </c>
      <c r="P126" s="29">
        <v>0.25</v>
      </c>
      <c r="Q126" s="29">
        <v>2.75</v>
      </c>
      <c r="R126" s="29">
        <v>0</v>
      </c>
      <c r="S126" s="29" t="s">
        <v>548</v>
      </c>
      <c r="T126" s="29">
        <v>1</v>
      </c>
      <c r="U126" s="29">
        <v>2.5</v>
      </c>
      <c r="V126" s="29" t="s">
        <v>551</v>
      </c>
      <c r="W126" s="30">
        <v>0.6</v>
      </c>
      <c r="X126" s="29">
        <v>1</v>
      </c>
      <c r="Y126" s="29">
        <v>0.5</v>
      </c>
      <c r="Z126" s="29" t="s">
        <v>551</v>
      </c>
      <c r="AA126" s="62">
        <v>0.12</v>
      </c>
      <c r="AB126" s="29">
        <v>1</v>
      </c>
      <c r="AC126" s="29">
        <v>0.5</v>
      </c>
      <c r="AD126" s="29" t="s">
        <v>551</v>
      </c>
      <c r="AE126" s="62">
        <v>0.12</v>
      </c>
      <c r="AF126" s="29" t="s">
        <v>548</v>
      </c>
      <c r="AG126" s="29" t="s">
        <v>546</v>
      </c>
      <c r="AH126" s="29" t="s">
        <v>548</v>
      </c>
      <c r="AI126" s="29" t="s">
        <v>546</v>
      </c>
      <c r="AJ126" s="29" t="s">
        <v>546</v>
      </c>
      <c r="AK126" s="29">
        <v>2</v>
      </c>
      <c r="AL126" s="29">
        <v>3</v>
      </c>
      <c r="AM126" s="29" t="s">
        <v>1039</v>
      </c>
      <c r="AN126" s="29" t="s">
        <v>1040</v>
      </c>
      <c r="AO126" s="29">
        <v>-4.3366756439208984</v>
      </c>
      <c r="AP126" s="29">
        <v>35.433216094970703</v>
      </c>
      <c r="AQ126" s="29">
        <v>1580.5</v>
      </c>
      <c r="AR126" s="29">
        <v>5</v>
      </c>
      <c r="AS126" s="29">
        <v>1705231439</v>
      </c>
      <c r="AT126" s="29" t="s">
        <v>1041</v>
      </c>
      <c r="AU126" s="31">
        <v>42923.381724537037</v>
      </c>
      <c r="AV126" s="31">
        <v>42908.418773148151</v>
      </c>
      <c r="AW126" s="31">
        <v>42908.431018518517</v>
      </c>
      <c r="AX126" s="32">
        <v>42769</v>
      </c>
      <c r="AZ126" s="44">
        <v>2.8890196078431374</v>
      </c>
      <c r="BA126" s="44">
        <v>1.4990196078431373</v>
      </c>
      <c r="BB126" s="44">
        <v>1.8287500000000003</v>
      </c>
      <c r="BC126" s="44">
        <v>2.8233333333333337</v>
      </c>
      <c r="BD126" s="29" t="s">
        <v>2171</v>
      </c>
      <c r="BE126" s="29">
        <v>0.48846834898000002</v>
      </c>
      <c r="BF126" s="29" t="str">
        <f>IF(BE126&lt;0.5,"Depression",IF(BE126&lt;2,"Very gentle",IF(BE126&lt;5,"Gentle",IF(BE126&lt;9,"Moderate",IF(BE126&lt;15,"Strong",IF(BE126&lt;30,"Steep",IF(BE126&lt;1,"Very steep")))))))</f>
        <v>Depression</v>
      </c>
      <c r="BG126" s="29" t="s">
        <v>2173</v>
      </c>
      <c r="BH126" s="29">
        <v>-0.18127532303300001</v>
      </c>
      <c r="BI126" s="43">
        <v>10.178800582899999</v>
      </c>
      <c r="BJ126" s="43">
        <f>VLOOKUP(D126,[1]SoilData!$G$15:$K$237,5,FALSE)</f>
        <v>401.12717291857291</v>
      </c>
      <c r="BK126" s="43">
        <f>VLOOKUP(D126,[1]SoilData!$G$245:$K$451,5,FALSE)</f>
        <v>288.96651490421789</v>
      </c>
      <c r="BL126" s="43">
        <f>VLOOKUP(D126,[1]SoilData!$G$15:$M$238,7,FALSE)</f>
        <v>1.5229999999999999</v>
      </c>
      <c r="BM126" s="43">
        <f>VLOOKUP(D126,[1]SoilData!$G$245:$M$454,7,FALSE)</f>
        <v>1.421</v>
      </c>
      <c r="BN126" s="60">
        <f>BL126-BM126</f>
        <v>0.10199999999999987</v>
      </c>
      <c r="BO126" s="44">
        <f>AVERAGE(BB126:BC126)</f>
        <v>2.3260416666666668</v>
      </c>
      <c r="BP126" s="44">
        <f>AVERAGE(AZ126:BA126)</f>
        <v>2.1940196078431375</v>
      </c>
      <c r="BQ126" s="43">
        <f>BP126-BO126</f>
        <v>-0.13202205882352924</v>
      </c>
      <c r="BR126" s="64">
        <f>IF(W126&gt;0.000001,W126*352,0)</f>
        <v>211.2</v>
      </c>
      <c r="BS126" s="64">
        <f>IF(AE126&gt;0.0001,AE126*682,0)</f>
        <v>81.84</v>
      </c>
      <c r="BT126" s="64">
        <f>AA126*795</f>
        <v>95.399999999999991</v>
      </c>
      <c r="BU126" s="64">
        <f>BR126+BS126+BT126</f>
        <v>388.43999999999994</v>
      </c>
      <c r="BV126" s="64">
        <f>IF(G126="YES",3.5*18.2,0)</f>
        <v>63.699999999999996</v>
      </c>
      <c r="BW126" s="64">
        <f>BU126-BV126</f>
        <v>324.73999999999995</v>
      </c>
    </row>
    <row r="127" spans="1:75" x14ac:dyDescent="0.15">
      <c r="A127" s="29" t="s">
        <v>556</v>
      </c>
      <c r="B127" s="29">
        <v>181</v>
      </c>
      <c r="C127" s="29" t="s">
        <v>339</v>
      </c>
      <c r="D127" s="29" t="s">
        <v>339</v>
      </c>
      <c r="E127" s="29" t="str">
        <f>VLOOKUP(D127,Harvest_2017_Formulae!$C$2:$D$968,2,FALSE)</f>
        <v>DURU</v>
      </c>
      <c r="F127" s="29" t="s">
        <v>645</v>
      </c>
      <c r="G127" s="61" t="s">
        <v>548</v>
      </c>
      <c r="H127" s="29" t="s">
        <v>568</v>
      </c>
      <c r="I127" s="29" t="s">
        <v>546</v>
      </c>
      <c r="J127" s="29" t="s">
        <v>546</v>
      </c>
      <c r="K127" s="29" t="s">
        <v>548</v>
      </c>
      <c r="L127" s="29" t="s">
        <v>2221</v>
      </c>
      <c r="M127" s="29" t="s">
        <v>546</v>
      </c>
      <c r="N127" s="29" t="s">
        <v>548</v>
      </c>
      <c r="O127" s="29" t="s">
        <v>550</v>
      </c>
      <c r="P127" s="29">
        <v>0.25</v>
      </c>
      <c r="Q127" s="29">
        <v>0.75</v>
      </c>
      <c r="S127" s="29" t="s">
        <v>548</v>
      </c>
      <c r="T127" s="29">
        <v>1</v>
      </c>
      <c r="U127" s="29">
        <v>15</v>
      </c>
      <c r="V127" s="29" t="s">
        <v>551</v>
      </c>
      <c r="W127" s="30">
        <v>3.5999999999999996</v>
      </c>
      <c r="Y127" s="29">
        <v>999</v>
      </c>
      <c r="Z127" s="29" t="s">
        <v>551</v>
      </c>
      <c r="AA127" s="62"/>
      <c r="AB127" s="29">
        <v>1</v>
      </c>
      <c r="AC127" s="29">
        <v>5</v>
      </c>
      <c r="AD127" s="29" t="s">
        <v>551</v>
      </c>
      <c r="AE127" s="62">
        <v>1.2</v>
      </c>
      <c r="AF127" s="29" t="s">
        <v>548</v>
      </c>
      <c r="AG127" s="29" t="s">
        <v>546</v>
      </c>
      <c r="AH127" s="29" t="s">
        <v>548</v>
      </c>
      <c r="AI127" s="29" t="s">
        <v>546</v>
      </c>
      <c r="AJ127" s="29" t="s">
        <v>548</v>
      </c>
      <c r="AK127" s="29">
        <v>3</v>
      </c>
      <c r="AL127" s="29">
        <v>3</v>
      </c>
      <c r="AM127" s="29" t="s">
        <v>719</v>
      </c>
      <c r="AN127" s="29" t="s">
        <v>720</v>
      </c>
      <c r="AO127" s="29">
        <v>-4.3116297721862793</v>
      </c>
      <c r="AP127" s="29">
        <v>35.589282989501953</v>
      </c>
      <c r="AQ127" s="29">
        <v>1543.4000244140625</v>
      </c>
      <c r="AR127" s="29">
        <v>5</v>
      </c>
      <c r="AS127" s="29">
        <v>1706031849</v>
      </c>
      <c r="AT127" s="29" t="s">
        <v>721</v>
      </c>
      <c r="AU127" s="31">
        <v>42926.575914351852</v>
      </c>
      <c r="AV127" s="31">
        <v>42921.536840277782</v>
      </c>
      <c r="AW127" s="31">
        <v>42921.545254629629</v>
      </c>
      <c r="AX127" s="32">
        <v>42769</v>
      </c>
      <c r="AZ127" s="44">
        <v>5.5057478632478638</v>
      </c>
      <c r="BA127" s="44">
        <v>5.6888034188034187</v>
      </c>
      <c r="BB127" s="44">
        <v>6.1862222222222218</v>
      </c>
      <c r="BC127" s="44">
        <v>4.8256161616161615</v>
      </c>
      <c r="BD127" s="29" t="s">
        <v>2171</v>
      </c>
      <c r="BE127" s="29">
        <v>4.2950010299699999</v>
      </c>
      <c r="BF127" s="29" t="str">
        <f>IF(BE127&lt;0.5,"Depression",IF(BE127&lt;2,"Very gentle",IF(BE127&lt;5,"Gentle",IF(BE127&lt;9,"Moderate",IF(BE127&lt;15,"Strong",IF(BE127&lt;30,"Steep",IF(BE127&lt;1,"Very steep")))))))</f>
        <v>Gentle</v>
      </c>
      <c r="BG127" s="29" t="s">
        <v>2177</v>
      </c>
      <c r="BH127" s="29">
        <v>0.63450175523800001</v>
      </c>
      <c r="BI127" s="43">
        <v>8.7873973846400002</v>
      </c>
      <c r="BJ127" s="43">
        <f>VLOOKUP(D127,[1]SoilData!$G$15:$K$237,5,FALSE)</f>
        <v>317.00502553349799</v>
      </c>
      <c r="BK127" s="43">
        <f>VLOOKUP(D127,[1]SoilData!$G$245:$K$451,5,FALSE)</f>
        <v>204.14796577496708</v>
      </c>
      <c r="BL127" s="43">
        <f>VLOOKUP(D127,[1]SoilData!$G$15:$M$238,7,FALSE)</f>
        <v>1.1399999999999999</v>
      </c>
      <c r="BM127" s="43">
        <f>VLOOKUP(D127,[1]SoilData!$G$245:$M$454,7,FALSE)</f>
        <v>1.29</v>
      </c>
      <c r="BN127" s="60">
        <f>BL127-BM127</f>
        <v>-0.15000000000000013</v>
      </c>
      <c r="BO127" s="44">
        <f>AVERAGE(BB127:BC127)</f>
        <v>5.5059191919191921</v>
      </c>
      <c r="BP127" s="44">
        <f>AVERAGE(AZ127:BA127)</f>
        <v>5.5972756410256412</v>
      </c>
      <c r="BQ127" s="43">
        <f>BP127-BO127</f>
        <v>9.1356449106449134E-2</v>
      </c>
      <c r="BR127" s="64">
        <f>IF(W127&gt;0.000001,W127*352,0)</f>
        <v>1267.1999999999998</v>
      </c>
      <c r="BS127" s="64">
        <f>IF(AE127&gt;0.0001,AE127*682,0)</f>
        <v>818.4</v>
      </c>
      <c r="BT127" s="64">
        <f>AA127*795</f>
        <v>0</v>
      </c>
      <c r="BU127" s="64">
        <f>BR127+BS127+BT127</f>
        <v>2085.6</v>
      </c>
      <c r="BV127" s="64">
        <f>IF(G127="YES",3.5*18.2,0)</f>
        <v>63.699999999999996</v>
      </c>
      <c r="BW127" s="64">
        <f>BU127-BV127</f>
        <v>2021.8999999999999</v>
      </c>
    </row>
    <row r="128" spans="1:75" x14ac:dyDescent="0.15">
      <c r="A128" s="29" t="s">
        <v>789</v>
      </c>
      <c r="B128" s="29">
        <v>31</v>
      </c>
      <c r="C128" s="29" t="s">
        <v>263</v>
      </c>
      <c r="D128" s="29" t="s">
        <v>263</v>
      </c>
      <c r="E128" s="29" t="str">
        <f>VLOOKUP(D128,Harvest_2017_Formulae!$C$2:$D$968,2,FALSE)</f>
        <v>Sangara</v>
      </c>
      <c r="F128" s="29" t="s">
        <v>1014</v>
      </c>
      <c r="G128" s="61" t="s">
        <v>548</v>
      </c>
      <c r="H128" s="29" t="s">
        <v>568</v>
      </c>
      <c r="I128" s="29" t="s">
        <v>548</v>
      </c>
      <c r="J128" s="29" t="s">
        <v>546</v>
      </c>
      <c r="K128" s="29" t="s">
        <v>548</v>
      </c>
      <c r="L128" s="29" t="s">
        <v>2220</v>
      </c>
      <c r="M128" s="29" t="s">
        <v>548</v>
      </c>
      <c r="N128" s="29" t="s">
        <v>548</v>
      </c>
      <c r="O128" s="29" t="s">
        <v>793</v>
      </c>
      <c r="P128" s="29">
        <v>1</v>
      </c>
      <c r="Q128" s="29">
        <v>2</v>
      </c>
      <c r="R128" s="29">
        <v>0</v>
      </c>
      <c r="S128" s="29" t="s">
        <v>548</v>
      </c>
      <c r="T128" s="29">
        <v>1</v>
      </c>
      <c r="U128" s="29">
        <v>12</v>
      </c>
      <c r="V128" s="29" t="s">
        <v>551</v>
      </c>
      <c r="W128" s="30">
        <v>2.8800000000000003</v>
      </c>
      <c r="X128" s="29">
        <v>1</v>
      </c>
      <c r="Y128" s="29">
        <v>2</v>
      </c>
      <c r="Z128" s="29" t="s">
        <v>551</v>
      </c>
      <c r="AA128" s="62">
        <v>0.48</v>
      </c>
      <c r="AB128" s="29">
        <v>1</v>
      </c>
      <c r="AC128" s="29">
        <v>3</v>
      </c>
      <c r="AD128" s="29" t="s">
        <v>551</v>
      </c>
      <c r="AE128" s="62">
        <v>0.72</v>
      </c>
      <c r="AF128" s="29" t="s">
        <v>546</v>
      </c>
      <c r="AG128" s="29" t="s">
        <v>546</v>
      </c>
      <c r="AH128" s="29" t="s">
        <v>548</v>
      </c>
      <c r="AI128" s="29" t="s">
        <v>546</v>
      </c>
      <c r="AJ128" s="29" t="s">
        <v>548</v>
      </c>
      <c r="AK128" s="29">
        <v>2</v>
      </c>
      <c r="AL128" s="29">
        <v>2</v>
      </c>
      <c r="AM128" s="29" t="s">
        <v>1266</v>
      </c>
      <c r="AN128" s="29" t="s">
        <v>1267</v>
      </c>
      <c r="AO128" s="29">
        <v>-4.2769598960876465</v>
      </c>
      <c r="AP128" s="29">
        <v>35.628490447998047</v>
      </c>
      <c r="AQ128" s="29">
        <v>1403.300048828125</v>
      </c>
      <c r="AR128" s="29">
        <v>15</v>
      </c>
      <c r="AS128" s="29">
        <v>1705231439</v>
      </c>
      <c r="AT128" s="29" t="s">
        <v>1268</v>
      </c>
      <c r="AU128" s="31">
        <v>42908.292604166665</v>
      </c>
      <c r="AV128" s="31">
        <v>42898.617662037039</v>
      </c>
      <c r="AW128" s="31">
        <v>42908.2887037037</v>
      </c>
      <c r="AX128" s="32">
        <v>42741</v>
      </c>
      <c r="AZ128" s="44"/>
      <c r="BA128" s="44"/>
      <c r="BB128" s="44"/>
      <c r="BC128" s="44"/>
      <c r="BD128" s="29" t="s">
        <v>2179</v>
      </c>
      <c r="BE128" s="29">
        <v>7.2281165122999997</v>
      </c>
      <c r="BF128" s="29" t="str">
        <f>IF(BE128&lt;0.5,"Depression",IF(BE128&lt;2,"Very gentle",IF(BE128&lt;5,"Gentle",IF(BE128&lt;9,"Moderate",IF(BE128&lt;15,"Strong",IF(BE128&lt;30,"Steep",IF(BE128&lt;1,"Very steep")))))))</f>
        <v>Moderate</v>
      </c>
      <c r="BG128" s="29" t="s">
        <v>2178</v>
      </c>
      <c r="BH128" s="29">
        <v>0.27193418145199999</v>
      </c>
      <c r="BI128" s="43">
        <v>7.7144684791599998</v>
      </c>
      <c r="BJ128" s="43">
        <f>VLOOKUP(D128,[1]SoilData!$G$15:$K$237,5,FALSE)</f>
        <v>205.72017308152266</v>
      </c>
      <c r="BK128" s="43">
        <f>VLOOKUP(D128,[1]SoilData!$G$245:$K$451,5,FALSE)</f>
        <v>294.82612027374853</v>
      </c>
      <c r="BL128" s="43"/>
      <c r="BM128" s="43"/>
      <c r="BN128" s="60"/>
      <c r="BO128" s="44"/>
      <c r="BP128" s="44"/>
      <c r="BQ128" s="43"/>
      <c r="BR128" s="64">
        <f>IF(W128&gt;0.000001,W128*352,0)</f>
        <v>1013.7600000000001</v>
      </c>
      <c r="BS128" s="64">
        <f>IF(AE128&gt;0.0001,AE128*682,0)</f>
        <v>491.03999999999996</v>
      </c>
      <c r="BT128" s="64">
        <f>AA128*795</f>
        <v>381.59999999999997</v>
      </c>
      <c r="BU128" s="64">
        <f>BR128+BS128+BT128</f>
        <v>1886.4</v>
      </c>
      <c r="BV128" s="64">
        <f>IF(G128="YES",3.5*18.2,0)</f>
        <v>63.699999999999996</v>
      </c>
      <c r="BW128" s="64">
        <f>BU128-BV128</f>
        <v>1822.7</v>
      </c>
    </row>
    <row r="129" spans="1:75" x14ac:dyDescent="0.15">
      <c r="A129" s="29" t="s">
        <v>789</v>
      </c>
      <c r="B129" s="29">
        <v>72</v>
      </c>
      <c r="C129" s="29" t="s">
        <v>810</v>
      </c>
      <c r="D129" s="29" t="s">
        <v>138</v>
      </c>
      <c r="E129" s="29" t="str">
        <f>VLOOKUP(D129,Harvest_2017_Formulae!$C$2:$D$968,2,FALSE)</f>
        <v>Endanachan</v>
      </c>
      <c r="F129" s="29" t="s">
        <v>777</v>
      </c>
      <c r="G129" s="61" t="s">
        <v>548</v>
      </c>
      <c r="H129" s="29" t="s">
        <v>568</v>
      </c>
      <c r="I129" s="29" t="s">
        <v>548</v>
      </c>
      <c r="J129" s="29" t="s">
        <v>546</v>
      </c>
      <c r="K129" s="29" t="s">
        <v>548</v>
      </c>
      <c r="L129" s="29" t="s">
        <v>2220</v>
      </c>
      <c r="M129" s="29" t="s">
        <v>546</v>
      </c>
      <c r="N129" s="29" t="s">
        <v>546</v>
      </c>
      <c r="O129" s="29" t="s">
        <v>547</v>
      </c>
      <c r="P129" s="29">
        <v>0.25</v>
      </c>
      <c r="Q129" s="29">
        <v>1.5</v>
      </c>
      <c r="R129" s="29">
        <v>0</v>
      </c>
      <c r="S129" s="29" t="s">
        <v>548</v>
      </c>
      <c r="T129" s="29">
        <v>1</v>
      </c>
      <c r="U129" s="29">
        <v>8</v>
      </c>
      <c r="V129" s="29" t="s">
        <v>551</v>
      </c>
      <c r="W129" s="30">
        <v>1.92</v>
      </c>
      <c r="Y129" s="29">
        <v>999</v>
      </c>
      <c r="Z129" s="29" t="s">
        <v>551</v>
      </c>
      <c r="AA129" s="62"/>
      <c r="AB129" s="29">
        <v>1</v>
      </c>
      <c r="AC129" s="29">
        <v>1.25</v>
      </c>
      <c r="AD129" s="29" t="s">
        <v>551</v>
      </c>
      <c r="AE129" s="62">
        <v>0.3</v>
      </c>
      <c r="AF129" s="29" t="s">
        <v>548</v>
      </c>
      <c r="AG129" s="29" t="s">
        <v>546</v>
      </c>
      <c r="AH129" s="29" t="s">
        <v>548</v>
      </c>
      <c r="AI129" s="29" t="s">
        <v>546</v>
      </c>
      <c r="AJ129" s="29" t="s">
        <v>548</v>
      </c>
      <c r="AK129" s="29">
        <v>3</v>
      </c>
      <c r="AL129" s="29">
        <v>3</v>
      </c>
      <c r="AM129" s="29" t="s">
        <v>811</v>
      </c>
      <c r="AN129" s="29" t="s">
        <v>812</v>
      </c>
      <c r="AO129" s="29">
        <v>-4.3854942321777344</v>
      </c>
      <c r="AP129" s="29">
        <v>35.689628601074219</v>
      </c>
      <c r="AQ129" s="29">
        <v>1353.4000244140625</v>
      </c>
      <c r="AR129" s="29">
        <v>15</v>
      </c>
      <c r="AS129" s="29">
        <v>1705231439</v>
      </c>
      <c r="AT129" s="29" t="s">
        <v>813</v>
      </c>
      <c r="AU129" s="31">
        <v>42923.387106481481</v>
      </c>
      <c r="AV129" s="31">
        <v>42903.537453703699</v>
      </c>
      <c r="AW129" s="31">
        <v>42923.384502314817</v>
      </c>
      <c r="AX129" s="32">
        <v>42737</v>
      </c>
      <c r="AZ129" s="44">
        <v>6.8505555555555544</v>
      </c>
      <c r="BA129" s="44">
        <v>6.5883333333333338</v>
      </c>
      <c r="BB129" s="44">
        <v>6.2360493827160495</v>
      </c>
      <c r="BC129" s="44">
        <v>5.9880246913580235</v>
      </c>
      <c r="BD129" s="29" t="s">
        <v>2171</v>
      </c>
      <c r="BE129" s="29">
        <v>3.6667199134800001</v>
      </c>
      <c r="BF129" s="29" t="str">
        <f>IF(BE129&lt;0.5,"Depression",IF(BE129&lt;2,"Very gentle",IF(BE129&lt;5,"Gentle",IF(BE129&lt;9,"Moderate",IF(BE129&lt;15,"Strong",IF(BE129&lt;30,"Steep",IF(BE129&lt;1,"Very steep")))))))</f>
        <v>Gentle</v>
      </c>
      <c r="BG129" s="29" t="s">
        <v>2177</v>
      </c>
      <c r="BH129" s="29">
        <v>0.815785527229</v>
      </c>
      <c r="BI129" s="43">
        <v>7.6353573799100003</v>
      </c>
      <c r="BJ129" s="43"/>
      <c r="BK129" s="43">
        <f>VLOOKUP(D129,[1]SoilData!$G$245:$K$451,5,FALSE)</f>
        <v>424.10948138874181</v>
      </c>
      <c r="BL129" s="43"/>
      <c r="BM129" s="43">
        <f>VLOOKUP(D129,[1]SoilData!$G$245:$M$454,7,FALSE)</f>
        <v>1.371</v>
      </c>
      <c r="BN129" s="60"/>
      <c r="BO129" s="44">
        <f>AVERAGE(BB129:BC129)</f>
        <v>6.1120370370370365</v>
      </c>
      <c r="BP129" s="44">
        <f>AVERAGE(AZ129:BA129)</f>
        <v>6.7194444444444441</v>
      </c>
      <c r="BQ129" s="43">
        <f>BP129-BO129</f>
        <v>0.60740740740740762</v>
      </c>
      <c r="BR129" s="64">
        <f>IF(W129&gt;0.000001,W129*352,0)</f>
        <v>675.83999999999992</v>
      </c>
      <c r="BS129" s="64">
        <f>IF(AE129&gt;0.0001,AE129*682,0)</f>
        <v>204.6</v>
      </c>
      <c r="BT129" s="64">
        <f>AA129*795</f>
        <v>0</v>
      </c>
      <c r="BU129" s="64">
        <f>BR129+BS129+BT129</f>
        <v>880.43999999999994</v>
      </c>
      <c r="BV129" s="64">
        <f>IF(G129="YES",3.5*18.2,0)</f>
        <v>63.699999999999996</v>
      </c>
      <c r="BW129" s="64">
        <f>BU129-BV129</f>
        <v>816.7399999999999</v>
      </c>
    </row>
    <row r="130" spans="1:75" x14ac:dyDescent="0.15">
      <c r="A130" s="29" t="s">
        <v>556</v>
      </c>
      <c r="B130" s="29">
        <v>148</v>
      </c>
      <c r="C130" s="29" t="s">
        <v>317</v>
      </c>
      <c r="D130" s="29" t="s">
        <v>317</v>
      </c>
      <c r="E130" s="29" t="str">
        <f>VLOOKUP(D130,Harvest_2017_Formulae!$C$2:$D$968,2,FALSE)</f>
        <v>AYAMANGO</v>
      </c>
      <c r="F130" s="29" t="s">
        <v>196</v>
      </c>
      <c r="G130" s="61" t="s">
        <v>548</v>
      </c>
      <c r="H130" s="29" t="s">
        <v>568</v>
      </c>
      <c r="I130" s="29" t="s">
        <v>548</v>
      </c>
      <c r="J130" s="29" t="s">
        <v>546</v>
      </c>
      <c r="K130" s="29" t="s">
        <v>548</v>
      </c>
      <c r="L130" s="29" t="s">
        <v>2221</v>
      </c>
      <c r="M130" s="29" t="s">
        <v>546</v>
      </c>
      <c r="N130" s="29" t="s">
        <v>548</v>
      </c>
      <c r="O130" s="29" t="s">
        <v>550</v>
      </c>
      <c r="P130" s="29">
        <v>0.25</v>
      </c>
      <c r="Q130" s="29">
        <v>0.5</v>
      </c>
      <c r="S130" s="29" t="s">
        <v>548</v>
      </c>
      <c r="T130" s="29">
        <v>0.75</v>
      </c>
      <c r="U130" s="29">
        <v>8</v>
      </c>
      <c r="V130" s="29" t="s">
        <v>551</v>
      </c>
      <c r="W130" s="30">
        <v>2.56</v>
      </c>
      <c r="Y130" s="29">
        <v>999</v>
      </c>
      <c r="Z130" s="29" t="s">
        <v>551</v>
      </c>
      <c r="AA130" s="62"/>
      <c r="AB130" s="29">
        <v>0.75</v>
      </c>
      <c r="AC130" s="29">
        <v>1</v>
      </c>
      <c r="AD130" s="29" t="s">
        <v>551</v>
      </c>
      <c r="AE130" s="62">
        <v>0.32</v>
      </c>
      <c r="AF130" s="29" t="s">
        <v>548</v>
      </c>
      <c r="AG130" s="29" t="s">
        <v>548</v>
      </c>
      <c r="AH130" s="29" t="s">
        <v>548</v>
      </c>
      <c r="AI130" s="29" t="s">
        <v>548</v>
      </c>
      <c r="AJ130" s="29" t="s">
        <v>548</v>
      </c>
      <c r="AK130" s="29">
        <v>5</v>
      </c>
      <c r="AL130" s="29">
        <v>3</v>
      </c>
      <c r="AM130" s="29" t="s">
        <v>600</v>
      </c>
      <c r="AN130" s="29" t="s">
        <v>601</v>
      </c>
      <c r="AO130" s="29">
        <v>-4.2413992881774902</v>
      </c>
      <c r="AP130" s="29">
        <v>35.917690277099609</v>
      </c>
      <c r="AQ130" s="29">
        <v>1233.800048828125</v>
      </c>
      <c r="AR130" s="29">
        <v>5</v>
      </c>
      <c r="AS130" s="29">
        <v>1706031849</v>
      </c>
      <c r="AT130" s="29" t="s">
        <v>602</v>
      </c>
      <c r="AU130" s="31">
        <v>42913.638587962967</v>
      </c>
      <c r="AV130" s="31">
        <v>42908.604768518519</v>
      </c>
      <c r="AW130" s="31">
        <v>42908.615717592591</v>
      </c>
      <c r="AX130" s="32">
        <v>42770</v>
      </c>
      <c r="AZ130" s="44">
        <v>3.1256521739130441</v>
      </c>
      <c r="BA130" s="44">
        <v>2.9673913043478262</v>
      </c>
      <c r="BB130" s="44">
        <v>3.2388888888888889</v>
      </c>
      <c r="BC130" s="44">
        <v>3.0364583333333335</v>
      </c>
      <c r="BD130" s="29" t="s">
        <v>2171</v>
      </c>
      <c r="BE130" s="29">
        <v>0.54612094163900005</v>
      </c>
      <c r="BF130" s="29" t="str">
        <f>IF(BE130&lt;0.5,"Depression",IF(BE130&lt;2,"Very gentle",IF(BE130&lt;5,"Gentle",IF(BE130&lt;9,"Moderate",IF(BE130&lt;15,"Strong",IF(BE130&lt;30,"Steep",IF(BE130&lt;1,"Very steep")))))))</f>
        <v>Very gentle</v>
      </c>
      <c r="BG130" s="29" t="s">
        <v>2173</v>
      </c>
      <c r="BH130" s="29">
        <v>0.18129228055499999</v>
      </c>
      <c r="BI130" s="43">
        <v>11.5399780273</v>
      </c>
      <c r="BJ130" s="43"/>
      <c r="BK130" s="43">
        <f>VLOOKUP(D130,[1]SoilData!$G$245:$K$451,5,FALSE)</f>
        <v>135.04586884329248</v>
      </c>
      <c r="BL130" s="43"/>
      <c r="BM130" s="43">
        <f>VLOOKUP(D130,[1]SoilData!$G$245:$M$454,7,FALSE)</f>
        <v>0.70899999999999996</v>
      </c>
      <c r="BN130" s="60"/>
      <c r="BO130" s="44">
        <f>AVERAGE(BB130:BC130)</f>
        <v>3.1376736111111114</v>
      </c>
      <c r="BP130" s="44">
        <f>AVERAGE(AZ130:BA130)</f>
        <v>3.0465217391304353</v>
      </c>
      <c r="BQ130" s="43">
        <f>BP130-BO130</f>
        <v>-9.1151871980676091E-2</v>
      </c>
      <c r="BR130" s="64">
        <f>IF(W130&gt;0.000001,W130*352,0)</f>
        <v>901.12</v>
      </c>
      <c r="BS130" s="64">
        <f>IF(AE130&gt;0.0001,AE130*682,0)</f>
        <v>218.24</v>
      </c>
      <c r="BT130" s="64">
        <f>AA130*795</f>
        <v>0</v>
      </c>
      <c r="BU130" s="64">
        <f>BR130+BS130+BT130</f>
        <v>1119.3600000000001</v>
      </c>
      <c r="BV130" s="64">
        <f>IF(G130="YES",3.5*18.2,0)</f>
        <v>63.699999999999996</v>
      </c>
      <c r="BW130" s="64">
        <f>BU130-BV130</f>
        <v>1055.6600000000001</v>
      </c>
    </row>
    <row r="131" spans="1:75" x14ac:dyDescent="0.15">
      <c r="A131" s="29" t="s">
        <v>556</v>
      </c>
      <c r="B131" s="29">
        <v>124</v>
      </c>
      <c r="C131" s="29" t="s">
        <v>355</v>
      </c>
      <c r="D131" s="29" t="s">
        <v>355</v>
      </c>
      <c r="E131" s="29" t="str">
        <f>VLOOKUP(D131,Harvest_2017_Formulae!$C$2:$D$968,2,FALSE)</f>
        <v>HALLU</v>
      </c>
      <c r="F131" s="29" t="s">
        <v>938</v>
      </c>
      <c r="G131" s="61" t="s">
        <v>548</v>
      </c>
      <c r="H131" s="29" t="s">
        <v>568</v>
      </c>
      <c r="I131" s="29" t="s">
        <v>546</v>
      </c>
      <c r="J131" s="29" t="s">
        <v>546</v>
      </c>
      <c r="K131" s="29" t="s">
        <v>548</v>
      </c>
      <c r="L131" s="29" t="s">
        <v>2221</v>
      </c>
      <c r="M131" s="29" t="s">
        <v>548</v>
      </c>
      <c r="N131" s="29" t="s">
        <v>548</v>
      </c>
      <c r="O131" s="29" t="s">
        <v>550</v>
      </c>
      <c r="P131" s="29">
        <v>0.25</v>
      </c>
      <c r="Q131" s="29">
        <v>0.125</v>
      </c>
      <c r="S131" s="29" t="s">
        <v>548</v>
      </c>
      <c r="T131" s="29">
        <v>0.5</v>
      </c>
      <c r="U131" s="29">
        <v>5</v>
      </c>
      <c r="V131" s="29" t="s">
        <v>551</v>
      </c>
      <c r="W131" s="30">
        <v>2.4</v>
      </c>
      <c r="Y131" s="29">
        <v>999</v>
      </c>
      <c r="Z131" s="29" t="s">
        <v>551</v>
      </c>
      <c r="AA131" s="62"/>
      <c r="AB131" s="29">
        <v>0.5</v>
      </c>
      <c r="AC131" s="29">
        <v>2</v>
      </c>
      <c r="AD131" s="29" t="s">
        <v>551</v>
      </c>
      <c r="AE131" s="62">
        <v>0.96</v>
      </c>
      <c r="AF131" s="29" t="s">
        <v>548</v>
      </c>
      <c r="AG131" s="29" t="s">
        <v>546</v>
      </c>
      <c r="AH131" s="29" t="s">
        <v>546</v>
      </c>
      <c r="AI131" s="29" t="s">
        <v>546</v>
      </c>
      <c r="AJ131" s="29" t="s">
        <v>546</v>
      </c>
      <c r="AK131" s="29">
        <v>1</v>
      </c>
      <c r="AL131" s="29">
        <v>4</v>
      </c>
      <c r="AM131" s="29" t="s">
        <v>947</v>
      </c>
      <c r="AN131" s="29" t="s">
        <v>948</v>
      </c>
      <c r="AO131" s="29">
        <v>-4.2821521759033203</v>
      </c>
      <c r="AP131" s="29">
        <v>35.894252777099609</v>
      </c>
      <c r="AQ131" s="29">
        <v>1223.5999755859375</v>
      </c>
      <c r="AR131" s="29">
        <v>5</v>
      </c>
      <c r="AS131" s="29">
        <v>1706031849</v>
      </c>
      <c r="AT131" s="29" t="s">
        <v>949</v>
      </c>
      <c r="AU131" s="31">
        <v>42907.442824074074</v>
      </c>
      <c r="AV131" s="31">
        <v>42906.483263888891</v>
      </c>
      <c r="AW131" s="31">
        <v>42906.49622685185</v>
      </c>
      <c r="AX131" s="32">
        <v>42773</v>
      </c>
      <c r="AZ131" s="44">
        <v>6.5038497652582166</v>
      </c>
      <c r="BA131" s="44">
        <v>4.6590610328638498</v>
      </c>
      <c r="BB131" s="44">
        <v>3.9021111111111106</v>
      </c>
      <c r="BC131" s="44">
        <v>3.2918055555555554</v>
      </c>
      <c r="BD131" s="29" t="s">
        <v>2171</v>
      </c>
      <c r="BE131" s="29">
        <v>1.0303390026100001</v>
      </c>
      <c r="BF131" s="29" t="str">
        <f>IF(BE131&lt;0.5,"Depression",IF(BE131&lt;2,"Very gentle",IF(BE131&lt;5,"Gentle",IF(BE131&lt;9,"Moderate",IF(BE131&lt;15,"Strong",IF(BE131&lt;30,"Steep",IF(BE131&lt;1,"Very steep")))))))</f>
        <v>Very gentle</v>
      </c>
      <c r="BG131" s="29" t="s">
        <v>2173</v>
      </c>
      <c r="BH131" s="29">
        <v>0.36257606744799997</v>
      </c>
      <c r="BI131" s="43">
        <v>8.6220817565899992</v>
      </c>
      <c r="BJ131" s="43">
        <f>VLOOKUP(D131,[1]SoilData!$G$15:$K$237,5,FALSE)</f>
        <v>193.17728431847667</v>
      </c>
      <c r="BK131" s="43">
        <f>VLOOKUP(D131,[1]SoilData!$G$245:$K$451,5,FALSE)</f>
        <v>611.46681508537961</v>
      </c>
      <c r="BL131" s="43">
        <f>VLOOKUP(D131,[1]SoilData!$G$15:$M$238,7,FALSE)</f>
        <v>0.70799999999999996</v>
      </c>
      <c r="BM131" s="43">
        <f>VLOOKUP(D131,[1]SoilData!$G$245:$M$454,7,FALSE)</f>
        <v>1.506</v>
      </c>
      <c r="BN131" s="60">
        <f>BL131-BM131</f>
        <v>-0.79800000000000004</v>
      </c>
      <c r="BO131" s="44">
        <f>AVERAGE(BB131:BC131)</f>
        <v>3.5969583333333333</v>
      </c>
      <c r="BP131" s="44">
        <f>AVERAGE(AZ131:BA131)</f>
        <v>5.5814553990610332</v>
      </c>
      <c r="BQ131" s="43">
        <f>BP131-BO131</f>
        <v>1.9844970657276999</v>
      </c>
      <c r="BR131" s="64">
        <f>IF(W131&gt;0.000001,W131*352,0)</f>
        <v>844.8</v>
      </c>
      <c r="BS131" s="64">
        <f>IF(AE131&gt;0.0001,AE131*682,0)</f>
        <v>654.72</v>
      </c>
      <c r="BT131" s="64">
        <f>AA131*795</f>
        <v>0</v>
      </c>
      <c r="BU131" s="64">
        <f>BR131+BS131+BT131</f>
        <v>1499.52</v>
      </c>
      <c r="BV131" s="64">
        <f>IF(G131="YES",3.5*18.2,0)</f>
        <v>63.699999999999996</v>
      </c>
      <c r="BW131" s="64">
        <f>BU131-BV131</f>
        <v>1435.82</v>
      </c>
    </row>
    <row r="132" spans="1:75" x14ac:dyDescent="0.15">
      <c r="A132" s="29" t="s">
        <v>544</v>
      </c>
      <c r="B132" s="29">
        <v>225</v>
      </c>
      <c r="C132" s="29" t="s">
        <v>760</v>
      </c>
      <c r="D132" s="29" t="s">
        <v>343</v>
      </c>
      <c r="E132" s="29" t="str">
        <f>VLOOKUP(D132,Harvest_2017_Formulae!$C$2:$D$968,2,FALSE)</f>
        <v>ENDAGWE</v>
      </c>
      <c r="F132" s="29" t="s">
        <v>732</v>
      </c>
      <c r="G132" s="61" t="s">
        <v>546</v>
      </c>
      <c r="H132" s="29" t="s">
        <v>547</v>
      </c>
      <c r="I132" s="29" t="s">
        <v>548</v>
      </c>
      <c r="J132" s="29" t="s">
        <v>546</v>
      </c>
      <c r="K132" s="29" t="s">
        <v>548</v>
      </c>
      <c r="L132" s="29" t="s">
        <v>2221</v>
      </c>
      <c r="M132" s="29" t="s">
        <v>546</v>
      </c>
      <c r="N132" s="29" t="s">
        <v>548</v>
      </c>
      <c r="O132" s="29" t="s">
        <v>550</v>
      </c>
      <c r="P132" s="29">
        <v>1</v>
      </c>
      <c r="Q132" s="29">
        <v>8</v>
      </c>
      <c r="S132" s="29" t="s">
        <v>548</v>
      </c>
      <c r="T132" s="29">
        <v>9</v>
      </c>
      <c r="U132" s="29">
        <v>60</v>
      </c>
      <c r="V132" s="29" t="s">
        <v>551</v>
      </c>
      <c r="W132" s="30">
        <v>1.6</v>
      </c>
      <c r="Y132" s="29">
        <v>999</v>
      </c>
      <c r="Z132" s="29" t="s">
        <v>551</v>
      </c>
      <c r="AA132" s="62"/>
      <c r="AB132" s="29">
        <v>9</v>
      </c>
      <c r="AC132" s="29">
        <v>15</v>
      </c>
      <c r="AD132" s="29" t="s">
        <v>551</v>
      </c>
      <c r="AE132" s="62">
        <v>0.39999999999999997</v>
      </c>
      <c r="AF132" s="29" t="s">
        <v>548</v>
      </c>
      <c r="AG132" s="29" t="s">
        <v>548</v>
      </c>
      <c r="AH132" s="29" t="s">
        <v>548</v>
      </c>
      <c r="AI132" s="29" t="s">
        <v>548</v>
      </c>
      <c r="AJ132" s="29" t="s">
        <v>548</v>
      </c>
      <c r="AK132" s="29">
        <v>5</v>
      </c>
      <c r="AL132" s="29">
        <v>2</v>
      </c>
      <c r="AM132" s="29" t="s">
        <v>761</v>
      </c>
      <c r="AN132" s="29" t="s">
        <v>762</v>
      </c>
      <c r="AO132" s="29">
        <v>-4.3530073165893555</v>
      </c>
      <c r="AP132" s="29">
        <v>35.664936065673828</v>
      </c>
      <c r="AQ132" s="29">
        <v>1588.9000244140625</v>
      </c>
      <c r="AR132" s="29">
        <v>5</v>
      </c>
      <c r="AS132" s="29">
        <v>1706031849</v>
      </c>
      <c r="AT132" s="29" t="s">
        <v>763</v>
      </c>
      <c r="AU132" s="31">
        <v>42950.967789351853</v>
      </c>
      <c r="AV132" s="31">
        <v>42950.672094907408</v>
      </c>
      <c r="AW132" s="31">
        <v>42950.834039351852</v>
      </c>
      <c r="AX132" s="32">
        <v>42794</v>
      </c>
      <c r="AZ132" s="44">
        <v>0.91619047619047633</v>
      </c>
      <c r="BA132" s="44">
        <v>4.2285714285714288E-2</v>
      </c>
      <c r="BB132" s="44">
        <v>2.4196825396825394</v>
      </c>
      <c r="BC132" s="44"/>
      <c r="BD132" s="29" t="s">
        <v>2174</v>
      </c>
      <c r="BE132" s="29">
        <v>7.41308259964</v>
      </c>
      <c r="BF132" s="29" t="str">
        <f>IF(BE132&lt;0.5,"Depression",IF(BE132&lt;2,"Very gentle",IF(BE132&lt;5,"Gentle",IF(BE132&lt;9,"Moderate",IF(BE132&lt;15,"Strong",IF(BE132&lt;30,"Steep",IF(BE132&lt;1,"Very steep")))))))</f>
        <v>Moderate</v>
      </c>
      <c r="BG132" s="29" t="s">
        <v>2178</v>
      </c>
      <c r="BH132" s="29">
        <v>0.45321798324599999</v>
      </c>
      <c r="BI132" s="43">
        <v>7.4754891395599996</v>
      </c>
      <c r="BJ132" s="43">
        <f>VLOOKUP(D132,[1]SoilData!$G$15:$K$237,5,FALSE)</f>
        <v>214.7151153272018</v>
      </c>
      <c r="BK132" s="43">
        <f>VLOOKUP(D132,[1]SoilData!$G$245:$K$451,5,FALSE)</f>
        <v>122.78588144652581</v>
      </c>
      <c r="BL132" s="43">
        <f>VLOOKUP(D132,[1]SoilData!$G$15:$M$238,7,FALSE)</f>
        <v>1.29</v>
      </c>
      <c r="BM132" s="43">
        <f>VLOOKUP(D132,[1]SoilData!$G$245:$M$454,7,FALSE)</f>
        <v>1.0920000000000001</v>
      </c>
      <c r="BN132" s="60">
        <f>BL132-BM132</f>
        <v>0.19799999999999995</v>
      </c>
      <c r="BO132" s="44">
        <f>AVERAGE(BB132:BC132)</f>
        <v>2.4196825396825394</v>
      </c>
      <c r="BP132" s="44">
        <f>AVERAGE(AZ132:BA132)</f>
        <v>0.4792380952380953</v>
      </c>
      <c r="BQ132" s="43">
        <f>BP132-BO132</f>
        <v>-1.9404444444444442</v>
      </c>
      <c r="BR132" s="64">
        <f>IF(W132&gt;0.000001,W132*352,0)</f>
        <v>563.20000000000005</v>
      </c>
      <c r="BS132" s="64">
        <f>IF(AE132&gt;0.0001,AE132*682,0)</f>
        <v>272.79999999999995</v>
      </c>
      <c r="BT132" s="64">
        <f>AA132*795</f>
        <v>0</v>
      </c>
      <c r="BU132" s="64">
        <f>BR132+BS132+BT132</f>
        <v>836</v>
      </c>
      <c r="BV132" s="64">
        <f>IF(G132="YES",3.5*18.2,0)</f>
        <v>0</v>
      </c>
      <c r="BW132" s="64">
        <f>BU132-BV132</f>
        <v>836</v>
      </c>
    </row>
    <row r="133" spans="1:75" x14ac:dyDescent="0.15">
      <c r="A133" s="29" t="s">
        <v>556</v>
      </c>
      <c r="B133" s="29">
        <v>122</v>
      </c>
      <c r="C133" s="29" t="s">
        <v>394</v>
      </c>
      <c r="D133" s="29" t="s">
        <v>394</v>
      </c>
      <c r="E133" s="29" t="str">
        <f>VLOOKUP(D133,Harvest_2017_Formulae!$C$2:$D$968,2,FALSE)</f>
        <v>SELOTO</v>
      </c>
      <c r="F133" s="29" t="s">
        <v>1310</v>
      </c>
      <c r="G133" s="61" t="s">
        <v>546</v>
      </c>
      <c r="H133" s="29" t="s">
        <v>547</v>
      </c>
      <c r="I133" s="29" t="s">
        <v>548</v>
      </c>
      <c r="J133" s="29" t="s">
        <v>546</v>
      </c>
      <c r="K133" s="29" t="s">
        <v>548</v>
      </c>
      <c r="L133" s="29" t="s">
        <v>2221</v>
      </c>
      <c r="M133" s="29" t="s">
        <v>546</v>
      </c>
      <c r="N133" s="29" t="s">
        <v>548</v>
      </c>
      <c r="O133" s="29" t="s">
        <v>550</v>
      </c>
      <c r="P133" s="29">
        <v>0.25</v>
      </c>
      <c r="Q133" s="29">
        <v>3</v>
      </c>
      <c r="R133" s="29">
        <v>0</v>
      </c>
      <c r="S133" s="29" t="s">
        <v>548</v>
      </c>
      <c r="T133" s="29">
        <v>0.5</v>
      </c>
      <c r="U133" s="29">
        <v>3</v>
      </c>
      <c r="V133" s="29" t="s">
        <v>551</v>
      </c>
      <c r="W133" s="30">
        <v>1.4400000000000002</v>
      </c>
      <c r="X133" s="29">
        <v>0.25</v>
      </c>
      <c r="Y133" s="29">
        <v>1</v>
      </c>
      <c r="Z133" s="29" t="s">
        <v>552</v>
      </c>
      <c r="AA133" s="62">
        <v>0.16031999999999999</v>
      </c>
      <c r="AB133" s="29">
        <v>0.5</v>
      </c>
      <c r="AC133" s="29">
        <v>1.5</v>
      </c>
      <c r="AD133" s="29" t="s">
        <v>552</v>
      </c>
      <c r="AE133" s="62">
        <v>0.12023999999999997</v>
      </c>
      <c r="AF133" s="29" t="s">
        <v>546</v>
      </c>
      <c r="AG133" s="29" t="s">
        <v>546</v>
      </c>
      <c r="AH133" s="29" t="s">
        <v>548</v>
      </c>
      <c r="AI133" s="29" t="s">
        <v>546</v>
      </c>
      <c r="AJ133" s="29" t="s">
        <v>546</v>
      </c>
      <c r="AK133" s="29">
        <v>1</v>
      </c>
      <c r="AL133" s="29">
        <v>3</v>
      </c>
      <c r="AM133" s="29" t="s">
        <v>1317</v>
      </c>
      <c r="AN133" s="29" t="s">
        <v>1318</v>
      </c>
      <c r="AO133" s="29">
        <v>-4.2629632949829102</v>
      </c>
      <c r="AP133" s="29">
        <v>35.527507781982422</v>
      </c>
      <c r="AQ133" s="29">
        <v>1638.9000244140625</v>
      </c>
      <c r="AR133" s="29">
        <v>5</v>
      </c>
      <c r="AS133" s="29">
        <v>1706031849</v>
      </c>
      <c r="AT133" s="29" t="s">
        <v>1319</v>
      </c>
      <c r="AU133" s="31">
        <v>42907.442766203705</v>
      </c>
      <c r="AV133" s="31">
        <v>42903.481817129628</v>
      </c>
      <c r="AW133" s="31">
        <v>42906.500104166669</v>
      </c>
      <c r="AX133" s="32">
        <v>42775</v>
      </c>
      <c r="AZ133" s="44">
        <v>2.1400732600732604</v>
      </c>
      <c r="BA133" s="44">
        <v>3.5389743589743587</v>
      </c>
      <c r="BB133" s="44">
        <v>5.6502525252525242</v>
      </c>
      <c r="BC133" s="44">
        <v>4.4570707070707067</v>
      </c>
      <c r="BD133" s="29" t="s">
        <v>2171</v>
      </c>
      <c r="BE133" s="29">
        <v>1.64159989357</v>
      </c>
      <c r="BF133" s="29" t="str">
        <f>IF(BE133&lt;0.5,"Depression",IF(BE133&lt;2,"Very gentle",IF(BE133&lt;5,"Gentle",IF(BE133&lt;9,"Moderate",IF(BE133&lt;15,"Strong",IF(BE133&lt;30,"Steep",IF(BE133&lt;1,"Very steep")))))))</f>
        <v>Very gentle</v>
      </c>
      <c r="BG133" s="29" t="s">
        <v>2177</v>
      </c>
      <c r="BH133" s="29">
        <v>0.54385989904400001</v>
      </c>
      <c r="BI133" s="43">
        <v>8.4438333511400003</v>
      </c>
      <c r="BJ133" s="43">
        <f>VLOOKUP(D133,[1]SoilData!$G$15:$K$237,5,FALSE)</f>
        <v>383.87340202968664</v>
      </c>
      <c r="BK133" s="43">
        <f>VLOOKUP(D133,[1]SoilData!$G$245:$K$451,5,FALSE)</f>
        <v>615.6155656730524</v>
      </c>
      <c r="BL133" s="43">
        <f>VLOOKUP(D133,[1]SoilData!$G$15:$M$238,7,FALSE)</f>
        <v>1.593</v>
      </c>
      <c r="BM133" s="43">
        <f>VLOOKUP(D133,[1]SoilData!$G$245:$M$454,7,FALSE)</f>
        <v>2.39</v>
      </c>
      <c r="BN133" s="60">
        <f>BL133-BM133</f>
        <v>-0.79700000000000015</v>
      </c>
      <c r="BO133" s="44">
        <f>AVERAGE(BB133:BC133)</f>
        <v>5.0536616161616159</v>
      </c>
      <c r="BP133" s="44">
        <f>AVERAGE(AZ133:BA133)</f>
        <v>2.8395238095238096</v>
      </c>
      <c r="BQ133" s="43">
        <f>BP133-BO133</f>
        <v>-2.2141378066378063</v>
      </c>
      <c r="BR133" s="64">
        <f>IF(W133&gt;0.000001,W133*352,0)</f>
        <v>506.88000000000005</v>
      </c>
      <c r="BS133" s="64">
        <f>IF(AE133&gt;0.0001,AE133*682,0)</f>
        <v>82.003679999999974</v>
      </c>
      <c r="BT133" s="64">
        <f>AA133*795</f>
        <v>127.45439999999999</v>
      </c>
      <c r="BU133" s="64">
        <f>BR133+BS133+BT133</f>
        <v>716.33807999999999</v>
      </c>
      <c r="BV133" s="64">
        <f>IF(G133="YES",3.5*18.2,0)</f>
        <v>0</v>
      </c>
      <c r="BW133" s="64">
        <f>BU133-BV133</f>
        <v>716.33807999999999</v>
      </c>
    </row>
    <row r="134" spans="1:75" x14ac:dyDescent="0.15">
      <c r="A134" s="29" t="s">
        <v>556</v>
      </c>
      <c r="B134" s="29">
        <v>125</v>
      </c>
      <c r="C134" s="29" t="s">
        <v>996</v>
      </c>
      <c r="D134" s="29" t="s">
        <v>186</v>
      </c>
      <c r="E134" s="29" t="str">
        <f>VLOOKUP(D134,Harvest_2017_Formulae!$C$2:$D$968,2,FALSE)</f>
        <v>HALLU</v>
      </c>
      <c r="F134" s="29" t="s">
        <v>938</v>
      </c>
      <c r="G134" s="61" t="s">
        <v>548</v>
      </c>
      <c r="H134" s="29" t="s">
        <v>568</v>
      </c>
      <c r="I134" s="29" t="s">
        <v>548</v>
      </c>
      <c r="J134" s="29" t="s">
        <v>546</v>
      </c>
      <c r="K134" s="29" t="s">
        <v>548</v>
      </c>
      <c r="L134" s="29" t="s">
        <v>2221</v>
      </c>
      <c r="M134" s="29" t="s">
        <v>548</v>
      </c>
      <c r="N134" s="29" t="s">
        <v>548</v>
      </c>
      <c r="O134" s="29" t="s">
        <v>550</v>
      </c>
      <c r="P134" s="29">
        <v>0.25</v>
      </c>
      <c r="Q134" s="29">
        <v>0.25</v>
      </c>
      <c r="R134" s="29">
        <v>0</v>
      </c>
      <c r="S134" s="29" t="s">
        <v>548</v>
      </c>
      <c r="T134" s="29">
        <v>0.5</v>
      </c>
      <c r="U134" s="29">
        <v>4.5</v>
      </c>
      <c r="V134" s="29" t="s">
        <v>551</v>
      </c>
      <c r="W134" s="30">
        <v>2.16</v>
      </c>
      <c r="Y134" s="29">
        <v>999</v>
      </c>
      <c r="Z134" s="29" t="s">
        <v>552</v>
      </c>
      <c r="AA134" s="62"/>
      <c r="AB134" s="29">
        <v>0.5</v>
      </c>
      <c r="AC134" s="29">
        <v>4</v>
      </c>
      <c r="AD134" s="29" t="s">
        <v>552</v>
      </c>
      <c r="AE134" s="62">
        <v>0.32063999999999998</v>
      </c>
      <c r="AF134" s="29" t="s">
        <v>546</v>
      </c>
      <c r="AG134" s="29" t="s">
        <v>546</v>
      </c>
      <c r="AH134" s="29" t="s">
        <v>548</v>
      </c>
      <c r="AI134" s="29" t="s">
        <v>546</v>
      </c>
      <c r="AJ134" s="29" t="s">
        <v>546</v>
      </c>
      <c r="AK134" s="29">
        <v>1</v>
      </c>
      <c r="AL134" s="29">
        <v>2</v>
      </c>
      <c r="AM134" s="29" t="s">
        <v>998</v>
      </c>
      <c r="AN134" s="29" t="s">
        <v>999</v>
      </c>
      <c r="AO134" s="29">
        <v>-4.2831096649169922</v>
      </c>
      <c r="AP134" s="29">
        <v>35.898578643798828</v>
      </c>
      <c r="AQ134" s="29">
        <v>1205</v>
      </c>
      <c r="AR134" s="29">
        <v>5</v>
      </c>
      <c r="AS134" s="29">
        <v>1706031849</v>
      </c>
      <c r="AT134" s="29" t="s">
        <v>1000</v>
      </c>
      <c r="AU134" s="31">
        <v>42907.442847222221</v>
      </c>
      <c r="AV134" s="31">
        <v>42906.518009259264</v>
      </c>
      <c r="AW134" s="31">
        <v>42906.531157407408</v>
      </c>
      <c r="AX134" s="32">
        <v>42788</v>
      </c>
      <c r="AZ134" s="44">
        <v>3.5565679012345686</v>
      </c>
      <c r="BA134" s="44">
        <v>5.9031111111111114</v>
      </c>
      <c r="BB134" s="44">
        <v>3.9482361111111106</v>
      </c>
      <c r="BC134" s="44">
        <v>4.2701388888888889</v>
      </c>
      <c r="BD134" s="29" t="s">
        <v>2171</v>
      </c>
      <c r="BE134" s="29">
        <v>2.4237968921699999</v>
      </c>
      <c r="BF134" s="29" t="str">
        <f>IF(BE134&lt;0.5,"Depression",IF(BE134&lt;2,"Very gentle",IF(BE134&lt;5,"Gentle",IF(BE134&lt;9,"Moderate",IF(BE134&lt;15,"Strong",IF(BE134&lt;30,"Steep",IF(BE134&lt;1,"Very steep")))))))</f>
        <v>Gentle</v>
      </c>
      <c r="BG134" s="29" t="s">
        <v>2177</v>
      </c>
      <c r="BH134" s="29">
        <v>0.63450175523800001</v>
      </c>
      <c r="BI134" s="43">
        <v>8.6444921493500004</v>
      </c>
      <c r="BJ134" s="43"/>
      <c r="BK134" s="43">
        <f>VLOOKUP(D134,[1]SoilData!$G$245:$K$451,5,FALSE)</f>
        <v>389.45647130440676</v>
      </c>
      <c r="BL134" s="43"/>
      <c r="BM134" s="43">
        <f>VLOOKUP(D134,[1]SoilData!$G$245:$M$454,7,FALSE)</f>
        <v>1.4550000000000001</v>
      </c>
      <c r="BN134" s="60"/>
      <c r="BO134" s="44">
        <f>AVERAGE(BB134:BC134)</f>
        <v>4.1091875</v>
      </c>
      <c r="BP134" s="44">
        <f>AVERAGE(AZ134:BA134)</f>
        <v>4.7298395061728398</v>
      </c>
      <c r="BQ134" s="43">
        <f>BP134-BO134</f>
        <v>0.62065200617283978</v>
      </c>
      <c r="BR134" s="64">
        <f>IF(W134&gt;0.000001,W134*352,0)</f>
        <v>760.32</v>
      </c>
      <c r="BS134" s="64">
        <f>IF(AE134&gt;0.0001,AE134*682,0)</f>
        <v>218.67648</v>
      </c>
      <c r="BT134" s="64">
        <f>AA134*795</f>
        <v>0</v>
      </c>
      <c r="BU134" s="64">
        <f>BR134+BS134+BT134</f>
        <v>978.99648000000002</v>
      </c>
      <c r="BV134" s="64">
        <f>IF(G134="YES",3.5*18.2,0)</f>
        <v>63.699999999999996</v>
      </c>
      <c r="BW134" s="64">
        <f>BU134-BV134</f>
        <v>915.29647999999997</v>
      </c>
    </row>
    <row r="135" spans="1:75" x14ac:dyDescent="0.15">
      <c r="A135" s="29" t="s">
        <v>556</v>
      </c>
      <c r="B135" s="29">
        <v>184</v>
      </c>
      <c r="C135" s="29" t="s">
        <v>687</v>
      </c>
      <c r="D135" s="29" t="s">
        <v>334</v>
      </c>
      <c r="E135" s="29" t="str">
        <f>VLOOKUP(D135,Harvest_2017_Formulae!$C$2:$D$968,2,FALSE)</f>
        <v>DURU</v>
      </c>
      <c r="F135" s="29" t="s">
        <v>645</v>
      </c>
      <c r="G135" s="61" t="s">
        <v>548</v>
      </c>
      <c r="H135" s="29" t="s">
        <v>568</v>
      </c>
      <c r="I135" s="29" t="s">
        <v>546</v>
      </c>
      <c r="J135" s="29" t="s">
        <v>546</v>
      </c>
      <c r="K135" s="29" t="s">
        <v>548</v>
      </c>
      <c r="L135" s="29" t="s">
        <v>2221</v>
      </c>
      <c r="M135" s="29" t="s">
        <v>546</v>
      </c>
      <c r="N135" s="29" t="s">
        <v>548</v>
      </c>
      <c r="O135" s="29" t="s">
        <v>550</v>
      </c>
      <c r="P135" s="29">
        <v>1</v>
      </c>
      <c r="Q135" s="29">
        <v>4</v>
      </c>
      <c r="S135" s="29" t="s">
        <v>548</v>
      </c>
      <c r="T135" s="29">
        <v>5</v>
      </c>
      <c r="U135" s="29">
        <v>40</v>
      </c>
      <c r="V135" s="29" t="s">
        <v>551</v>
      </c>
      <c r="W135" s="30">
        <v>1.92</v>
      </c>
      <c r="Y135" s="29">
        <v>999</v>
      </c>
      <c r="Z135" s="29" t="s">
        <v>551</v>
      </c>
      <c r="AA135" s="62"/>
      <c r="AB135" s="29">
        <v>5</v>
      </c>
      <c r="AC135" s="29">
        <v>22</v>
      </c>
      <c r="AD135" s="29" t="s">
        <v>551</v>
      </c>
      <c r="AE135" s="62">
        <v>1.056</v>
      </c>
      <c r="AF135" s="29" t="s">
        <v>546</v>
      </c>
      <c r="AG135" s="29" t="s">
        <v>546</v>
      </c>
      <c r="AH135" s="29" t="s">
        <v>548</v>
      </c>
      <c r="AI135" s="29" t="s">
        <v>546</v>
      </c>
      <c r="AJ135" s="29" t="s">
        <v>546</v>
      </c>
      <c r="AK135" s="29">
        <v>1</v>
      </c>
      <c r="AL135" s="29">
        <v>3</v>
      </c>
      <c r="AM135" s="29" t="s">
        <v>688</v>
      </c>
      <c r="AN135" s="29" t="s">
        <v>689</v>
      </c>
      <c r="AO135" s="29">
        <v>-4.3478708267211914</v>
      </c>
      <c r="AP135" s="29">
        <v>35.596324920654297</v>
      </c>
      <c r="AQ135" s="29">
        <v>1521.0999755859375</v>
      </c>
      <c r="AR135" s="29">
        <v>5</v>
      </c>
      <c r="AS135" s="29">
        <v>1706031849</v>
      </c>
      <c r="AT135" s="29" t="s">
        <v>690</v>
      </c>
      <c r="AU135" s="31">
        <v>42926.575960648144</v>
      </c>
      <c r="AV135" s="31">
        <v>42921.636817129634</v>
      </c>
      <c r="AW135" s="31">
        <v>42921.647997685184</v>
      </c>
      <c r="AX135" s="32">
        <v>42770</v>
      </c>
      <c r="AZ135" s="44">
        <v>3.1623832528180364</v>
      </c>
      <c r="BA135" s="44">
        <v>3.985829307568439</v>
      </c>
      <c r="BB135" s="44">
        <v>5.6858605664488024</v>
      </c>
      <c r="BC135" s="44">
        <v>6.0296078431372555</v>
      </c>
      <c r="BD135" s="29" t="s">
        <v>2179</v>
      </c>
      <c r="BE135" s="29">
        <v>3.5332040786699999</v>
      </c>
      <c r="BF135" s="29" t="str">
        <f>IF(BE135&lt;0.5,"Depression",IF(BE135&lt;2,"Very gentle",IF(BE135&lt;5,"Gentle",IF(BE135&lt;9,"Moderate",IF(BE135&lt;15,"Strong",IF(BE135&lt;30,"Steep",IF(BE135&lt;1,"Very steep")))))))</f>
        <v>Gentle</v>
      </c>
      <c r="BG135" s="29" t="s">
        <v>2173</v>
      </c>
      <c r="BH135" s="29">
        <v>0.27193418145199999</v>
      </c>
      <c r="BI135" s="43">
        <v>9.6542224884000003</v>
      </c>
      <c r="BJ135" s="43">
        <f>VLOOKUP(D135,[1]SoilData!$G$15:$K$237,5,FALSE)</f>
        <v>260.04836903940566</v>
      </c>
      <c r="BK135" s="43"/>
      <c r="BL135" s="43">
        <f>VLOOKUP(D135,[1]SoilData!$G$15:$M$238,7,FALSE)</f>
        <v>0.80900000000000005</v>
      </c>
      <c r="BM135" s="43"/>
      <c r="BN135" s="60"/>
      <c r="BO135" s="44">
        <f>AVERAGE(BB135:BC135)</f>
        <v>5.8577342047930294</v>
      </c>
      <c r="BP135" s="44">
        <f>AVERAGE(AZ135:BA135)</f>
        <v>3.574106280193238</v>
      </c>
      <c r="BQ135" s="43">
        <f>BP135-BO135</f>
        <v>-2.2836279245997915</v>
      </c>
      <c r="BR135" s="64">
        <f>IF(W135&gt;0.000001,W135*352,0)</f>
        <v>675.83999999999992</v>
      </c>
      <c r="BS135" s="64">
        <f>IF(AE135&gt;0.0001,AE135*682,0)</f>
        <v>720.19200000000001</v>
      </c>
      <c r="BT135" s="64">
        <f>AA135*795</f>
        <v>0</v>
      </c>
      <c r="BU135" s="64">
        <f>BR135+BS135+BT135</f>
        <v>1396.0319999999999</v>
      </c>
      <c r="BV135" s="64">
        <f>IF(G135="YES",3.5*18.2,0)</f>
        <v>63.699999999999996</v>
      </c>
      <c r="BW135" s="64">
        <f>BU135-BV135</f>
        <v>1332.3319999999999</v>
      </c>
    </row>
    <row r="136" spans="1:75" x14ac:dyDescent="0.15">
      <c r="A136" s="29" t="s">
        <v>556</v>
      </c>
      <c r="B136" s="29">
        <v>186</v>
      </c>
      <c r="C136" s="29" t="s">
        <v>364</v>
      </c>
      <c r="D136" s="29" t="s">
        <v>364</v>
      </c>
      <c r="E136" s="29" t="str">
        <f>VLOOKUP(D136,Harvest_2017_Formulae!$C$2:$D$968,2,FALSE)</f>
        <v>MANDI</v>
      </c>
      <c r="F136" s="29" t="s">
        <v>1042</v>
      </c>
      <c r="G136" s="61" t="s">
        <v>548</v>
      </c>
      <c r="H136" s="29" t="s">
        <v>568</v>
      </c>
      <c r="I136" s="29" t="s">
        <v>548</v>
      </c>
      <c r="J136" s="29" t="s">
        <v>546</v>
      </c>
      <c r="K136" s="29" t="s">
        <v>548</v>
      </c>
      <c r="L136" s="29" t="s">
        <v>2220</v>
      </c>
      <c r="M136" s="29" t="s">
        <v>546</v>
      </c>
      <c r="N136" s="29" t="s">
        <v>546</v>
      </c>
      <c r="O136" s="29" t="s">
        <v>547</v>
      </c>
      <c r="P136" s="29">
        <v>0.5</v>
      </c>
      <c r="Q136" s="29">
        <v>4.75</v>
      </c>
      <c r="S136" s="29" t="s">
        <v>546</v>
      </c>
      <c r="T136" s="29">
        <v>5</v>
      </c>
      <c r="U136" s="29">
        <v>10</v>
      </c>
      <c r="V136" s="29" t="s">
        <v>551</v>
      </c>
      <c r="W136" s="30">
        <v>0.48</v>
      </c>
      <c r="X136" s="29">
        <v>5</v>
      </c>
      <c r="Y136" s="29">
        <v>2</v>
      </c>
      <c r="Z136" s="29" t="s">
        <v>551</v>
      </c>
      <c r="AA136" s="62">
        <v>9.6000000000000002E-2</v>
      </c>
      <c r="AB136" s="29">
        <v>5</v>
      </c>
      <c r="AC136" s="29">
        <v>4</v>
      </c>
      <c r="AD136" s="29" t="s">
        <v>551</v>
      </c>
      <c r="AE136" s="62">
        <v>0.192</v>
      </c>
      <c r="AF136" s="29" t="s">
        <v>548</v>
      </c>
      <c r="AG136" s="29" t="s">
        <v>546</v>
      </c>
      <c r="AH136" s="29" t="s">
        <v>546</v>
      </c>
      <c r="AI136" s="29" t="s">
        <v>546</v>
      </c>
      <c r="AJ136" s="29" t="s">
        <v>546</v>
      </c>
      <c r="AK136" s="29">
        <v>1</v>
      </c>
      <c r="AL136" s="29">
        <v>3</v>
      </c>
      <c r="AM136" s="29" t="s">
        <v>1043</v>
      </c>
      <c r="AN136" s="29" t="s">
        <v>1044</v>
      </c>
      <c r="AO136" s="29">
        <v>-4.329749584197998</v>
      </c>
      <c r="AP136" s="29">
        <v>35.460727691650391</v>
      </c>
      <c r="AQ136" s="29">
        <v>1553</v>
      </c>
      <c r="AR136" s="29">
        <v>5</v>
      </c>
      <c r="AS136" s="29">
        <v>1706031849</v>
      </c>
      <c r="AT136" s="29" t="s">
        <v>1045</v>
      </c>
      <c r="AU136" s="31">
        <v>42930.383958333332</v>
      </c>
      <c r="AV136" s="31">
        <v>42928.456770833334</v>
      </c>
      <c r="AW136" s="31">
        <v>42928.48065972222</v>
      </c>
      <c r="AX136" s="32">
        <v>42773</v>
      </c>
      <c r="AZ136" s="44">
        <v>2.2687499999999998</v>
      </c>
      <c r="BA136" s="44">
        <v>3.2999999999999994</v>
      </c>
      <c r="BB136" s="44">
        <v>2.6812499999999995</v>
      </c>
      <c r="BC136" s="44">
        <v>3.0593749999999997</v>
      </c>
      <c r="BD136" s="29" t="s">
        <v>2171</v>
      </c>
      <c r="BE136" s="29">
        <v>0</v>
      </c>
      <c r="BF136" s="29" t="str">
        <f>IF(BE136&lt;0.5,"Depression",IF(BE136&lt;2,"Very gentle",IF(BE136&lt;5,"Gentle",IF(BE136&lt;9,"Moderate",IF(BE136&lt;15,"Strong",IF(BE136&lt;30,"Steep",IF(BE136&lt;1,"Very steep")))))))</f>
        <v>Depression</v>
      </c>
      <c r="BG136" s="29" t="s">
        <v>2173</v>
      </c>
      <c r="BH136" s="29">
        <v>8.4776775111099995E-6</v>
      </c>
      <c r="BI136" s="43">
        <v>11.4374370575</v>
      </c>
      <c r="BJ136" s="43">
        <f>VLOOKUP(D136,[1]SoilData!$G$15:$K$237,5,FALSE)</f>
        <v>530.17947174405651</v>
      </c>
      <c r="BK136" s="43">
        <f>VLOOKUP(D136,[1]SoilData!$G$245:$K$451,5,FALSE)</f>
        <v>574.76497683384628</v>
      </c>
      <c r="BL136" s="43">
        <f>VLOOKUP(D136,[1]SoilData!$G$15:$M$238,7,FALSE)</f>
        <v>2.2250000000000001</v>
      </c>
      <c r="BM136" s="43">
        <f>VLOOKUP(D136,[1]SoilData!$G$245:$M$454,7,FALSE)</f>
        <v>2.3530000000000002</v>
      </c>
      <c r="BN136" s="60">
        <f>BL136-BM136</f>
        <v>-0.12800000000000011</v>
      </c>
      <c r="BO136" s="44">
        <f>AVERAGE(BB136:BC136)</f>
        <v>2.8703124999999998</v>
      </c>
      <c r="BP136" s="44">
        <f>AVERAGE(AZ136:BA136)</f>
        <v>2.7843749999999998</v>
      </c>
      <c r="BQ136" s="43">
        <f>BP136-BO136</f>
        <v>-8.59375E-2</v>
      </c>
      <c r="BR136" s="64">
        <f>IF(W136&gt;0.000001,W136*352,0)</f>
        <v>168.95999999999998</v>
      </c>
      <c r="BS136" s="64">
        <f>IF(AE136&gt;0.0001,AE136*682,0)</f>
        <v>130.94400000000002</v>
      </c>
      <c r="BT136" s="64">
        <f>AA136*795</f>
        <v>76.320000000000007</v>
      </c>
      <c r="BU136" s="64">
        <f>BR136+BS136+BT136</f>
        <v>376.22399999999999</v>
      </c>
      <c r="BV136" s="64">
        <f>IF(G136="YES",3.5*18.2,0)</f>
        <v>63.699999999999996</v>
      </c>
      <c r="BW136" s="64">
        <f>BU136-BV136</f>
        <v>312.524</v>
      </c>
    </row>
    <row r="137" spans="1:75" x14ac:dyDescent="0.15">
      <c r="A137" s="29" t="s">
        <v>556</v>
      </c>
      <c r="B137" s="29">
        <v>104</v>
      </c>
      <c r="C137" s="29" t="s">
        <v>1454</v>
      </c>
      <c r="D137" s="29" t="s">
        <v>547</v>
      </c>
      <c r="E137" s="29" t="e">
        <f>VLOOKUP(D137,Harvest_2017_Formulae!$C$2:$D$968,2,FALSE)</f>
        <v>#N/A</v>
      </c>
      <c r="F137" s="29" t="s">
        <v>777</v>
      </c>
      <c r="G137" s="61" t="s">
        <v>548</v>
      </c>
      <c r="H137" s="29" t="s">
        <v>568</v>
      </c>
      <c r="I137" s="29" t="s">
        <v>546</v>
      </c>
      <c r="J137" s="29" t="s">
        <v>546</v>
      </c>
      <c r="K137" s="29" t="s">
        <v>548</v>
      </c>
      <c r="L137" s="29" t="s">
        <v>2221</v>
      </c>
      <c r="M137" s="29" t="s">
        <v>548</v>
      </c>
      <c r="N137" s="29" t="s">
        <v>546</v>
      </c>
      <c r="O137" s="29" t="s">
        <v>547</v>
      </c>
      <c r="P137" s="29">
        <v>1</v>
      </c>
      <c r="S137" s="29" t="s">
        <v>548</v>
      </c>
      <c r="T137" s="29">
        <v>1</v>
      </c>
      <c r="U137" s="29">
        <v>12</v>
      </c>
      <c r="V137" s="29" t="s">
        <v>551</v>
      </c>
      <c r="W137" s="30">
        <v>2.8800000000000003</v>
      </c>
      <c r="Y137" s="29">
        <v>999</v>
      </c>
      <c r="Z137" s="29" t="s">
        <v>551</v>
      </c>
      <c r="AA137" s="62"/>
      <c r="AB137" s="29">
        <v>1</v>
      </c>
      <c r="AC137" s="29">
        <v>2</v>
      </c>
      <c r="AD137" s="29" t="s">
        <v>551</v>
      </c>
      <c r="AE137" s="62">
        <v>0.48</v>
      </c>
      <c r="AF137" s="29" t="s">
        <v>548</v>
      </c>
      <c r="AG137" s="29" t="s">
        <v>548</v>
      </c>
      <c r="AH137" s="29" t="s">
        <v>548</v>
      </c>
      <c r="AI137" s="29" t="s">
        <v>546</v>
      </c>
      <c r="AJ137" s="29" t="s">
        <v>546</v>
      </c>
      <c r="AK137" s="29">
        <v>3</v>
      </c>
      <c r="AL137" s="29">
        <v>3</v>
      </c>
      <c r="AM137" s="29" t="s">
        <v>1455</v>
      </c>
      <c r="AN137" s="29" t="s">
        <v>1456</v>
      </c>
      <c r="AO137" s="29">
        <v>-4.2103300094604492</v>
      </c>
      <c r="AP137" s="29">
        <v>35.743022918701172</v>
      </c>
      <c r="AQ137" s="29">
        <v>1305.699951171875</v>
      </c>
      <c r="AR137" s="29">
        <v>15</v>
      </c>
      <c r="AS137" s="29">
        <v>1705231439</v>
      </c>
      <c r="AT137" s="29" t="s">
        <v>1457</v>
      </c>
      <c r="AU137" s="31">
        <v>42950.966631944444</v>
      </c>
      <c r="AV137" s="31">
        <v>42893.576921296291</v>
      </c>
      <c r="AW137" s="31">
        <v>42950.940914351857</v>
      </c>
      <c r="AX137" s="32">
        <v>42773</v>
      </c>
      <c r="BD137" s="29" t="s">
        <v>2171</v>
      </c>
      <c r="BE137" s="29">
        <v>3.8559429645500001</v>
      </c>
      <c r="BF137" s="29" t="str">
        <f>IF(BE137&lt;0.5,"Depression",IF(BE137&lt;2,"Very gentle",IF(BE137&lt;5,"Gentle",IF(BE137&lt;9,"Moderate",IF(BE137&lt;15,"Strong",IF(BE137&lt;30,"Steep",IF(BE137&lt;1,"Very steep")))))))</f>
        <v>Gentle</v>
      </c>
      <c r="BG137" s="29" t="s">
        <v>2173</v>
      </c>
      <c r="BH137" s="29">
        <v>0.27193418145199999</v>
      </c>
      <c r="BI137" s="43">
        <v>8.6119012832599999</v>
      </c>
      <c r="BJ137" s="43"/>
      <c r="BK137" s="43"/>
      <c r="BL137" s="43"/>
      <c r="BM137" s="43"/>
      <c r="BN137" s="60"/>
      <c r="BO137" s="43"/>
      <c r="BP137" s="43"/>
      <c r="BQ137" s="43"/>
      <c r="BR137" s="64">
        <f>IF(W137&gt;0.000001,W137*352,0)</f>
        <v>1013.7600000000001</v>
      </c>
      <c r="BS137" s="64">
        <f>IF(AE137&gt;0.0001,AE137*682,0)</f>
        <v>327.36</v>
      </c>
      <c r="BT137" s="64">
        <f>AA137*795</f>
        <v>0</v>
      </c>
      <c r="BU137" s="64">
        <f>BR137+BS137+BT137</f>
        <v>1341.1200000000001</v>
      </c>
      <c r="BV137" s="64">
        <f>IF(G137="YES",3.5*18.2,0)</f>
        <v>63.699999999999996</v>
      </c>
      <c r="BW137" s="64">
        <f>BU137-BV137</f>
        <v>1277.42</v>
      </c>
    </row>
    <row r="138" spans="1:75" x14ac:dyDescent="0.15">
      <c r="A138" s="29" t="s">
        <v>556</v>
      </c>
      <c r="B138" s="29">
        <v>140</v>
      </c>
      <c r="C138" s="29" t="s">
        <v>1398</v>
      </c>
      <c r="D138" s="29" t="s">
        <v>1399</v>
      </c>
      <c r="E138" s="29" t="e">
        <f>VLOOKUP(D138,Harvest_2017_Formulae!$C$2:$D$968,2,FALSE)</f>
        <v>#N/A</v>
      </c>
      <c r="F138" s="29" t="s">
        <v>196</v>
      </c>
      <c r="G138" s="61" t="s">
        <v>546</v>
      </c>
      <c r="H138" s="29" t="s">
        <v>547</v>
      </c>
      <c r="I138" s="29" t="s">
        <v>548</v>
      </c>
      <c r="J138" s="29" t="s">
        <v>546</v>
      </c>
      <c r="K138" s="29" t="s">
        <v>548</v>
      </c>
      <c r="L138" s="29" t="s">
        <v>2221</v>
      </c>
      <c r="M138" s="29" t="s">
        <v>546</v>
      </c>
      <c r="N138" s="29" t="s">
        <v>548</v>
      </c>
      <c r="O138" s="29" t="s">
        <v>550</v>
      </c>
      <c r="P138" s="29">
        <v>0.25</v>
      </c>
      <c r="Q138" s="29">
        <v>4.5</v>
      </c>
      <c r="S138" s="29" t="s">
        <v>548</v>
      </c>
      <c r="T138" s="29">
        <v>4.75</v>
      </c>
      <c r="U138" s="29">
        <v>3.5</v>
      </c>
      <c r="V138" s="29" t="s">
        <v>551</v>
      </c>
      <c r="W138" s="30">
        <v>0.17684210526315791</v>
      </c>
      <c r="Y138" s="29">
        <v>999</v>
      </c>
      <c r="Z138" s="29" t="s">
        <v>551</v>
      </c>
      <c r="AA138" s="62"/>
      <c r="AB138" s="29">
        <v>4.75</v>
      </c>
      <c r="AC138" s="29">
        <v>5</v>
      </c>
      <c r="AD138" s="29" t="s">
        <v>551</v>
      </c>
      <c r="AE138" s="62">
        <v>0.25263157894736843</v>
      </c>
      <c r="AF138" s="29" t="s">
        <v>546</v>
      </c>
      <c r="AG138" s="29" t="s">
        <v>546</v>
      </c>
      <c r="AH138" s="29" t="s">
        <v>546</v>
      </c>
      <c r="AI138" s="29" t="s">
        <v>546</v>
      </c>
      <c r="AJ138" s="29" t="s">
        <v>546</v>
      </c>
      <c r="AK138" s="29">
        <v>0</v>
      </c>
      <c r="AL138" s="29">
        <v>3</v>
      </c>
      <c r="AM138" s="29" t="s">
        <v>1400</v>
      </c>
      <c r="AN138" s="29" t="s">
        <v>1401</v>
      </c>
      <c r="AO138" s="29">
        <v>-4.2220315933227539</v>
      </c>
      <c r="AP138" s="29">
        <v>35.8814697265625</v>
      </c>
      <c r="AQ138" s="29">
        <v>1262.800048828125</v>
      </c>
      <c r="AR138" s="29">
        <v>5</v>
      </c>
      <c r="AS138" s="29">
        <v>1706031849</v>
      </c>
      <c r="AT138" s="29" t="s">
        <v>1402</v>
      </c>
      <c r="AU138" s="31">
        <v>42908.532407407409</v>
      </c>
      <c r="AV138" s="31">
        <v>42907.499444444446</v>
      </c>
      <c r="AW138" s="31">
        <v>42908.530856481477</v>
      </c>
      <c r="AX138" s="32">
        <v>42770</v>
      </c>
      <c r="AZ138" s="43"/>
      <c r="BA138" s="43"/>
      <c r="BB138" s="43"/>
      <c r="BC138" s="43"/>
      <c r="BD138" s="29" t="s">
        <v>2171</v>
      </c>
      <c r="BE138" s="29">
        <v>2.45308256149</v>
      </c>
      <c r="BF138" s="29" t="str">
        <f>IF(BE138&lt;0.5,"Depression",IF(BE138&lt;2,"Very gentle",IF(BE138&lt;5,"Gentle",IF(BE138&lt;9,"Moderate",IF(BE138&lt;15,"Strong",IF(BE138&lt;30,"Steep",IF(BE138&lt;1,"Very steep")))))))</f>
        <v>Gentle</v>
      </c>
      <c r="BG138" s="29" t="s">
        <v>2173</v>
      </c>
      <c r="BH138" s="29">
        <v>-9.0633422136300004E-2</v>
      </c>
      <c r="BI138" s="43">
        <v>8.5408096313499993</v>
      </c>
      <c r="BJ138" s="43"/>
      <c r="BK138" s="43"/>
      <c r="BL138" s="43"/>
      <c r="BM138" s="43"/>
      <c r="BN138" s="60"/>
      <c r="BO138" s="43"/>
      <c r="BP138" s="43"/>
      <c r="BQ138" s="43"/>
      <c r="BR138" s="64">
        <f>IF(W138&gt;0.000001,W138*352,0)</f>
        <v>62.248421052631585</v>
      </c>
      <c r="BS138" s="64">
        <f>IF(AE138&gt;0.0001,AE138*682,0)</f>
        <v>172.29473684210527</v>
      </c>
      <c r="BT138" s="64">
        <f>AA138*795</f>
        <v>0</v>
      </c>
      <c r="BU138" s="64">
        <f>BR138+BS138+BT138</f>
        <v>234.54315789473685</v>
      </c>
      <c r="BV138" s="64">
        <f>IF(G138="YES",3.5*18.2,0)</f>
        <v>0</v>
      </c>
      <c r="BW138" s="64">
        <f>BU138-BV138</f>
        <v>234.54315789473685</v>
      </c>
    </row>
    <row r="139" spans="1:75" x14ac:dyDescent="0.15">
      <c r="A139" s="29" t="s">
        <v>556</v>
      </c>
      <c r="B139" s="29">
        <v>147</v>
      </c>
      <c r="C139" s="29" t="s">
        <v>985</v>
      </c>
      <c r="D139" s="29" t="s">
        <v>183</v>
      </c>
      <c r="E139" s="29" t="str">
        <f>VLOOKUP(D139,Harvest_2017_Formulae!$C$2:$D$968,2,FALSE)</f>
        <v>HALLU</v>
      </c>
      <c r="F139" s="29" t="s">
        <v>938</v>
      </c>
      <c r="G139" s="61" t="s">
        <v>546</v>
      </c>
      <c r="H139" s="29" t="s">
        <v>547</v>
      </c>
      <c r="I139" s="29" t="s">
        <v>546</v>
      </c>
      <c r="J139" s="29" t="s">
        <v>546</v>
      </c>
      <c r="K139" s="29" t="s">
        <v>548</v>
      </c>
      <c r="L139" s="29" t="s">
        <v>2221</v>
      </c>
      <c r="M139" s="29" t="s">
        <v>548</v>
      </c>
      <c r="N139" s="29" t="s">
        <v>548</v>
      </c>
      <c r="O139" s="29" t="s">
        <v>550</v>
      </c>
      <c r="P139" s="29">
        <v>0.25</v>
      </c>
      <c r="Q139" s="29">
        <v>0.75</v>
      </c>
      <c r="S139" s="29" t="s">
        <v>548</v>
      </c>
      <c r="T139" s="29">
        <v>1</v>
      </c>
      <c r="U139" s="29">
        <v>9</v>
      </c>
      <c r="V139" s="29" t="s">
        <v>551</v>
      </c>
      <c r="W139" s="30">
        <v>2.16</v>
      </c>
      <c r="Y139" s="29">
        <v>999</v>
      </c>
      <c r="Z139" s="29" t="s">
        <v>551</v>
      </c>
      <c r="AA139" s="62"/>
      <c r="AB139" s="29">
        <v>1</v>
      </c>
      <c r="AC139" s="29">
        <v>2</v>
      </c>
      <c r="AD139" s="29" t="s">
        <v>551</v>
      </c>
      <c r="AE139" s="62">
        <v>0.48</v>
      </c>
      <c r="AF139" s="29" t="s">
        <v>546</v>
      </c>
      <c r="AG139" s="29" t="s">
        <v>546</v>
      </c>
      <c r="AH139" s="29" t="s">
        <v>546</v>
      </c>
      <c r="AI139" s="29" t="s">
        <v>546</v>
      </c>
      <c r="AJ139" s="29" t="s">
        <v>546</v>
      </c>
      <c r="AK139" s="29">
        <v>0</v>
      </c>
      <c r="AL139" s="29">
        <v>2</v>
      </c>
      <c r="AM139" s="29" t="s">
        <v>988</v>
      </c>
      <c r="AN139" s="29" t="s">
        <v>989</v>
      </c>
      <c r="AO139" s="29">
        <v>-4.2914495468139648</v>
      </c>
      <c r="AP139" s="29">
        <v>35.891063690185547</v>
      </c>
      <c r="AQ139" s="29">
        <v>1221.0999755859375</v>
      </c>
      <c r="AR139" s="29">
        <v>5</v>
      </c>
      <c r="AS139" s="29">
        <v>1706031849</v>
      </c>
      <c r="AT139" s="29" t="s">
        <v>990</v>
      </c>
      <c r="AU139" s="31">
        <v>42913.425185185188</v>
      </c>
      <c r="AV139" s="31">
        <v>42909.485821759255</v>
      </c>
      <c r="AW139" s="31">
        <v>42909.506712962961</v>
      </c>
      <c r="AX139" s="32">
        <v>42793</v>
      </c>
      <c r="AZ139" s="44">
        <v>5.2082295482295482</v>
      </c>
      <c r="BA139" s="44">
        <v>3.9243711843711844</v>
      </c>
      <c r="BB139" s="44">
        <v>2.8974545454545453</v>
      </c>
      <c r="BC139" s="44">
        <v>3.203878787878788</v>
      </c>
      <c r="BD139" s="29" t="s">
        <v>2171</v>
      </c>
      <c r="BE139" s="29">
        <v>1.3508191108700001</v>
      </c>
      <c r="BF139" s="29" t="str">
        <f>IF(BE139&lt;0.5,"Depression",IF(BE139&lt;2,"Very gentle",IF(BE139&lt;5,"Gentle",IF(BE139&lt;9,"Moderate",IF(BE139&lt;15,"Strong",IF(BE139&lt;30,"Steep",IF(BE139&lt;1,"Very steep")))))))</f>
        <v>Very gentle</v>
      </c>
      <c r="BG139" s="29" t="s">
        <v>2173</v>
      </c>
      <c r="BH139" s="29">
        <v>0.36257606744799997</v>
      </c>
      <c r="BI139" s="43">
        <v>10.9778470993</v>
      </c>
      <c r="BJ139" s="43"/>
      <c r="BK139" s="43">
        <f>VLOOKUP(D139,[1]SoilData!$G$245:$K$451,5,FALSE)</f>
        <v>375.52350096384743</v>
      </c>
      <c r="BL139" s="43"/>
      <c r="BM139" s="43">
        <f>VLOOKUP(D139,[1]SoilData!$G$245:$M$454,7,FALSE)</f>
        <v>1.752</v>
      </c>
      <c r="BN139" s="60"/>
      <c r="BO139" s="44">
        <f>AVERAGE(BB139:BC139)</f>
        <v>3.0506666666666664</v>
      </c>
      <c r="BP139" s="44">
        <f>AVERAGE(AZ139:BA139)</f>
        <v>4.5663003663003661</v>
      </c>
      <c r="BQ139" s="43">
        <f>BP139-BO139</f>
        <v>1.5156336996336996</v>
      </c>
      <c r="BR139" s="64">
        <f>IF(W139&gt;0.000001,W139*352,0)</f>
        <v>760.32</v>
      </c>
      <c r="BS139" s="64">
        <f>IF(AE139&gt;0.0001,AE139*682,0)</f>
        <v>327.36</v>
      </c>
      <c r="BT139" s="64">
        <f>AA139*795</f>
        <v>0</v>
      </c>
      <c r="BU139" s="64">
        <f>BR139+BS139+BT139</f>
        <v>1087.68</v>
      </c>
      <c r="BV139" s="64">
        <f>IF(G139="YES",3.5*18.2,0)</f>
        <v>0</v>
      </c>
      <c r="BW139" s="64">
        <f>BU139-BV139</f>
        <v>1087.68</v>
      </c>
    </row>
    <row r="140" spans="1:75" x14ac:dyDescent="0.15">
      <c r="A140" s="29" t="s">
        <v>556</v>
      </c>
      <c r="B140" s="29">
        <v>101</v>
      </c>
      <c r="C140" s="29" t="s">
        <v>229</v>
      </c>
      <c r="D140" s="29" t="s">
        <v>229</v>
      </c>
      <c r="E140" s="29" t="str">
        <f>VLOOKUP(D140,Harvest_2017_Formulae!$C$2:$D$968,2,FALSE)</f>
        <v>ORNGADIDA</v>
      </c>
      <c r="F140" s="29" t="s">
        <v>777</v>
      </c>
      <c r="G140" s="61" t="s">
        <v>548</v>
      </c>
      <c r="H140" s="29" t="s">
        <v>568</v>
      </c>
      <c r="I140" s="29" t="s">
        <v>546</v>
      </c>
      <c r="J140" s="29" t="s">
        <v>546</v>
      </c>
      <c r="K140" s="29" t="s">
        <v>548</v>
      </c>
      <c r="L140" s="29" t="s">
        <v>2221</v>
      </c>
      <c r="M140" s="29" t="s">
        <v>548</v>
      </c>
      <c r="N140" s="29" t="s">
        <v>548</v>
      </c>
      <c r="O140" s="29" t="s">
        <v>550</v>
      </c>
      <c r="P140" s="29">
        <v>0.25</v>
      </c>
      <c r="Q140" s="29">
        <v>0.25</v>
      </c>
      <c r="S140" s="29" t="s">
        <v>548</v>
      </c>
      <c r="T140" s="29">
        <v>1</v>
      </c>
      <c r="U140" s="29">
        <v>6</v>
      </c>
      <c r="V140" s="29" t="s">
        <v>551</v>
      </c>
      <c r="W140" s="30">
        <v>1.4400000000000002</v>
      </c>
      <c r="Y140" s="29">
        <v>999</v>
      </c>
      <c r="Z140" s="29" t="s">
        <v>551</v>
      </c>
      <c r="AA140" s="62"/>
      <c r="AB140" s="29">
        <v>1</v>
      </c>
      <c r="AC140" s="29">
        <v>4</v>
      </c>
      <c r="AD140" s="29" t="s">
        <v>551</v>
      </c>
      <c r="AE140" s="62">
        <v>0.96</v>
      </c>
      <c r="AF140" s="29" t="s">
        <v>548</v>
      </c>
      <c r="AG140" s="29" t="s">
        <v>548</v>
      </c>
      <c r="AH140" s="29" t="s">
        <v>548</v>
      </c>
      <c r="AI140" s="29" t="s">
        <v>548</v>
      </c>
      <c r="AJ140" s="29" t="s">
        <v>548</v>
      </c>
      <c r="AK140" s="29">
        <v>5</v>
      </c>
      <c r="AL140" s="29">
        <v>2</v>
      </c>
      <c r="AM140" s="29" t="s">
        <v>1141</v>
      </c>
      <c r="AN140" s="29" t="s">
        <v>1142</v>
      </c>
      <c r="AO140" s="29">
        <v>-4.2923345565795898</v>
      </c>
      <c r="AP140" s="29">
        <v>35.850872039794922</v>
      </c>
      <c r="AQ140" s="29">
        <v>1304.699951171875</v>
      </c>
      <c r="AR140" s="29">
        <v>5</v>
      </c>
      <c r="AS140" s="29">
        <v>1705231439</v>
      </c>
      <c r="AT140" s="29" t="s">
        <v>1143</v>
      </c>
      <c r="AU140" s="31">
        <v>42950.965254629627</v>
      </c>
      <c r="AV140" s="31">
        <v>42892.682581018518</v>
      </c>
      <c r="AW140" s="31">
        <v>42950.926087962958</v>
      </c>
      <c r="AX140" s="32">
        <v>42790</v>
      </c>
      <c r="AZ140" s="44">
        <v>5.8710613598673298</v>
      </c>
      <c r="BA140" s="44">
        <v>5.1389054726368153</v>
      </c>
      <c r="BB140" s="44">
        <v>9.947008547008549</v>
      </c>
      <c r="BC140" s="44">
        <v>3.3300854700854705</v>
      </c>
      <c r="BD140" s="29" t="s">
        <v>2171</v>
      </c>
      <c r="BE140" s="29">
        <v>0.46340289711999999</v>
      </c>
      <c r="BF140" s="29" t="str">
        <f>IF(BE140&lt;0.5,"Depression",IF(BE140&lt;2,"Very gentle",IF(BE140&lt;5,"Gentle",IF(BE140&lt;9,"Moderate",IF(BE140&lt;15,"Strong",IF(BE140&lt;30,"Steep",IF(BE140&lt;1,"Very steep")))))))</f>
        <v>Depression</v>
      </c>
      <c r="BG140" s="29" t="s">
        <v>2173</v>
      </c>
      <c r="BH140" s="29">
        <v>-0.362559139729</v>
      </c>
      <c r="BI140" s="43">
        <v>10.770300865199999</v>
      </c>
      <c r="BJ140" s="43">
        <f>VLOOKUP(D140,[1]SoilData!$G$15:$K$237,5,FALSE)</f>
        <v>133.68714601507389</v>
      </c>
      <c r="BK140" s="43">
        <f>VLOOKUP(D140,[1]SoilData!$G$245:$K$451,5,FALSE)</f>
        <v>265.93519749091797</v>
      </c>
      <c r="BL140" s="43">
        <f>VLOOKUP(D140,[1]SoilData!$G$15:$M$238,7,FALSE)</f>
        <v>1.4339999999999999</v>
      </c>
      <c r="BM140" s="43">
        <f>VLOOKUP(D140,[1]SoilData!$G$245:$M$454,7,FALSE)</f>
        <v>1.3009999999999999</v>
      </c>
      <c r="BN140" s="60">
        <f>BL140-BM140</f>
        <v>0.13300000000000001</v>
      </c>
      <c r="BO140" s="44">
        <f>AVERAGE(BB140:BC140)</f>
        <v>6.6385470085470093</v>
      </c>
      <c r="BP140" s="44">
        <f>AVERAGE(AZ140:BA140)</f>
        <v>5.5049834162520721</v>
      </c>
      <c r="BQ140" s="43">
        <f>BP140-BO140</f>
        <v>-1.1335635922949372</v>
      </c>
      <c r="BR140" s="64">
        <f>IF(W140&gt;0.000001,W140*352,0)</f>
        <v>506.88000000000005</v>
      </c>
      <c r="BS140" s="64">
        <f>IF(AE140&gt;0.0001,AE140*682,0)</f>
        <v>654.72</v>
      </c>
      <c r="BT140" s="64">
        <f>AA140*795</f>
        <v>0</v>
      </c>
      <c r="BU140" s="64">
        <f>BR140+BS140+BT140</f>
        <v>1161.6000000000001</v>
      </c>
      <c r="BV140" s="64">
        <f>IF(G140="YES",3.5*18.2,0)</f>
        <v>63.699999999999996</v>
      </c>
      <c r="BW140" s="64">
        <f>BU140-BV140</f>
        <v>1097.9000000000001</v>
      </c>
    </row>
    <row r="141" spans="1:75" x14ac:dyDescent="0.15">
      <c r="A141" s="29" t="s">
        <v>1133</v>
      </c>
      <c r="B141" s="29">
        <v>3</v>
      </c>
      <c r="C141" s="29" t="s">
        <v>373</v>
      </c>
      <c r="D141" s="29" t="s">
        <v>373</v>
      </c>
      <c r="E141" s="29" t="str">
        <f>VLOOKUP(D141,Harvest_2017_Formulae!$C$2:$D$968,2,FALSE)</f>
        <v>ORNGADIDA</v>
      </c>
      <c r="F141" s="29" t="s">
        <v>777</v>
      </c>
      <c r="G141" s="61" t="s">
        <v>548</v>
      </c>
      <c r="H141" s="29" t="s">
        <v>568</v>
      </c>
      <c r="I141" s="29" t="s">
        <v>548</v>
      </c>
      <c r="J141" s="29" t="s">
        <v>546</v>
      </c>
      <c r="K141" s="29" t="s">
        <v>548</v>
      </c>
      <c r="L141" s="29" t="s">
        <v>2221</v>
      </c>
      <c r="M141" s="29" t="s">
        <v>548</v>
      </c>
      <c r="N141" s="29" t="s">
        <v>548</v>
      </c>
      <c r="O141" s="29" t="s">
        <v>550</v>
      </c>
      <c r="P141" s="29">
        <v>0.5</v>
      </c>
      <c r="R141" s="29">
        <v>0.5</v>
      </c>
      <c r="S141" s="29" t="s">
        <v>548</v>
      </c>
      <c r="T141" s="29">
        <v>1</v>
      </c>
      <c r="U141" s="29">
        <v>10</v>
      </c>
      <c r="V141" s="29" t="s">
        <v>551</v>
      </c>
      <c r="W141" s="30">
        <v>2.4</v>
      </c>
      <c r="Y141" s="29">
        <v>999</v>
      </c>
      <c r="Z141" s="29" t="s">
        <v>551</v>
      </c>
      <c r="AA141" s="62"/>
      <c r="AB141" s="29">
        <v>1</v>
      </c>
      <c r="AC141" s="29">
        <v>3</v>
      </c>
      <c r="AD141" s="29" t="s">
        <v>551</v>
      </c>
      <c r="AE141" s="62">
        <v>0.72</v>
      </c>
      <c r="AF141" s="29" t="s">
        <v>548</v>
      </c>
      <c r="AG141" s="29" t="s">
        <v>546</v>
      </c>
      <c r="AH141" s="29" t="s">
        <v>546</v>
      </c>
      <c r="AI141" s="29" t="s">
        <v>546</v>
      </c>
      <c r="AJ141" s="29" t="s">
        <v>546</v>
      </c>
      <c r="AK141" s="29">
        <v>1</v>
      </c>
      <c r="AL141" s="29">
        <v>3</v>
      </c>
      <c r="AM141" s="29" t="s">
        <v>1134</v>
      </c>
      <c r="AN141" s="29" t="s">
        <v>1135</v>
      </c>
      <c r="AO141" s="29">
        <v>-4.2999958992004395</v>
      </c>
      <c r="AP141" s="29">
        <v>35.850307464599609</v>
      </c>
      <c r="AQ141" s="29">
        <v>1270.4000244140625</v>
      </c>
      <c r="AR141" s="29">
        <v>5</v>
      </c>
      <c r="AS141" s="29">
        <v>1705231439</v>
      </c>
      <c r="AT141" s="29" t="s">
        <v>1136</v>
      </c>
      <c r="AU141" s="31">
        <v>42893.595185185186</v>
      </c>
      <c r="AV141" s="31">
        <v>42892.444606481484</v>
      </c>
      <c r="AW141" s="31">
        <v>42892.47828703704</v>
      </c>
      <c r="AX141" s="32">
        <v>42790</v>
      </c>
      <c r="AZ141" s="44">
        <v>4.1796842105263163</v>
      </c>
      <c r="BA141" s="44">
        <v>6.0845497076023403</v>
      </c>
      <c r="BB141" s="44">
        <v>2.8951375137513748</v>
      </c>
      <c r="BC141" s="44">
        <v>4.224422442244224</v>
      </c>
      <c r="BD141" s="29" t="s">
        <v>2171</v>
      </c>
      <c r="BE141" s="29">
        <v>1.36835634708</v>
      </c>
      <c r="BF141" s="29" t="str">
        <f>IF(BE141&lt;0.5,"Depression",IF(BE141&lt;2,"Very gentle",IF(BE141&lt;5,"Gentle",IF(BE141&lt;9,"Moderate",IF(BE141&lt;15,"Strong",IF(BE141&lt;30,"Steep",IF(BE141&lt;1,"Very steep")))))))</f>
        <v>Very gentle</v>
      </c>
      <c r="BG141" s="29" t="s">
        <v>2173</v>
      </c>
      <c r="BH141" s="29">
        <v>-9.0633422136300004E-2</v>
      </c>
      <c r="BI141" s="43">
        <v>8.9760036468499997</v>
      </c>
      <c r="BJ141" s="43">
        <f>VLOOKUP(D141,[1]SoilData!$G$15:$K$237,5,FALSE)</f>
        <v>342.94387954233508</v>
      </c>
      <c r="BK141" s="43">
        <f>VLOOKUP(D141,[1]SoilData!$G$245:$K$451,5,FALSE)</f>
        <v>265.48326035228052</v>
      </c>
      <c r="BL141" s="43">
        <f>VLOOKUP(D141,[1]SoilData!$G$15:$M$238,7,FALSE)</f>
        <v>1.7629999999999999</v>
      </c>
      <c r="BM141" s="43">
        <f>VLOOKUP(D141,[1]SoilData!$G$245:$M$454,7,FALSE)</f>
        <v>1.8480000000000001</v>
      </c>
      <c r="BN141" s="60">
        <f>BL141-BM141</f>
        <v>-8.5000000000000187E-2</v>
      </c>
      <c r="BO141" s="44">
        <f>AVERAGE(BB141:BC141)</f>
        <v>3.5597799779977994</v>
      </c>
      <c r="BP141" s="44">
        <f>AVERAGE(AZ141:BA141)</f>
        <v>5.1321169590643283</v>
      </c>
      <c r="BQ141" s="43">
        <f>BP141-BO141</f>
        <v>1.5723369810665289</v>
      </c>
      <c r="BR141" s="64">
        <f>IF(W141&gt;0.000001,W141*352,0)</f>
        <v>844.8</v>
      </c>
      <c r="BS141" s="64">
        <f>IF(AE141&gt;0.0001,AE141*682,0)</f>
        <v>491.03999999999996</v>
      </c>
      <c r="BT141" s="64">
        <f>AA141*795</f>
        <v>0</v>
      </c>
      <c r="BU141" s="64">
        <f>BR141+BS141+BT141</f>
        <v>1335.84</v>
      </c>
      <c r="BV141" s="64">
        <f>IF(G141="YES",3.5*18.2,0)</f>
        <v>63.699999999999996</v>
      </c>
      <c r="BW141" s="64">
        <f>BU141-BV141</f>
        <v>1272.1399999999999</v>
      </c>
    </row>
    <row r="142" spans="1:75" x14ac:dyDescent="0.15">
      <c r="A142" s="29" t="s">
        <v>544</v>
      </c>
      <c r="B142" s="29">
        <v>133</v>
      </c>
      <c r="C142" s="29" t="s">
        <v>414</v>
      </c>
      <c r="D142" s="29" t="s">
        <v>414</v>
      </c>
      <c r="E142" s="29" t="str">
        <f>VLOOKUP(D142,Harvest_2017_Formulae!$C$2:$D$968,2,FALSE)</f>
        <v>AYAMANGO</v>
      </c>
      <c r="F142" s="29" t="s">
        <v>196</v>
      </c>
      <c r="G142" s="61" t="s">
        <v>546</v>
      </c>
      <c r="H142" s="29" t="s">
        <v>547</v>
      </c>
      <c r="I142" s="29" t="s">
        <v>548</v>
      </c>
      <c r="J142" s="29" t="s">
        <v>546</v>
      </c>
      <c r="K142" s="29" t="s">
        <v>548</v>
      </c>
      <c r="L142" s="29" t="s">
        <v>2221</v>
      </c>
      <c r="M142" s="29" t="s">
        <v>546</v>
      </c>
      <c r="N142" s="29" t="s">
        <v>548</v>
      </c>
      <c r="O142" s="29" t="s">
        <v>550</v>
      </c>
      <c r="P142" s="29">
        <v>0.25</v>
      </c>
      <c r="Q142" s="29">
        <v>4.5</v>
      </c>
      <c r="S142" s="29" t="s">
        <v>546</v>
      </c>
      <c r="T142" s="29">
        <v>1</v>
      </c>
      <c r="U142" s="29">
        <v>7</v>
      </c>
      <c r="V142" s="29" t="s">
        <v>551</v>
      </c>
      <c r="W142" s="30">
        <v>1.6800000000000002</v>
      </c>
      <c r="Y142" s="29">
        <v>999</v>
      </c>
      <c r="Z142" s="29" t="s">
        <v>551</v>
      </c>
      <c r="AA142" s="62"/>
      <c r="AB142" s="29">
        <v>1</v>
      </c>
      <c r="AC142" s="29">
        <v>4</v>
      </c>
      <c r="AD142" s="29" t="s">
        <v>552</v>
      </c>
      <c r="AE142" s="62">
        <v>0.16031999999999999</v>
      </c>
      <c r="AF142" s="29" t="s">
        <v>546</v>
      </c>
      <c r="AG142" s="29" t="s">
        <v>546</v>
      </c>
      <c r="AH142" s="29" t="s">
        <v>546</v>
      </c>
      <c r="AI142" s="29" t="s">
        <v>546</v>
      </c>
      <c r="AJ142" s="29" t="s">
        <v>546</v>
      </c>
      <c r="AK142" s="29">
        <v>0</v>
      </c>
      <c r="AL142" s="29">
        <v>2</v>
      </c>
      <c r="AM142" s="29" t="s">
        <v>553</v>
      </c>
      <c r="AN142" s="29" t="s">
        <v>554</v>
      </c>
      <c r="AO142" s="29">
        <v>-4.2431855201721191</v>
      </c>
      <c r="AP142" s="29">
        <v>35.889804840087891</v>
      </c>
      <c r="AQ142" s="29">
        <v>1231.699951171875</v>
      </c>
      <c r="AR142" s="29">
        <v>5</v>
      </c>
      <c r="AS142" s="29">
        <v>1706031849</v>
      </c>
      <c r="AT142" s="29" t="s">
        <v>555</v>
      </c>
      <c r="AU142" s="31">
        <v>42907.824004629627</v>
      </c>
      <c r="AV142" s="31">
        <v>42907.593715277777</v>
      </c>
      <c r="AW142" s="31">
        <v>42907.685335648144</v>
      </c>
      <c r="AX142" s="32">
        <v>42770</v>
      </c>
      <c r="AZ142" s="44">
        <v>3.1255026455026456</v>
      </c>
      <c r="BA142" s="44">
        <v>2.4321693121693126</v>
      </c>
      <c r="BB142" s="44">
        <v>4.1709968847352021</v>
      </c>
      <c r="BC142" s="44">
        <v>3.8127102803738318</v>
      </c>
      <c r="BD142" s="29" t="s">
        <v>2171</v>
      </c>
      <c r="BE142" s="29">
        <v>2.15328860283</v>
      </c>
      <c r="BF142" s="29" t="str">
        <f>IF(BE142&lt;0.5,"Depression",IF(BE142&lt;2,"Very gentle",IF(BE142&lt;5,"Gentle",IF(BE142&lt;9,"Moderate",IF(BE142&lt;15,"Strong",IF(BE142&lt;30,"Steep",IF(BE142&lt;1,"Very steep")))))))</f>
        <v>Gentle</v>
      </c>
      <c r="BG142" s="29" t="s">
        <v>2172</v>
      </c>
      <c r="BH142" s="29">
        <v>-0.725126743317</v>
      </c>
      <c r="BI142" s="43">
        <v>9.7927923202499993</v>
      </c>
      <c r="BJ142" s="43">
        <f>VLOOKUP(D142,[1]SoilData!$G$15:$K$237,5,FALSE)</f>
        <v>80.69695571454713</v>
      </c>
      <c r="BK142" s="43">
        <f>VLOOKUP(D142,[1]SoilData!$G$245:$K$451,5,FALSE)</f>
        <v>202.98201025422367</v>
      </c>
      <c r="BL142" s="43">
        <f>VLOOKUP(D142,[1]SoilData!$G$15:$M$238,7,FALSE)</f>
        <v>0.74199999999999999</v>
      </c>
      <c r="BM142" s="43">
        <f>VLOOKUP(D142,[1]SoilData!$G$245:$M$454,7,FALSE)</f>
        <v>0.72499999999999998</v>
      </c>
      <c r="BN142" s="60">
        <f>BL142-BM142</f>
        <v>1.7000000000000015E-2</v>
      </c>
      <c r="BO142" s="44">
        <f>AVERAGE(BB142:BC142)</f>
        <v>3.9918535825545169</v>
      </c>
      <c r="BP142" s="44">
        <f>AVERAGE(AZ142:BA142)</f>
        <v>2.7788359788359793</v>
      </c>
      <c r="BQ142" s="43">
        <f>BP142-BO142</f>
        <v>-1.2130176037185376</v>
      </c>
      <c r="BR142" s="64">
        <f>IF(W142&gt;0.000001,W142*352,0)</f>
        <v>591.36</v>
      </c>
      <c r="BS142" s="64">
        <f>IF(AE142&gt;0.0001,AE142*682,0)</f>
        <v>109.33824</v>
      </c>
      <c r="BT142" s="64">
        <f>AA142*795</f>
        <v>0</v>
      </c>
      <c r="BU142" s="64">
        <f>BR142+BS142+BT142</f>
        <v>700.69824000000006</v>
      </c>
      <c r="BV142" s="64">
        <f>IF(G142="YES",3.5*18.2,0)</f>
        <v>0</v>
      </c>
      <c r="BW142" s="64">
        <f>BU142-BV142</f>
        <v>700.69824000000006</v>
      </c>
    </row>
    <row r="143" spans="1:75" x14ac:dyDescent="0.15">
      <c r="A143" s="29" t="s">
        <v>556</v>
      </c>
      <c r="B143" s="29">
        <v>8</v>
      </c>
      <c r="C143" s="29" t="s">
        <v>1154</v>
      </c>
      <c r="D143" s="29" t="s">
        <v>431</v>
      </c>
      <c r="E143" s="29" t="str">
        <f>VLOOKUP(D143,Harvest_2017_Formulae!$C$2:$D$968,2,FALSE)</f>
        <v>ORNGADIDA</v>
      </c>
      <c r="F143" s="29" t="s">
        <v>777</v>
      </c>
      <c r="G143" s="61" t="s">
        <v>548</v>
      </c>
      <c r="H143" s="29" t="s">
        <v>568</v>
      </c>
      <c r="I143" s="29" t="s">
        <v>548</v>
      </c>
      <c r="J143" s="29" t="s">
        <v>546</v>
      </c>
      <c r="K143" s="29" t="s">
        <v>548</v>
      </c>
      <c r="L143" s="29" t="s">
        <v>2221</v>
      </c>
      <c r="M143" s="29" t="s">
        <v>548</v>
      </c>
      <c r="N143" s="29" t="s">
        <v>548</v>
      </c>
      <c r="O143" s="29" t="s">
        <v>550</v>
      </c>
      <c r="P143" s="29">
        <v>0.25</v>
      </c>
      <c r="R143" s="29">
        <v>1.75</v>
      </c>
      <c r="S143" s="29" t="s">
        <v>548</v>
      </c>
      <c r="T143" s="29">
        <v>1</v>
      </c>
      <c r="U143" s="29">
        <v>15</v>
      </c>
      <c r="V143" s="29" t="s">
        <v>551</v>
      </c>
      <c r="W143" s="30">
        <v>3.5999999999999996</v>
      </c>
      <c r="Y143" s="29">
        <v>999</v>
      </c>
      <c r="Z143" s="29" t="s">
        <v>551</v>
      </c>
      <c r="AA143" s="62"/>
      <c r="AB143" s="29">
        <v>1</v>
      </c>
      <c r="AC143" s="29">
        <v>3</v>
      </c>
      <c r="AD143" s="29" t="s">
        <v>551</v>
      </c>
      <c r="AE143" s="62">
        <v>0.72</v>
      </c>
      <c r="AF143" s="29" t="s">
        <v>546</v>
      </c>
      <c r="AG143" s="29" t="s">
        <v>546</v>
      </c>
      <c r="AH143" s="29" t="s">
        <v>546</v>
      </c>
      <c r="AI143" s="29" t="s">
        <v>546</v>
      </c>
      <c r="AJ143" s="29" t="s">
        <v>546</v>
      </c>
      <c r="AK143" s="29">
        <v>0</v>
      </c>
      <c r="AL143" s="29">
        <v>3</v>
      </c>
      <c r="AM143" s="29" t="s">
        <v>1155</v>
      </c>
      <c r="AN143" s="29" t="s">
        <v>1156</v>
      </c>
      <c r="AO143" s="29">
        <v>-4.3064398765563965</v>
      </c>
      <c r="AP143" s="29">
        <v>35.873340606689453</v>
      </c>
      <c r="AQ143" s="29">
        <v>1240.800048828125</v>
      </c>
      <c r="AR143" s="29">
        <v>5</v>
      </c>
      <c r="AS143" s="29">
        <v>1705231439</v>
      </c>
      <c r="AT143" s="29" t="s">
        <v>1157</v>
      </c>
      <c r="AU143" s="31">
        <v>42893.595601851848</v>
      </c>
      <c r="AV143" s="31">
        <v>42892.56695601852</v>
      </c>
      <c r="AW143" s="31">
        <v>42892.581053240741</v>
      </c>
      <c r="AX143" s="32">
        <v>42775</v>
      </c>
      <c r="AZ143" s="44">
        <v>2.7571144278606963</v>
      </c>
      <c r="BA143" s="44">
        <v>2.1418905472636816</v>
      </c>
      <c r="BB143" s="44">
        <v>3.1985663082437279</v>
      </c>
      <c r="BC143" s="44">
        <v>2.7674551971326169</v>
      </c>
      <c r="BD143" s="29" t="s">
        <v>2171</v>
      </c>
      <c r="BE143" s="29">
        <v>2.5459241867100002</v>
      </c>
      <c r="BF143" s="29" t="str">
        <f>IF(BE143&lt;0.5,"Depression",IF(BE143&lt;2,"Very gentle",IF(BE143&lt;5,"Gentle",IF(BE143&lt;9,"Moderate",IF(BE143&lt;15,"Strong",IF(BE143&lt;30,"Steep",IF(BE143&lt;1,"Very steep")))))))</f>
        <v>Gentle</v>
      </c>
      <c r="BG143" s="29" t="s">
        <v>2173</v>
      </c>
      <c r="BH143" s="29">
        <v>8.4776775111099995E-6</v>
      </c>
      <c r="BI143" s="43">
        <v>8.8782196044900008</v>
      </c>
      <c r="BJ143" s="43">
        <f>VLOOKUP(D143,[1]SoilData!$G$15:$K$237,5,FALSE)</f>
        <v>264.55943926316434</v>
      </c>
      <c r="BK143" s="43">
        <f>VLOOKUP(D143,[1]SoilData!$G$245:$K$451,5,FALSE)</f>
        <v>194.57158275436652</v>
      </c>
      <c r="BL143" s="43">
        <f>VLOOKUP(D143,[1]SoilData!$G$15:$M$238,7,FALSE)</f>
        <v>1.2290000000000001</v>
      </c>
      <c r="BM143" s="43">
        <f>VLOOKUP(D143,[1]SoilData!$G$245:$M$454,7,FALSE)</f>
        <v>1.1599999999999999</v>
      </c>
      <c r="BN143" s="60">
        <f>BL143-BM143</f>
        <v>6.9000000000000172E-2</v>
      </c>
      <c r="BO143" s="44">
        <f>AVERAGE(BB143:BC143)</f>
        <v>2.9830107526881724</v>
      </c>
      <c r="BP143" s="44">
        <f>AVERAGE(AZ143:BA143)</f>
        <v>2.4495024875621887</v>
      </c>
      <c r="BQ143" s="43">
        <f>BP143-BO143</f>
        <v>-0.5335082651259837</v>
      </c>
      <c r="BR143" s="64">
        <f>IF(W143&gt;0.000001,W143*352,0)</f>
        <v>1267.1999999999998</v>
      </c>
      <c r="BS143" s="64">
        <f>IF(AE143&gt;0.0001,AE143*682,0)</f>
        <v>491.03999999999996</v>
      </c>
      <c r="BT143" s="64">
        <f>AA143*795</f>
        <v>0</v>
      </c>
      <c r="BU143" s="64">
        <f>BR143+BS143+BT143</f>
        <v>1758.2399999999998</v>
      </c>
      <c r="BV143" s="64">
        <f>IF(G143="YES",3.5*18.2,0)</f>
        <v>63.699999999999996</v>
      </c>
      <c r="BW143" s="64">
        <f>BU143-BV143</f>
        <v>1694.5399999999997</v>
      </c>
    </row>
    <row r="144" spans="1:75" x14ac:dyDescent="0.15">
      <c r="A144" s="29" t="s">
        <v>556</v>
      </c>
      <c r="B144" s="29">
        <v>130</v>
      </c>
      <c r="C144" s="29" t="s">
        <v>178</v>
      </c>
      <c r="D144" s="29" t="s">
        <v>178</v>
      </c>
      <c r="E144" s="29" t="str">
        <f>VLOOKUP(D144,Harvest_2017_Formulae!$C$2:$D$968,2,FALSE)</f>
        <v>HALLU</v>
      </c>
      <c r="F144" s="29" t="s">
        <v>938</v>
      </c>
      <c r="G144" s="61" t="s">
        <v>548</v>
      </c>
      <c r="H144" s="29" t="s">
        <v>568</v>
      </c>
      <c r="I144" s="29" t="s">
        <v>548</v>
      </c>
      <c r="J144" s="29" t="s">
        <v>546</v>
      </c>
      <c r="K144" s="29" t="s">
        <v>548</v>
      </c>
      <c r="L144" s="29" t="s">
        <v>2221</v>
      </c>
      <c r="M144" s="29" t="s">
        <v>548</v>
      </c>
      <c r="N144" s="29" t="s">
        <v>548</v>
      </c>
      <c r="O144" s="29" t="s">
        <v>550</v>
      </c>
      <c r="P144" s="29">
        <v>0.25</v>
      </c>
      <c r="Q144" s="29">
        <v>0.75</v>
      </c>
      <c r="S144" s="29" t="s">
        <v>548</v>
      </c>
      <c r="T144" s="29">
        <v>1</v>
      </c>
      <c r="U144" s="29">
        <v>20</v>
      </c>
      <c r="V144" s="29" t="s">
        <v>551</v>
      </c>
      <c r="W144" s="30">
        <v>4.8</v>
      </c>
      <c r="Y144" s="29">
        <v>999</v>
      </c>
      <c r="Z144" s="29" t="s">
        <v>551</v>
      </c>
      <c r="AA144" s="62"/>
      <c r="AB144" s="29">
        <v>1</v>
      </c>
      <c r="AC144" s="29">
        <v>4</v>
      </c>
      <c r="AD144" s="29" t="s">
        <v>551</v>
      </c>
      <c r="AE144" s="62">
        <v>0.96</v>
      </c>
      <c r="AF144" s="29" t="s">
        <v>546</v>
      </c>
      <c r="AG144" s="29" t="s">
        <v>548</v>
      </c>
      <c r="AH144" s="29" t="s">
        <v>546</v>
      </c>
      <c r="AI144" s="29" t="s">
        <v>546</v>
      </c>
      <c r="AJ144" s="29" t="s">
        <v>546</v>
      </c>
      <c r="AK144" s="29">
        <v>1</v>
      </c>
      <c r="AL144" s="29">
        <v>4</v>
      </c>
      <c r="AM144" s="29" t="s">
        <v>968</v>
      </c>
      <c r="AN144" s="29" t="s">
        <v>969</v>
      </c>
      <c r="AO144" s="29">
        <v>-4.2846708297729492</v>
      </c>
      <c r="AP144" s="29">
        <v>35.892807006835938</v>
      </c>
      <c r="AQ144" s="29">
        <v>1226.4000244140625</v>
      </c>
      <c r="AR144" s="29">
        <v>5</v>
      </c>
      <c r="AS144" s="29">
        <v>1706031849</v>
      </c>
      <c r="AT144" s="29" t="s">
        <v>970</v>
      </c>
      <c r="AU144" s="31">
        <v>42907.593043981484</v>
      </c>
      <c r="AV144" s="31">
        <v>42906.64875</v>
      </c>
      <c r="AW144" s="31">
        <v>42906.659699074073</v>
      </c>
      <c r="AX144" s="32">
        <v>42792</v>
      </c>
      <c r="AZ144" s="44">
        <v>2.6685446009389673</v>
      </c>
      <c r="BA144" s="44">
        <v>4.5746478873239447</v>
      </c>
      <c r="BB144" s="44">
        <v>5.4636689814814829</v>
      </c>
      <c r="BC144" s="44">
        <v>5.0394907407407414</v>
      </c>
      <c r="BD144" s="29" t="s">
        <v>2171</v>
      </c>
      <c r="BE144" s="29">
        <v>0.87375217676200001</v>
      </c>
      <c r="BF144" s="29" t="str">
        <f>IF(BE144&lt;0.5,"Depression",IF(BE144&lt;2,"Very gentle",IF(BE144&lt;5,"Gentle",IF(BE144&lt;9,"Moderate",IF(BE144&lt;15,"Strong",IF(BE144&lt;30,"Steep",IF(BE144&lt;1,"Very steep")))))))</f>
        <v>Very gentle</v>
      </c>
      <c r="BG144" s="29" t="s">
        <v>2173</v>
      </c>
      <c r="BH144" s="29">
        <v>-9.0633422136300004E-2</v>
      </c>
      <c r="BI144" s="43">
        <v>10.7202291489</v>
      </c>
      <c r="BJ144" s="43"/>
      <c r="BK144" s="43"/>
      <c r="BL144" s="43"/>
      <c r="BM144" s="43"/>
      <c r="BN144" s="60"/>
      <c r="BO144" s="44">
        <f>AVERAGE(BB144:BC144)</f>
        <v>5.2515798611111126</v>
      </c>
      <c r="BP144" s="44">
        <f>AVERAGE(AZ144:BA144)</f>
        <v>3.6215962441314558</v>
      </c>
      <c r="BQ144" s="43">
        <f>BP144-BO144</f>
        <v>-1.6299836169796569</v>
      </c>
      <c r="BR144" s="64">
        <f>IF(W144&gt;0.000001,W144*352,0)</f>
        <v>1689.6</v>
      </c>
      <c r="BS144" s="64">
        <f>IF(AE144&gt;0.0001,AE144*682,0)</f>
        <v>654.72</v>
      </c>
      <c r="BT144" s="64">
        <f>AA144*795</f>
        <v>0</v>
      </c>
      <c r="BU144" s="64">
        <f>BR144+BS144+BT144</f>
        <v>2344.3199999999997</v>
      </c>
      <c r="BV144" s="64">
        <f>IF(G144="YES",3.5*18.2,0)</f>
        <v>63.699999999999996</v>
      </c>
      <c r="BW144" s="64">
        <f>BU144-BV144</f>
        <v>2280.62</v>
      </c>
    </row>
    <row r="145" spans="1:75" x14ac:dyDescent="0.15">
      <c r="A145" s="29" t="s">
        <v>789</v>
      </c>
      <c r="B145" s="29">
        <v>57</v>
      </c>
      <c r="C145" s="29" t="s">
        <v>367</v>
      </c>
      <c r="D145" s="29" t="s">
        <v>367</v>
      </c>
      <c r="E145" s="29" t="str">
        <f>VLOOKUP(D145,Harvest_2017_Formulae!$C$2:$D$968,2,FALSE)</f>
        <v>MANDI</v>
      </c>
      <c r="F145" s="29" t="s">
        <v>1014</v>
      </c>
      <c r="G145" s="61" t="s">
        <v>548</v>
      </c>
      <c r="H145" s="29" t="s">
        <v>568</v>
      </c>
      <c r="I145" s="29" t="s">
        <v>548</v>
      </c>
      <c r="J145" s="29" t="s">
        <v>546</v>
      </c>
      <c r="K145" s="29" t="s">
        <v>548</v>
      </c>
      <c r="L145" s="29" t="s">
        <v>2221</v>
      </c>
      <c r="M145" s="29" t="s">
        <v>548</v>
      </c>
      <c r="N145" s="29" t="s">
        <v>548</v>
      </c>
      <c r="O145" s="29" t="s">
        <v>793</v>
      </c>
      <c r="P145" s="29">
        <v>0.25</v>
      </c>
      <c r="Q145" s="29">
        <v>5.75</v>
      </c>
      <c r="R145" s="29">
        <v>0</v>
      </c>
      <c r="S145" s="29" t="s">
        <v>548</v>
      </c>
      <c r="T145" s="29">
        <v>1</v>
      </c>
      <c r="U145" s="29">
        <v>24</v>
      </c>
      <c r="V145" s="29" t="s">
        <v>551</v>
      </c>
      <c r="W145" s="30">
        <v>5.7600000000000007</v>
      </c>
      <c r="X145" s="29">
        <v>1</v>
      </c>
      <c r="Y145" s="29">
        <v>2</v>
      </c>
      <c r="Z145" s="29" t="s">
        <v>551</v>
      </c>
      <c r="AA145" s="62">
        <v>0.48</v>
      </c>
      <c r="AC145" s="29">
        <v>999</v>
      </c>
      <c r="AD145" s="29" t="s">
        <v>551</v>
      </c>
      <c r="AE145" s="62"/>
      <c r="AF145" s="29" t="s">
        <v>546</v>
      </c>
      <c r="AG145" s="29" t="s">
        <v>548</v>
      </c>
      <c r="AH145" s="29" t="s">
        <v>546</v>
      </c>
      <c r="AI145" s="29" t="s">
        <v>548</v>
      </c>
      <c r="AJ145" s="29" t="s">
        <v>546</v>
      </c>
      <c r="AK145" s="29">
        <v>2</v>
      </c>
      <c r="AL145" s="29">
        <v>3</v>
      </c>
      <c r="AM145" s="29" t="s">
        <v>1081</v>
      </c>
      <c r="AN145" s="29" t="s">
        <v>1082</v>
      </c>
      <c r="AO145" s="29">
        <v>-4.3272275924682617</v>
      </c>
      <c r="AP145" s="29">
        <v>35.441505432128906</v>
      </c>
      <c r="AQ145" s="29">
        <v>1555.800048828125</v>
      </c>
      <c r="AR145" s="29">
        <v>5</v>
      </c>
      <c r="AS145" s="29">
        <v>1705231439</v>
      </c>
      <c r="AT145" s="29" t="s">
        <v>1083</v>
      </c>
      <c r="AU145" s="31">
        <v>42923.38180555556</v>
      </c>
      <c r="AV145" s="31">
        <v>42908.595023148147</v>
      </c>
      <c r="AW145" s="31">
        <v>42908.607164351852</v>
      </c>
      <c r="AX145" s="32">
        <v>42768</v>
      </c>
      <c r="AZ145" s="44">
        <v>7.4814814814814827</v>
      </c>
      <c r="BA145" s="44">
        <v>5.7607407407407418</v>
      </c>
      <c r="BB145" s="44">
        <v>3.2966666666666664</v>
      </c>
      <c r="BC145" s="44">
        <v>5.6733333333333338</v>
      </c>
      <c r="BD145" s="29" t="s">
        <v>2171</v>
      </c>
      <c r="BE145" s="29">
        <v>0</v>
      </c>
      <c r="BF145" s="29" t="str">
        <f>IF(BE145&lt;0.5,"Depression",IF(BE145&lt;2,"Very gentle",IF(BE145&lt;5,"Gentle",IF(BE145&lt;9,"Moderate",IF(BE145&lt;15,"Strong",IF(BE145&lt;30,"Steep",IF(BE145&lt;1,"Very steep")))))))</f>
        <v>Depression</v>
      </c>
      <c r="BG145" s="29" t="s">
        <v>2173</v>
      </c>
      <c r="BH145" s="29">
        <v>8.4776775111099995E-6</v>
      </c>
      <c r="BI145" s="43">
        <v>11.4374370575</v>
      </c>
      <c r="BJ145" s="43">
        <f>VLOOKUP(D145,[1]SoilData!$G$15:$K$237,5,FALSE)</f>
        <v>256.84934752251172</v>
      </c>
      <c r="BK145" s="43">
        <f>VLOOKUP(D145,[1]SoilData!$G$245:$K$451,5,FALSE)</f>
        <v>595.20000000000016</v>
      </c>
      <c r="BL145" s="43">
        <f>VLOOKUP(D145,[1]SoilData!$G$15:$M$238,7,FALSE)</f>
        <v>1.532</v>
      </c>
      <c r="BM145" s="43">
        <f>VLOOKUP(D145,[1]SoilData!$G$245:$M$454,7,FALSE)</f>
        <v>1.1279999999999999</v>
      </c>
      <c r="BN145" s="60">
        <f>BL145-BM145</f>
        <v>0.40400000000000014</v>
      </c>
      <c r="BO145" s="44">
        <f>AVERAGE(BB145:BC145)</f>
        <v>4.4850000000000003</v>
      </c>
      <c r="BP145" s="44">
        <f>AVERAGE(AZ145:BA145)</f>
        <v>6.6211111111111123</v>
      </c>
      <c r="BQ145" s="43">
        <f>BP145-BO145</f>
        <v>2.136111111111112</v>
      </c>
      <c r="BR145" s="64">
        <f>IF(W145&gt;0.000001,W145*352,0)</f>
        <v>2027.5200000000002</v>
      </c>
      <c r="BS145" s="64">
        <f>IF(AE145&gt;0.0001,AE145*682,0)</f>
        <v>0</v>
      </c>
      <c r="BT145" s="64">
        <f>AA145*795</f>
        <v>381.59999999999997</v>
      </c>
      <c r="BU145" s="64">
        <f>BR145+BS145+BT145</f>
        <v>2409.1200000000003</v>
      </c>
      <c r="BV145" s="64">
        <f>IF(G145="YES",3.5*18.2,0)</f>
        <v>63.699999999999996</v>
      </c>
      <c r="BW145" s="64">
        <f>BU145-BV145</f>
        <v>2345.4200000000005</v>
      </c>
    </row>
    <row r="146" spans="1:75" x14ac:dyDescent="0.15">
      <c r="A146" s="29" t="s">
        <v>556</v>
      </c>
      <c r="B146" s="29">
        <v>185</v>
      </c>
      <c r="C146" s="29" t="s">
        <v>110</v>
      </c>
      <c r="D146" s="29" t="s">
        <v>110</v>
      </c>
      <c r="E146" s="29" t="str">
        <f>VLOOKUP(D146,Harvest_2017_Formulae!$C$2:$D$968,2,FALSE)</f>
        <v>DURU</v>
      </c>
      <c r="F146" s="29" t="s">
        <v>645</v>
      </c>
      <c r="G146" s="61" t="s">
        <v>546</v>
      </c>
      <c r="H146" s="29" t="s">
        <v>547</v>
      </c>
      <c r="I146" s="29" t="s">
        <v>546</v>
      </c>
      <c r="J146" s="29" t="s">
        <v>546</v>
      </c>
      <c r="K146" s="29" t="s">
        <v>548</v>
      </c>
      <c r="L146" s="29" t="s">
        <v>2221</v>
      </c>
      <c r="M146" s="29" t="s">
        <v>546</v>
      </c>
      <c r="N146" s="29" t="s">
        <v>548</v>
      </c>
      <c r="O146" s="29" t="s">
        <v>550</v>
      </c>
      <c r="P146" s="29">
        <v>1</v>
      </c>
      <c r="Q146" s="29">
        <v>1.75</v>
      </c>
      <c r="S146" s="29" t="s">
        <v>548</v>
      </c>
      <c r="T146" s="29">
        <v>1</v>
      </c>
      <c r="U146" s="29">
        <v>15</v>
      </c>
      <c r="V146" s="29" t="s">
        <v>551</v>
      </c>
      <c r="W146" s="30">
        <v>3.5999999999999996</v>
      </c>
      <c r="Y146" s="29">
        <v>999</v>
      </c>
      <c r="Z146" s="29" t="s">
        <v>551</v>
      </c>
      <c r="AA146" s="62"/>
      <c r="AB146" s="29">
        <v>1</v>
      </c>
      <c r="AC146" s="29">
        <v>5</v>
      </c>
      <c r="AD146" s="29" t="s">
        <v>551</v>
      </c>
      <c r="AE146" s="62">
        <v>1.2</v>
      </c>
      <c r="AF146" s="29" t="s">
        <v>546</v>
      </c>
      <c r="AG146" s="29" t="s">
        <v>546</v>
      </c>
      <c r="AH146" s="29" t="s">
        <v>546</v>
      </c>
      <c r="AI146" s="29" t="s">
        <v>546</v>
      </c>
      <c r="AJ146" s="29" t="s">
        <v>546</v>
      </c>
      <c r="AK146" s="29">
        <v>0</v>
      </c>
      <c r="AL146" s="29">
        <v>4</v>
      </c>
      <c r="AM146" s="29" t="s">
        <v>705</v>
      </c>
      <c r="AN146" s="29" t="s">
        <v>706</v>
      </c>
      <c r="AO146" s="29">
        <v>-4.3386101722717285</v>
      </c>
      <c r="AP146" s="29">
        <v>35.597995758056641</v>
      </c>
      <c r="AQ146" s="29">
        <v>1525.4000244140625</v>
      </c>
      <c r="AR146" s="29">
        <v>5</v>
      </c>
      <c r="AS146" s="29">
        <v>1706031849</v>
      </c>
      <c r="AT146" s="29" t="s">
        <v>707</v>
      </c>
      <c r="AU146" s="31">
        <v>42926.575983796298</v>
      </c>
      <c r="AV146" s="31">
        <v>42921.667453703703</v>
      </c>
      <c r="AW146" s="31">
        <v>42921.690023148149</v>
      </c>
      <c r="AX146" s="32">
        <v>42777</v>
      </c>
      <c r="AZ146" s="44">
        <v>15.238347107438019</v>
      </c>
      <c r="BA146" s="44">
        <v>8.674931129476585</v>
      </c>
      <c r="BB146" s="44">
        <v>7.1371874999999996</v>
      </c>
      <c r="BC146" s="44">
        <v>6.8568749999999996</v>
      </c>
      <c r="BD146" s="29" t="s">
        <v>2171</v>
      </c>
      <c r="BE146" s="29">
        <v>4.2950010299699999</v>
      </c>
      <c r="BF146" s="29" t="str">
        <f>IF(BE146&lt;0.5,"Depression",IF(BE146&lt;2,"Very gentle",IF(BE146&lt;5,"Gentle",IF(BE146&lt;9,"Moderate",IF(BE146&lt;15,"Strong",IF(BE146&lt;30,"Steep",IF(BE146&lt;1,"Very steep")))))))</f>
        <v>Gentle</v>
      </c>
      <c r="BG146" s="29" t="s">
        <v>2173</v>
      </c>
      <c r="BH146" s="29">
        <v>-0.362559139729</v>
      </c>
      <c r="BI146" s="43">
        <v>9.4648399353000006</v>
      </c>
      <c r="BJ146" s="43">
        <f>VLOOKUP(D146,[1]SoilData!$G$15:$K$237,5,FALSE)</f>
        <v>289.32308736273313</v>
      </c>
      <c r="BK146" s="43">
        <f>VLOOKUP(D146,[1]SoilData!$G$245:$K$451,5,FALSE)</f>
        <v>231.51518964681441</v>
      </c>
      <c r="BL146" s="43">
        <f>VLOOKUP(D146,[1]SoilData!$G$15:$M$238,7,FALSE)</f>
        <v>1.0009999999999999</v>
      </c>
      <c r="BM146" s="43">
        <f>VLOOKUP(D146,[1]SoilData!$G$245:$M$454,7,FALSE)</f>
        <v>0.91</v>
      </c>
      <c r="BN146" s="60">
        <f>BL146-BM146</f>
        <v>9.0999999999999859E-2</v>
      </c>
      <c r="BO146" s="44">
        <f>AVERAGE(BB146:BC146)</f>
        <v>6.9970312499999991</v>
      </c>
      <c r="BP146" s="44">
        <f>AVERAGE(AZ146:BA146)</f>
        <v>11.956639118457302</v>
      </c>
      <c r="BQ146" s="43">
        <f>BP146-BO146</f>
        <v>4.9596078684573026</v>
      </c>
      <c r="BR146" s="64">
        <f>IF(W146&gt;0.000001,W146*352,0)</f>
        <v>1267.1999999999998</v>
      </c>
      <c r="BS146" s="64">
        <f>IF(AE146&gt;0.0001,AE146*682,0)</f>
        <v>818.4</v>
      </c>
      <c r="BT146" s="64">
        <f>AA146*795</f>
        <v>0</v>
      </c>
      <c r="BU146" s="64">
        <f>BR146+BS146+BT146</f>
        <v>2085.6</v>
      </c>
      <c r="BV146" s="64">
        <f>IF(G146="YES",3.5*18.2,0)</f>
        <v>0</v>
      </c>
      <c r="BW146" s="64">
        <f>BU146-BV146</f>
        <v>2085.6</v>
      </c>
    </row>
    <row r="147" spans="1:75" x14ac:dyDescent="0.15">
      <c r="A147" s="29" t="s">
        <v>556</v>
      </c>
      <c r="B147" s="29">
        <v>190</v>
      </c>
      <c r="C147" s="29" t="s">
        <v>152</v>
      </c>
      <c r="D147" s="29" t="s">
        <v>152</v>
      </c>
      <c r="E147" s="29" t="str">
        <f>VLOOKUP(D147,Harvest_2017_Formulae!$C$2:$D$968,2,FALSE)</f>
        <v>ENDANOGA</v>
      </c>
      <c r="F147" s="29" t="s">
        <v>843</v>
      </c>
      <c r="G147" s="61" t="s">
        <v>548</v>
      </c>
      <c r="H147" s="29" t="s">
        <v>568</v>
      </c>
      <c r="I147" s="29" t="s">
        <v>548</v>
      </c>
      <c r="J147" s="29" t="s">
        <v>546</v>
      </c>
      <c r="K147" s="29" t="s">
        <v>548</v>
      </c>
      <c r="L147" s="29" t="s">
        <v>2221</v>
      </c>
      <c r="M147" s="29" t="s">
        <v>546</v>
      </c>
      <c r="N147" s="29" t="s">
        <v>546</v>
      </c>
      <c r="O147" s="29" t="s">
        <v>547</v>
      </c>
      <c r="P147" s="29">
        <v>0.25</v>
      </c>
      <c r="Q147" s="29">
        <v>0.75</v>
      </c>
      <c r="S147" s="29" t="s">
        <v>548</v>
      </c>
      <c r="T147" s="29">
        <v>1</v>
      </c>
      <c r="U147" s="29">
        <v>5</v>
      </c>
      <c r="V147" s="29" t="s">
        <v>551</v>
      </c>
      <c r="W147" s="30">
        <v>1.2</v>
      </c>
      <c r="Y147" s="29">
        <v>999</v>
      </c>
      <c r="Z147" s="29" t="s">
        <v>551</v>
      </c>
      <c r="AA147" s="62"/>
      <c r="AB147" s="29">
        <v>1</v>
      </c>
      <c r="AC147" s="29">
        <v>1</v>
      </c>
      <c r="AD147" s="29" t="s">
        <v>552</v>
      </c>
      <c r="AE147" s="62">
        <v>4.0079999999999998E-2</v>
      </c>
      <c r="AF147" s="29" t="s">
        <v>546</v>
      </c>
      <c r="AG147" s="29" t="s">
        <v>548</v>
      </c>
      <c r="AH147" s="29" t="s">
        <v>546</v>
      </c>
      <c r="AI147" s="29" t="s">
        <v>546</v>
      </c>
      <c r="AJ147" s="29" t="s">
        <v>546</v>
      </c>
      <c r="AK147" s="29">
        <v>1</v>
      </c>
      <c r="AL147" s="29">
        <v>2</v>
      </c>
      <c r="AM147" s="29" t="s">
        <v>878</v>
      </c>
      <c r="AN147" s="29" t="s">
        <v>879</v>
      </c>
      <c r="AO147" s="29">
        <v>-4.2762656211853027</v>
      </c>
      <c r="AP147" s="29">
        <v>35.860355377197266</v>
      </c>
      <c r="AQ147" s="29">
        <v>1305.5999755859375</v>
      </c>
      <c r="AR147" s="29">
        <v>5</v>
      </c>
      <c r="AS147" s="29">
        <v>1706031849</v>
      </c>
      <c r="AT147" s="29" t="s">
        <v>880</v>
      </c>
      <c r="AU147" s="31">
        <v>42940.36005787037</v>
      </c>
      <c r="AV147" s="31">
        <v>42924.513749999998</v>
      </c>
      <c r="AW147" s="31">
        <v>42924.524479166663</v>
      </c>
      <c r="AX147" s="32">
        <v>42773</v>
      </c>
      <c r="AZ147" s="44">
        <v>4.1295771878072776</v>
      </c>
      <c r="BA147" s="44">
        <v>6.4353195673549655</v>
      </c>
      <c r="BB147" s="44">
        <v>2.0612544802867387</v>
      </c>
      <c r="BC147" s="44">
        <v>1.6285483870967743</v>
      </c>
      <c r="BD147" s="29" t="s">
        <v>2171</v>
      </c>
      <c r="BE147" s="29">
        <v>2.34390521049</v>
      </c>
      <c r="BF147" s="29" t="str">
        <f>IF(BE147&lt;0.5,"Depression",IF(BE147&lt;2,"Very gentle",IF(BE147&lt;5,"Gentle",IF(BE147&lt;9,"Moderate",IF(BE147&lt;15,"Strong",IF(BE147&lt;30,"Steep",IF(BE147&lt;1,"Very steep")))))))</f>
        <v>Gentle</v>
      </c>
      <c r="BG147" s="29" t="s">
        <v>2173</v>
      </c>
      <c r="BH147" s="29">
        <v>-0.18127532303300001</v>
      </c>
      <c r="BI147" s="43">
        <v>10.0238084793</v>
      </c>
      <c r="BJ147" s="43">
        <f>VLOOKUP(D147,[1]SoilData!$G$15:$K$238,5,FALSE)</f>
        <v>95.470797118604068</v>
      </c>
      <c r="BK147" s="43">
        <f>VLOOKUP(D147,[1]SoilData!$G$245:$K$462,5,FALSE)</f>
        <v>16.867745378028236</v>
      </c>
      <c r="BL147" s="43">
        <f>VLOOKUP(D147,[1]SoilData!$G$15:$M$238,7,FALSE)</f>
        <v>0.56200000000000006</v>
      </c>
      <c r="BM147" s="43">
        <f>VLOOKUP(D147,[1]SoilData!$G$245:$M$454,7,FALSE)</f>
        <v>0.57399999999999995</v>
      </c>
      <c r="BN147" s="60">
        <f>BL147-BM147</f>
        <v>-1.19999999999999E-2</v>
      </c>
      <c r="BO147" s="44">
        <f>AVERAGE(BB147:BC147)</f>
        <v>1.8449014336917564</v>
      </c>
      <c r="BP147" s="44">
        <f>AVERAGE(AZ147:BA147)</f>
        <v>5.2824483775811215</v>
      </c>
      <c r="BQ147" s="43">
        <f>BP147-BO147</f>
        <v>3.4375469438893651</v>
      </c>
      <c r="BR147" s="64">
        <f>IF(W147&gt;0.000001,W147*352,0)</f>
        <v>422.4</v>
      </c>
      <c r="BS147" s="64">
        <f>IF(AE147&gt;0.0001,AE147*682,0)</f>
        <v>27.33456</v>
      </c>
      <c r="BT147" s="64">
        <f>AA147*795</f>
        <v>0</v>
      </c>
      <c r="BU147" s="64">
        <f>BR147+BS147+BT147</f>
        <v>449.73455999999999</v>
      </c>
      <c r="BV147" s="64">
        <f>IF(G147="YES",3.5*18.2,0)</f>
        <v>63.699999999999996</v>
      </c>
      <c r="BW147" s="64">
        <f>BU147-BV147</f>
        <v>386.03456</v>
      </c>
    </row>
    <row r="148" spans="1:75" x14ac:dyDescent="0.15">
      <c r="A148" s="57" t="s">
        <v>1433</v>
      </c>
      <c r="B148" s="57">
        <v>241</v>
      </c>
      <c r="C148" s="57" t="s">
        <v>1434</v>
      </c>
      <c r="D148" s="57" t="s">
        <v>547</v>
      </c>
      <c r="E148" s="57" t="e">
        <f>VLOOKUP(D148,Harvest_2017_Formulae!$C$2:$D$968,2,FALSE)</f>
        <v>#N/A</v>
      </c>
      <c r="F148" s="57" t="s">
        <v>843</v>
      </c>
      <c r="G148" s="61" t="s">
        <v>548</v>
      </c>
      <c r="H148" s="57" t="s">
        <v>567</v>
      </c>
      <c r="I148" s="57" t="s">
        <v>548</v>
      </c>
      <c r="J148" s="57" t="s">
        <v>548</v>
      </c>
      <c r="K148" s="57" t="s">
        <v>548</v>
      </c>
      <c r="L148" s="29" t="s">
        <v>2221</v>
      </c>
      <c r="M148" s="57" t="s">
        <v>548</v>
      </c>
      <c r="N148" s="57" t="s">
        <v>548</v>
      </c>
      <c r="O148" s="57" t="s">
        <v>550</v>
      </c>
      <c r="P148" s="57">
        <v>0.25</v>
      </c>
      <c r="Q148" s="57">
        <v>0.5</v>
      </c>
      <c r="R148" s="57">
        <v>0</v>
      </c>
      <c r="S148" s="57" t="s">
        <v>548</v>
      </c>
      <c r="T148" s="57">
        <v>1</v>
      </c>
      <c r="U148" s="57">
        <v>2</v>
      </c>
      <c r="V148" s="57" t="s">
        <v>551</v>
      </c>
      <c r="W148" s="57">
        <v>0.48</v>
      </c>
      <c r="X148" s="57"/>
      <c r="Y148" s="57">
        <v>999</v>
      </c>
      <c r="Z148" s="57" t="s">
        <v>551</v>
      </c>
      <c r="AA148" s="60"/>
      <c r="AB148" s="57">
        <v>1</v>
      </c>
      <c r="AC148" s="57">
        <v>2</v>
      </c>
      <c r="AD148" s="57" t="s">
        <v>551</v>
      </c>
      <c r="AE148" s="60">
        <v>0.48</v>
      </c>
      <c r="AF148" s="57" t="s">
        <v>548</v>
      </c>
      <c r="AG148" s="57" t="s">
        <v>548</v>
      </c>
      <c r="AH148" s="57" t="s">
        <v>548</v>
      </c>
      <c r="AI148" s="57" t="s">
        <v>548</v>
      </c>
      <c r="AJ148" s="57" t="s">
        <v>548</v>
      </c>
      <c r="AK148" s="57">
        <v>5</v>
      </c>
      <c r="AL148" s="57">
        <v>2</v>
      </c>
      <c r="AM148" s="57" t="s">
        <v>1437</v>
      </c>
      <c r="AN148" s="57" t="s">
        <v>1438</v>
      </c>
      <c r="AO148" s="57">
        <v>-4.280189037322998</v>
      </c>
      <c r="AP148" s="57">
        <v>35.850742340087891</v>
      </c>
      <c r="AQ148" s="57">
        <v>1321.9000244140625</v>
      </c>
      <c r="AR148" s="57">
        <v>5</v>
      </c>
      <c r="AS148" s="57">
        <v>1706031849</v>
      </c>
      <c r="AT148" s="57" t="s">
        <v>1439</v>
      </c>
      <c r="AU148" s="58">
        <v>42978.591238425928</v>
      </c>
      <c r="AV148" s="58">
        <v>42895.41684027778</v>
      </c>
      <c r="AW148" s="58">
        <v>42978.587650462963</v>
      </c>
      <c r="AX148" s="59">
        <v>42744</v>
      </c>
      <c r="AY148" s="57"/>
      <c r="AZ148" s="57"/>
      <c r="BA148" s="57"/>
      <c r="BB148" s="57"/>
      <c r="BC148" s="57"/>
      <c r="BD148" s="57" t="s">
        <v>2171</v>
      </c>
      <c r="BE148" s="57">
        <v>2.4939789771999998</v>
      </c>
      <c r="BF148" s="57" t="str">
        <f>IF(BE148&lt;0.5,"Depression",IF(BE148&lt;2,"Very gentle",IF(BE148&lt;5,"Gentle",IF(BE148&lt;9,"Moderate",IF(BE148&lt;15,"Strong",IF(BE148&lt;30,"Steep",IF(BE148&lt;1,"Very steep")))))))</f>
        <v>Gentle</v>
      </c>
      <c r="BG148" s="57" t="s">
        <v>2173</v>
      </c>
      <c r="BH148" s="57">
        <v>0.18129228055499999</v>
      </c>
      <c r="BI148" s="60">
        <v>8.9852018356300007</v>
      </c>
      <c r="BJ148" s="60"/>
      <c r="BK148" s="60"/>
      <c r="BL148" s="60"/>
      <c r="BM148" s="60"/>
      <c r="BN148" s="60"/>
      <c r="BO148" s="60"/>
      <c r="BP148" s="60"/>
      <c r="BQ148" s="43"/>
      <c r="BR148" s="64">
        <f>IF(W148&gt;0.000001,W148*352,0)</f>
        <v>168.95999999999998</v>
      </c>
      <c r="BS148" s="64">
        <f>IF(AE148&gt;0.0001,AE148*682,0)</f>
        <v>327.36</v>
      </c>
      <c r="BT148" s="64">
        <f>AA148*795</f>
        <v>0</v>
      </c>
      <c r="BU148" s="64">
        <f>BR148+BS148+BT148</f>
        <v>496.32</v>
      </c>
      <c r="BV148" s="64">
        <f>IF(G148="YES",3.5*18.2,0)</f>
        <v>63.699999999999996</v>
      </c>
      <c r="BW148" s="64">
        <f>BU148-BV148</f>
        <v>432.62</v>
      </c>
    </row>
    <row r="149" spans="1:75" x14ac:dyDescent="0.15">
      <c r="A149" s="29" t="s">
        <v>556</v>
      </c>
      <c r="B149" s="29">
        <v>120</v>
      </c>
      <c r="C149" s="29" t="s">
        <v>325</v>
      </c>
      <c r="D149" s="29" t="s">
        <v>325</v>
      </c>
      <c r="E149" s="29" t="str">
        <f>VLOOKUP(D149,Harvest_2017_Formulae!$C$2:$D$968,2,FALSE)</f>
        <v>AYAMANGO</v>
      </c>
      <c r="F149" s="29" t="s">
        <v>196</v>
      </c>
      <c r="G149" s="61" t="s">
        <v>548</v>
      </c>
      <c r="H149" s="29" t="s">
        <v>568</v>
      </c>
      <c r="I149" s="29" t="s">
        <v>546</v>
      </c>
      <c r="J149" s="29" t="s">
        <v>546</v>
      </c>
      <c r="K149" s="29" t="s">
        <v>546</v>
      </c>
      <c r="L149" s="29" t="s">
        <v>2219</v>
      </c>
      <c r="M149" s="29" t="s">
        <v>548</v>
      </c>
      <c r="N149" s="29" t="s">
        <v>548</v>
      </c>
      <c r="O149" s="29" t="s">
        <v>550</v>
      </c>
      <c r="P149" s="29">
        <v>0.25</v>
      </c>
      <c r="Q149" s="29">
        <v>1.25</v>
      </c>
      <c r="S149" s="29" t="s">
        <v>548</v>
      </c>
      <c r="T149" s="29">
        <v>1.5</v>
      </c>
      <c r="U149" s="29">
        <v>10</v>
      </c>
      <c r="V149" s="29" t="s">
        <v>551</v>
      </c>
      <c r="W149" s="30">
        <v>1.5999999999999999</v>
      </c>
      <c r="Y149" s="29">
        <v>999</v>
      </c>
      <c r="Z149" s="29" t="s">
        <v>551</v>
      </c>
      <c r="AA149" s="62"/>
      <c r="AB149" s="29">
        <v>1.5</v>
      </c>
      <c r="AC149" s="29">
        <v>3</v>
      </c>
      <c r="AD149" s="29" t="s">
        <v>551</v>
      </c>
      <c r="AE149" s="62">
        <v>0.48</v>
      </c>
      <c r="AF149" s="29" t="s">
        <v>546</v>
      </c>
      <c r="AG149" s="29" t="s">
        <v>546</v>
      </c>
      <c r="AH149" s="29" t="s">
        <v>546</v>
      </c>
      <c r="AI149" s="29" t="s">
        <v>546</v>
      </c>
      <c r="AJ149" s="29" t="s">
        <v>546</v>
      </c>
      <c r="AK149" s="29">
        <v>0</v>
      </c>
      <c r="AL149" s="29">
        <v>3</v>
      </c>
      <c r="AM149" s="29" t="s">
        <v>638</v>
      </c>
      <c r="AN149" s="29" t="s">
        <v>639</v>
      </c>
      <c r="AO149" s="29">
        <v>-4.2508773803710938</v>
      </c>
      <c r="AP149" s="29">
        <v>35.8819580078125</v>
      </c>
      <c r="AQ149" s="29">
        <v>1289.4000244140625</v>
      </c>
      <c r="AR149" s="29">
        <v>5</v>
      </c>
      <c r="AS149" s="29">
        <v>1706031849</v>
      </c>
      <c r="AT149" s="29" t="s">
        <v>640</v>
      </c>
      <c r="AU149" s="31">
        <v>42906.49899305556</v>
      </c>
      <c r="AV149" s="31">
        <v>42905.579375000001</v>
      </c>
      <c r="AW149" s="31">
        <v>42905.599050925928</v>
      </c>
      <c r="AX149" s="32">
        <v>42792</v>
      </c>
      <c r="AZ149" s="44">
        <v>6.9127969348659013</v>
      </c>
      <c r="BA149" s="44">
        <v>6.4818390804597712</v>
      </c>
      <c r="BB149" s="44">
        <v>4.4287179487179484</v>
      </c>
      <c r="BC149" s="44">
        <v>4.4775641025641022</v>
      </c>
      <c r="BD149" s="29" t="s">
        <v>2171</v>
      </c>
      <c r="BE149" s="29">
        <v>1.31504225731</v>
      </c>
      <c r="BF149" s="29" t="str">
        <f>IF(BE149&lt;0.5,"Depression",IF(BE149&lt;2,"Very gentle",IF(BE149&lt;5,"Gentle",IF(BE149&lt;9,"Moderate",IF(BE149&lt;15,"Strong",IF(BE149&lt;30,"Steep",IF(BE149&lt;1,"Very steep")))))))</f>
        <v>Very gentle</v>
      </c>
      <c r="BG149" s="29" t="s">
        <v>2173</v>
      </c>
      <c r="BH149" s="29">
        <v>9.0650379657699995E-2</v>
      </c>
      <c r="BI149" s="43">
        <v>9.6666603088399992</v>
      </c>
      <c r="BJ149" s="43">
        <f>VLOOKUP(D149,[1]SoilData!$G$15:$K$237,5,FALSE)</f>
        <v>312.82513443133035</v>
      </c>
      <c r="BK149" s="43">
        <f>VLOOKUP(D149,[1]SoilData!$G$245:$K$451,5,FALSE)</f>
        <v>145.62949034461792</v>
      </c>
      <c r="BL149" s="43">
        <f>VLOOKUP(D149,[1]SoilData!$G$15:$M$238,7,FALSE)</f>
        <v>0.95599999999999996</v>
      </c>
      <c r="BM149" s="43">
        <f>VLOOKUP(D149,[1]SoilData!$G$245:$M$454,7,FALSE)</f>
        <v>0.85099999999999998</v>
      </c>
      <c r="BN149" s="60">
        <f>BL149-BM149</f>
        <v>0.10499999999999998</v>
      </c>
      <c r="BO149" s="44">
        <f>AVERAGE(BB149:BC149)</f>
        <v>4.4531410256410258</v>
      </c>
      <c r="BP149" s="44">
        <f>AVERAGE(AZ149:BA149)</f>
        <v>6.6973180076628367</v>
      </c>
      <c r="BQ149" s="43">
        <f>BP149-BO149</f>
        <v>2.2441769820218109</v>
      </c>
      <c r="BR149" s="64">
        <f>IF(W149&gt;0.000001,W149*352,0)</f>
        <v>563.19999999999993</v>
      </c>
      <c r="BS149" s="64">
        <f>IF(AE149&gt;0.0001,AE149*682,0)</f>
        <v>327.36</v>
      </c>
      <c r="BT149" s="64">
        <f>AA149*795</f>
        <v>0</v>
      </c>
      <c r="BU149" s="64">
        <f>BR149+BS149+BT149</f>
        <v>890.56</v>
      </c>
      <c r="BV149" s="64">
        <f>IF(G149="YES",3.5*18.2,0)</f>
        <v>63.699999999999996</v>
      </c>
      <c r="BW149" s="64">
        <f>BU149-BV149</f>
        <v>826.8599999999999</v>
      </c>
    </row>
    <row r="150" spans="1:75" x14ac:dyDescent="0.15">
      <c r="A150" s="29" t="s">
        <v>556</v>
      </c>
      <c r="B150" s="29">
        <v>123</v>
      </c>
      <c r="C150" s="29" t="s">
        <v>184</v>
      </c>
      <c r="D150" s="29" t="s">
        <v>184</v>
      </c>
      <c r="E150" s="29" t="str">
        <f>VLOOKUP(D150,Harvest_2017_Formulae!$C$2:$D$968,2,FALSE)</f>
        <v>HALLU</v>
      </c>
      <c r="F150" s="29" t="s">
        <v>938</v>
      </c>
      <c r="G150" s="61" t="s">
        <v>546</v>
      </c>
      <c r="H150" s="29" t="s">
        <v>547</v>
      </c>
      <c r="I150" s="29" t="s">
        <v>546</v>
      </c>
      <c r="J150" s="29" t="s">
        <v>546</v>
      </c>
      <c r="K150" s="29" t="s">
        <v>548</v>
      </c>
      <c r="L150" s="29" t="s">
        <v>2221</v>
      </c>
      <c r="M150" s="29" t="s">
        <v>548</v>
      </c>
      <c r="N150" s="29" t="s">
        <v>548</v>
      </c>
      <c r="O150" s="29" t="s">
        <v>550</v>
      </c>
      <c r="P150" s="29">
        <v>0.25</v>
      </c>
      <c r="Q150" s="29">
        <v>2</v>
      </c>
      <c r="S150" s="29" t="s">
        <v>548</v>
      </c>
      <c r="T150" s="29">
        <v>4</v>
      </c>
      <c r="U150" s="29">
        <v>30</v>
      </c>
      <c r="V150" s="29" t="s">
        <v>551</v>
      </c>
      <c r="W150" s="30">
        <v>1.7999999999999998</v>
      </c>
      <c r="Y150" s="29">
        <v>999</v>
      </c>
      <c r="Z150" s="29" t="s">
        <v>551</v>
      </c>
      <c r="AA150" s="62"/>
      <c r="AB150" s="29">
        <v>4</v>
      </c>
      <c r="AC150" s="29">
        <v>10</v>
      </c>
      <c r="AD150" s="29" t="s">
        <v>551</v>
      </c>
      <c r="AE150" s="62">
        <v>0.6</v>
      </c>
      <c r="AF150" s="29" t="s">
        <v>546</v>
      </c>
      <c r="AG150" s="29" t="s">
        <v>546</v>
      </c>
      <c r="AH150" s="29" t="s">
        <v>546</v>
      </c>
      <c r="AI150" s="29" t="s">
        <v>546</v>
      </c>
      <c r="AJ150" s="29" t="s">
        <v>546</v>
      </c>
      <c r="AK150" s="29">
        <v>0</v>
      </c>
      <c r="AL150" s="29">
        <v>3</v>
      </c>
      <c r="AM150" s="29" t="s">
        <v>993</v>
      </c>
      <c r="AN150" s="29" t="s">
        <v>994</v>
      </c>
      <c r="AO150" s="29">
        <v>-4.2634353637695312</v>
      </c>
      <c r="AP150" s="29">
        <v>35.890480041503906</v>
      </c>
      <c r="AQ150" s="29">
        <v>1237.800048828125</v>
      </c>
      <c r="AR150" s="29">
        <v>5</v>
      </c>
      <c r="AS150" s="29">
        <v>1706031849</v>
      </c>
      <c r="AT150" s="29" t="s">
        <v>995</v>
      </c>
      <c r="AU150" s="31">
        <v>42907.442789351851</v>
      </c>
      <c r="AV150" s="31">
        <v>42906.448460648149</v>
      </c>
      <c r="AW150" s="31">
        <v>42906.469780092593</v>
      </c>
      <c r="AX150" s="32">
        <v>42791</v>
      </c>
      <c r="AZ150" s="44">
        <v>6.2573412698412714</v>
      </c>
      <c r="BA150" s="44">
        <v>4.8461111111111119</v>
      </c>
      <c r="BB150" s="44">
        <v>5.1392708333333337</v>
      </c>
      <c r="BC150" s="44">
        <v>4.1579861111111116</v>
      </c>
      <c r="BD150" s="29" t="s">
        <v>2171</v>
      </c>
      <c r="BE150" s="29">
        <v>1.16094529629</v>
      </c>
      <c r="BF150" s="29" t="str">
        <f>IF(BE150&lt;0.5,"Depression",IF(BE150&lt;2,"Very gentle",IF(BE150&lt;5,"Gentle",IF(BE150&lt;9,"Moderate",IF(BE150&lt;15,"Strong",IF(BE150&lt;30,"Steep",IF(BE150&lt;1,"Very steep")))))))</f>
        <v>Very gentle</v>
      </c>
      <c r="BG150" s="29" t="s">
        <v>2173</v>
      </c>
      <c r="BH150" s="29">
        <v>-0.362559139729</v>
      </c>
      <c r="BI150" s="43">
        <v>10.698633193999999</v>
      </c>
      <c r="BJ150" s="43">
        <f>VLOOKUP(D150,[1]SoilData!$G$15:$K$237,5,FALSE)</f>
        <v>293.31897595454723</v>
      </c>
      <c r="BK150" s="43">
        <f>VLOOKUP(D150,[1]SoilData!$G$245:$K$451,5,FALSE)</f>
        <v>420.10900605363736</v>
      </c>
      <c r="BL150" s="43">
        <f>VLOOKUP(D150,[1]SoilData!$G$15:$M$238,7,FALSE)</f>
        <v>1.484</v>
      </c>
      <c r="BM150" s="43">
        <f>VLOOKUP(D150,[1]SoilData!$G$245:$M$454,7,FALSE)</f>
        <v>1.724</v>
      </c>
      <c r="BN150" s="60">
        <f>BL150-BM150</f>
        <v>-0.24</v>
      </c>
      <c r="BO150" s="44">
        <f>AVERAGE(BB150:BC150)</f>
        <v>4.6486284722222226</v>
      </c>
      <c r="BP150" s="44">
        <f>AVERAGE(AZ150:BA150)</f>
        <v>5.5517261904761916</v>
      </c>
      <c r="BQ150" s="43">
        <f>BP150-BO150</f>
        <v>0.90309771825396901</v>
      </c>
      <c r="BR150" s="64">
        <f>IF(W150&gt;0.000001,W150*352,0)</f>
        <v>633.59999999999991</v>
      </c>
      <c r="BS150" s="64">
        <f>IF(AE150&gt;0.0001,AE150*682,0)</f>
        <v>409.2</v>
      </c>
      <c r="BT150" s="64">
        <f>AA150*795</f>
        <v>0</v>
      </c>
      <c r="BU150" s="64">
        <f>BR150+BS150+BT150</f>
        <v>1042.8</v>
      </c>
      <c r="BV150" s="64">
        <f>IF(G150="YES",3.5*18.2,0)</f>
        <v>0</v>
      </c>
      <c r="BW150" s="64">
        <f>BU150-BV150</f>
        <v>1042.8</v>
      </c>
    </row>
    <row r="151" spans="1:75" x14ac:dyDescent="0.15">
      <c r="A151" s="29" t="s">
        <v>556</v>
      </c>
      <c r="B151" s="29">
        <v>126</v>
      </c>
      <c r="C151" s="29" t="s">
        <v>356</v>
      </c>
      <c r="D151" s="29" t="s">
        <v>356</v>
      </c>
      <c r="E151" s="29" t="str">
        <f>VLOOKUP(D151,Harvest_2017_Formulae!$C$2:$D$968,2,FALSE)</f>
        <v>HALLU</v>
      </c>
      <c r="F151" s="29" t="s">
        <v>938</v>
      </c>
      <c r="G151" s="61" t="s">
        <v>546</v>
      </c>
      <c r="H151" s="29" t="s">
        <v>547</v>
      </c>
      <c r="I151" s="29" t="s">
        <v>546</v>
      </c>
      <c r="J151" s="29" t="s">
        <v>546</v>
      </c>
      <c r="K151" s="29" t="s">
        <v>548</v>
      </c>
      <c r="L151" s="29" t="s">
        <v>2220</v>
      </c>
      <c r="M151" s="29" t="s">
        <v>546</v>
      </c>
      <c r="N151" s="29" t="s">
        <v>546</v>
      </c>
      <c r="O151" s="29" t="s">
        <v>547</v>
      </c>
      <c r="P151" s="29">
        <v>0.125</v>
      </c>
      <c r="Q151" s="29">
        <v>0.125</v>
      </c>
      <c r="S151" s="29" t="s">
        <v>548</v>
      </c>
      <c r="T151" s="29">
        <v>0.25</v>
      </c>
      <c r="U151" s="29">
        <v>2</v>
      </c>
      <c r="V151" s="29" t="s">
        <v>551</v>
      </c>
      <c r="W151" s="30">
        <v>1.92</v>
      </c>
      <c r="Y151" s="29">
        <v>999</v>
      </c>
      <c r="Z151" s="29" t="s">
        <v>551</v>
      </c>
      <c r="AA151" s="62"/>
      <c r="AB151" s="29">
        <v>0.25</v>
      </c>
      <c r="AC151" s="29">
        <v>2</v>
      </c>
      <c r="AD151" s="29" t="s">
        <v>552</v>
      </c>
      <c r="AE151" s="62">
        <v>0.32063999999999998</v>
      </c>
      <c r="AF151" s="29" t="s">
        <v>546</v>
      </c>
      <c r="AG151" s="29" t="s">
        <v>546</v>
      </c>
      <c r="AH151" s="29" t="s">
        <v>546</v>
      </c>
      <c r="AI151" s="29" t="s">
        <v>546</v>
      </c>
      <c r="AJ151" s="29" t="s">
        <v>546</v>
      </c>
      <c r="AK151" s="29">
        <v>0</v>
      </c>
      <c r="AL151" s="29">
        <v>3</v>
      </c>
      <c r="AM151" s="29" t="s">
        <v>939</v>
      </c>
      <c r="AN151" s="29" t="s">
        <v>940</v>
      </c>
      <c r="AO151" s="29">
        <v>-4.2834782600402832</v>
      </c>
      <c r="AP151" s="29">
        <v>35.898475646972656</v>
      </c>
      <c r="AQ151" s="29">
        <v>1213.0999755859375</v>
      </c>
      <c r="AR151" s="29">
        <v>5</v>
      </c>
      <c r="AS151" s="29">
        <v>1706031849</v>
      </c>
      <c r="AT151" s="29" t="s">
        <v>941</v>
      </c>
      <c r="AU151" s="31">
        <v>42907.442870370374</v>
      </c>
      <c r="AV151" s="31">
        <v>42906.542870370366</v>
      </c>
      <c r="AW151" s="31">
        <v>42906.555393518516</v>
      </c>
      <c r="AX151" s="32">
        <v>42788</v>
      </c>
      <c r="AZ151" s="44">
        <v>4.4407894736842115</v>
      </c>
      <c r="BA151" s="44">
        <v>4.1684210526315795</v>
      </c>
      <c r="BB151" s="44">
        <v>3.2742222222222215</v>
      </c>
      <c r="BC151" s="44">
        <v>2.8855555555555559</v>
      </c>
      <c r="BD151" s="29" t="s">
        <v>2171</v>
      </c>
      <c r="BE151" s="29">
        <v>2.4237968921699999</v>
      </c>
      <c r="BF151" s="29" t="str">
        <f>IF(BE151&lt;0.5,"Depression",IF(BE151&lt;2,"Very gentle",IF(BE151&lt;5,"Gentle",IF(BE151&lt;9,"Moderate",IF(BE151&lt;15,"Strong",IF(BE151&lt;30,"Steep",IF(BE151&lt;1,"Very steep")))))))</f>
        <v>Gentle</v>
      </c>
      <c r="BG151" s="29" t="s">
        <v>2177</v>
      </c>
      <c r="BH151" s="29">
        <v>0.63450175523800001</v>
      </c>
      <c r="BI151" s="43">
        <v>8.6444921493500004</v>
      </c>
      <c r="BJ151" s="43">
        <f>VLOOKUP(D151,[1]SoilData!$G$15:$K$237,5,FALSE)</f>
        <v>275.20611451181998</v>
      </c>
      <c r="BK151" s="43">
        <f>VLOOKUP(D151,[1]SoilData!$G$245:$K$451,5,FALSE)</f>
        <v>209.72115391119087</v>
      </c>
      <c r="BL151" s="43">
        <f>VLOOKUP(D151,[1]SoilData!$G$15:$M$238,7,FALSE)</f>
        <v>1.0409999999999999</v>
      </c>
      <c r="BM151" s="43">
        <f>VLOOKUP(D151,[1]SoilData!$G$245:$M$454,7,FALSE)</f>
        <v>1.054</v>
      </c>
      <c r="BN151" s="60">
        <f>BL151-BM151</f>
        <v>-1.3000000000000123E-2</v>
      </c>
      <c r="BO151" s="44">
        <f>AVERAGE(BB151:BC151)</f>
        <v>3.0798888888888887</v>
      </c>
      <c r="BP151" s="44">
        <f>AVERAGE(AZ151:BA151)</f>
        <v>4.3046052631578959</v>
      </c>
      <c r="BQ151" s="43">
        <f>BP151-BO151</f>
        <v>1.2247163742690073</v>
      </c>
      <c r="BR151" s="64">
        <f>IF(W151&gt;0.000001,W151*352,0)</f>
        <v>675.83999999999992</v>
      </c>
      <c r="BS151" s="64">
        <f>IF(AE151&gt;0.0001,AE151*682,0)</f>
        <v>218.67648</v>
      </c>
      <c r="BT151" s="64">
        <f>AA151*795</f>
        <v>0</v>
      </c>
      <c r="BU151" s="64">
        <f>BR151+BS151+BT151</f>
        <v>894.51647999999989</v>
      </c>
      <c r="BV151" s="64">
        <f>IF(G151="YES",3.5*18.2,0)</f>
        <v>0</v>
      </c>
      <c r="BW151" s="64">
        <f>BU151-BV151</f>
        <v>894.51647999999989</v>
      </c>
    </row>
    <row r="152" spans="1:75" x14ac:dyDescent="0.15">
      <c r="A152" s="29" t="s">
        <v>556</v>
      </c>
      <c r="B152" s="29">
        <v>129</v>
      </c>
      <c r="C152" s="29" t="s">
        <v>190</v>
      </c>
      <c r="D152" s="29" t="s">
        <v>190</v>
      </c>
      <c r="E152" s="29" t="str">
        <f>VLOOKUP(D152,Harvest_2017_Formulae!$C$2:$D$968,2,FALSE)</f>
        <v>HALLU</v>
      </c>
      <c r="F152" s="29" t="s">
        <v>938</v>
      </c>
      <c r="G152" s="61" t="s">
        <v>548</v>
      </c>
      <c r="H152" s="29" t="s">
        <v>614</v>
      </c>
      <c r="I152" s="29" t="s">
        <v>546</v>
      </c>
      <c r="J152" s="29" t="s">
        <v>546</v>
      </c>
      <c r="K152" s="29" t="s">
        <v>548</v>
      </c>
      <c r="L152" s="29" t="s">
        <v>2220</v>
      </c>
      <c r="M152" s="29" t="s">
        <v>546</v>
      </c>
      <c r="N152" s="29" t="s">
        <v>546</v>
      </c>
      <c r="O152" s="29" t="s">
        <v>547</v>
      </c>
      <c r="P152" s="29">
        <v>0.25</v>
      </c>
      <c r="S152" s="29" t="s">
        <v>548</v>
      </c>
      <c r="T152" s="29">
        <v>0.25</v>
      </c>
      <c r="U152" s="29">
        <v>3.5</v>
      </c>
      <c r="V152" s="29" t="s">
        <v>551</v>
      </c>
      <c r="W152" s="30">
        <v>3.3600000000000003</v>
      </c>
      <c r="Y152" s="29">
        <v>999</v>
      </c>
      <c r="Z152" s="29" t="s">
        <v>551</v>
      </c>
      <c r="AA152" s="62"/>
      <c r="AB152" s="29">
        <v>0.25</v>
      </c>
      <c r="AC152" s="29">
        <v>1</v>
      </c>
      <c r="AD152" s="29" t="s">
        <v>552</v>
      </c>
      <c r="AE152" s="62">
        <v>0.16031999999999999</v>
      </c>
      <c r="AF152" s="29" t="s">
        <v>546</v>
      </c>
      <c r="AG152" s="29" t="s">
        <v>546</v>
      </c>
      <c r="AH152" s="29" t="s">
        <v>548</v>
      </c>
      <c r="AI152" s="29" t="s">
        <v>546</v>
      </c>
      <c r="AJ152" s="29" t="s">
        <v>546</v>
      </c>
      <c r="AK152" s="29">
        <v>1</v>
      </c>
      <c r="AL152" s="29">
        <v>2</v>
      </c>
      <c r="AM152" s="29" t="s">
        <v>1008</v>
      </c>
      <c r="AN152" s="29" t="s">
        <v>1009</v>
      </c>
      <c r="AO152" s="29">
        <v>-4.2768597602844238</v>
      </c>
      <c r="AP152" s="29">
        <v>35.906410217285156</v>
      </c>
      <c r="AQ152" s="29">
        <v>1206</v>
      </c>
      <c r="AR152" s="29">
        <v>5</v>
      </c>
      <c r="AS152" s="29">
        <v>1706031849</v>
      </c>
      <c r="AT152" s="29" t="s">
        <v>1010</v>
      </c>
      <c r="AU152" s="31">
        <v>42907.59302083333</v>
      </c>
      <c r="AV152" s="31">
        <v>42906.613715277781</v>
      </c>
      <c r="AW152" s="31">
        <v>42906.626446759255</v>
      </c>
      <c r="AX152" s="32">
        <v>42793</v>
      </c>
      <c r="AZ152" s="44">
        <v>3.4472934472934473</v>
      </c>
      <c r="BA152" s="44">
        <v>4.183760683760684</v>
      </c>
      <c r="BB152" s="44">
        <v>3.0327160493827159</v>
      </c>
      <c r="BC152" s="44">
        <v>2.3611111111111112</v>
      </c>
      <c r="BD152" s="29" t="s">
        <v>2171</v>
      </c>
      <c r="BE152" s="29">
        <v>2.1000916957900002</v>
      </c>
      <c r="BF152" s="29" t="str">
        <f>IF(BE152&lt;0.5,"Depression",IF(BE152&lt;2,"Very gentle",IF(BE152&lt;5,"Gentle",IF(BE152&lt;9,"Moderate",IF(BE152&lt;15,"Strong",IF(BE152&lt;30,"Steep",IF(BE152&lt;1,"Very steep")))))))</f>
        <v>Gentle</v>
      </c>
      <c r="BG152" s="29" t="s">
        <v>2173</v>
      </c>
      <c r="BH152" s="29">
        <v>-0.18127532303300001</v>
      </c>
      <c r="BI152" s="43">
        <v>8.7581186294600002</v>
      </c>
      <c r="BJ152" s="43">
        <f>VLOOKUP(D152,[1]SoilData!$G$15:$K$237,5,FALSE)</f>
        <v>343.47766918056078</v>
      </c>
      <c r="BK152" s="43">
        <f>VLOOKUP(D152,[1]SoilData!$G$245:$K$451,5,FALSE)</f>
        <v>243.16028272853336</v>
      </c>
      <c r="BL152" s="43">
        <f>VLOOKUP(D152,[1]SoilData!$G$15:$M$238,7,FALSE)</f>
        <v>0.997</v>
      </c>
      <c r="BM152" s="43">
        <f>VLOOKUP(D152,[1]SoilData!$G$245:$M$454,7,FALSE)</f>
        <v>1.012</v>
      </c>
      <c r="BN152" s="60">
        <f>BL152-BM152</f>
        <v>-1.5000000000000013E-2</v>
      </c>
      <c r="BO152" s="44">
        <f>AVERAGE(BB152:BC152)</f>
        <v>2.6969135802469135</v>
      </c>
      <c r="BP152" s="44">
        <f>AVERAGE(AZ152:BA152)</f>
        <v>3.8155270655270659</v>
      </c>
      <c r="BQ152" s="43">
        <f>BP152-BO152</f>
        <v>1.1186134852801524</v>
      </c>
      <c r="BR152" s="64">
        <f>IF(W152&gt;0.000001,W152*352,0)</f>
        <v>1182.72</v>
      </c>
      <c r="BS152" s="64">
        <f>IF(AE152&gt;0.0001,AE152*682,0)</f>
        <v>109.33824</v>
      </c>
      <c r="BT152" s="64">
        <f>AA152*795</f>
        <v>0</v>
      </c>
      <c r="BU152" s="64">
        <f>BR152+BS152+BT152</f>
        <v>1292.0582400000001</v>
      </c>
      <c r="BV152" s="64">
        <f>IF(G152="YES",3.5*18.2,0)</f>
        <v>63.699999999999996</v>
      </c>
      <c r="BW152" s="64">
        <f>BU152-BV152</f>
        <v>1228.35824</v>
      </c>
    </row>
    <row r="153" spans="1:75" x14ac:dyDescent="0.15">
      <c r="A153" s="29" t="s">
        <v>789</v>
      </c>
      <c r="B153" s="29">
        <v>25</v>
      </c>
      <c r="C153" s="29" t="s">
        <v>241</v>
      </c>
      <c r="D153" s="29" t="s">
        <v>241</v>
      </c>
      <c r="E153" s="29" t="str">
        <f>VLOOKUP(D153,Harvest_2017_Formulae!$C$2:$D$968,2,FALSE)</f>
        <v>SABILO</v>
      </c>
      <c r="F153" s="29" t="s">
        <v>1175</v>
      </c>
      <c r="G153" s="61" t="s">
        <v>548</v>
      </c>
      <c r="H153" s="29" t="s">
        <v>568</v>
      </c>
      <c r="I153" s="29" t="s">
        <v>548</v>
      </c>
      <c r="J153" s="29" t="s">
        <v>546</v>
      </c>
      <c r="K153" s="29" t="s">
        <v>548</v>
      </c>
      <c r="L153" s="29" t="s">
        <v>2221</v>
      </c>
      <c r="M153" s="29" t="s">
        <v>548</v>
      </c>
      <c r="N153" s="29" t="s">
        <v>548</v>
      </c>
      <c r="O153" s="29" t="s">
        <v>793</v>
      </c>
      <c r="P153" s="29">
        <v>0.25</v>
      </c>
      <c r="Q153" s="29">
        <v>4</v>
      </c>
      <c r="R153" s="29">
        <v>0</v>
      </c>
      <c r="S153" s="29" t="s">
        <v>548</v>
      </c>
      <c r="T153" s="29">
        <v>1</v>
      </c>
      <c r="U153" s="29">
        <v>20.5</v>
      </c>
      <c r="V153" s="29" t="s">
        <v>551</v>
      </c>
      <c r="W153" s="30">
        <v>4.9200000000000008</v>
      </c>
      <c r="Y153" s="29">
        <v>999</v>
      </c>
      <c r="Z153" s="29" t="s">
        <v>551</v>
      </c>
      <c r="AA153" s="62"/>
      <c r="AB153" s="29">
        <v>1</v>
      </c>
      <c r="AC153" s="29">
        <v>1</v>
      </c>
      <c r="AD153" s="29" t="s">
        <v>551</v>
      </c>
      <c r="AE153" s="62">
        <v>0.24</v>
      </c>
      <c r="AF153" s="29" t="s">
        <v>546</v>
      </c>
      <c r="AG153" s="29" t="s">
        <v>546</v>
      </c>
      <c r="AH153" s="29" t="s">
        <v>546</v>
      </c>
      <c r="AI153" s="29" t="s">
        <v>546</v>
      </c>
      <c r="AJ153" s="29" t="s">
        <v>548</v>
      </c>
      <c r="AK153" s="29">
        <v>1</v>
      </c>
      <c r="AL153" s="29">
        <v>2</v>
      </c>
      <c r="AM153" s="29" t="s">
        <v>1179</v>
      </c>
      <c r="AN153" s="29" t="s">
        <v>1180</v>
      </c>
      <c r="AO153" s="29">
        <v>-4.3503084182739258</v>
      </c>
      <c r="AP153" s="29">
        <v>35.483139038085938</v>
      </c>
      <c r="AQ153" s="29">
        <v>1654.0999755859375</v>
      </c>
      <c r="AR153" s="29">
        <v>15</v>
      </c>
      <c r="AS153" s="29">
        <v>1705231439</v>
      </c>
      <c r="AT153" s="29" t="s">
        <v>1181</v>
      </c>
      <c r="AU153" s="31">
        <v>42908.292557870373</v>
      </c>
      <c r="AV153" s="31">
        <v>42895.404710648145</v>
      </c>
      <c r="AW153" s="31">
        <v>42908.287673611107</v>
      </c>
      <c r="AX153" s="32">
        <v>42765</v>
      </c>
      <c r="AZ153" s="44">
        <v>4.2702339181286559</v>
      </c>
      <c r="BA153" s="44">
        <v>5.1055789473684214</v>
      </c>
      <c r="BB153" s="44">
        <v>3.1413580246913582</v>
      </c>
      <c r="BC153" s="44">
        <v>4.218395061728395</v>
      </c>
      <c r="BD153" s="29" t="s">
        <v>2171</v>
      </c>
      <c r="BE153" s="29">
        <v>3.5533039569899998</v>
      </c>
      <c r="BF153" s="29" t="str">
        <f>IF(BE153&lt;0.5,"Depression",IF(BE153&lt;2,"Very gentle",IF(BE153&lt;5,"Gentle",IF(BE153&lt;9,"Moderate",IF(BE153&lt;15,"Strong",IF(BE153&lt;30,"Steep",IF(BE153&lt;1,"Very steep")))))))</f>
        <v>Gentle</v>
      </c>
      <c r="BG153" s="29" t="s">
        <v>2173</v>
      </c>
      <c r="BH153" s="29">
        <v>-9.0633422136300004E-2</v>
      </c>
      <c r="BI153" s="43">
        <v>8.7059078216600003</v>
      </c>
      <c r="BJ153" s="43">
        <f>VLOOKUP(D153,[1]SoilData!$G$15:$K$237,5,FALSE)</f>
        <v>284.93883565271835</v>
      </c>
      <c r="BK153" s="43">
        <f>VLOOKUP(D153,[1]SoilData!$G$245:$K$451,5,FALSE)</f>
        <v>211.66561092711743</v>
      </c>
      <c r="BL153" s="43">
        <f>VLOOKUP(D153,[1]SoilData!$G$15:$M$238,7,FALSE)</f>
        <v>1.6240000000000001</v>
      </c>
      <c r="BM153" s="43">
        <f>VLOOKUP(D153,[1]SoilData!$G$245:$M$454,7,FALSE)</f>
        <v>1.931</v>
      </c>
      <c r="BN153" s="60">
        <f>BL153-BM153</f>
        <v>-0.30699999999999994</v>
      </c>
      <c r="BO153" s="44">
        <f>AVERAGE(BB153:BC153)</f>
        <v>3.6798765432098763</v>
      </c>
      <c r="BP153" s="44">
        <f>AVERAGE(AZ153:BA153)</f>
        <v>4.6879064327485391</v>
      </c>
      <c r="BQ153" s="43">
        <f>BP153-BO153</f>
        <v>1.0080298895386628</v>
      </c>
      <c r="BR153" s="64">
        <f>IF(W153&gt;0.000001,W153*352,0)</f>
        <v>1731.8400000000004</v>
      </c>
      <c r="BS153" s="64">
        <f>IF(AE153&gt;0.0001,AE153*682,0)</f>
        <v>163.68</v>
      </c>
      <c r="BT153" s="64">
        <f>AA153*795</f>
        <v>0</v>
      </c>
      <c r="BU153" s="64">
        <f>BR153+BS153+BT153</f>
        <v>1895.5200000000004</v>
      </c>
      <c r="BV153" s="64">
        <f>IF(G153="YES",3.5*18.2,0)</f>
        <v>63.699999999999996</v>
      </c>
      <c r="BW153" s="64">
        <f>BU153-BV153</f>
        <v>1831.8200000000004</v>
      </c>
    </row>
    <row r="154" spans="1:75" x14ac:dyDescent="0.15">
      <c r="A154" s="29" t="s">
        <v>544</v>
      </c>
      <c r="B154" s="29">
        <v>96</v>
      </c>
      <c r="C154" s="29" t="s">
        <v>374</v>
      </c>
      <c r="D154" s="29" t="s">
        <v>374</v>
      </c>
      <c r="E154" s="29" t="str">
        <f>VLOOKUP(D154,Harvest_2017_Formulae!$C$2:$D$968,2,FALSE)</f>
        <v>ORNGADIDA</v>
      </c>
      <c r="F154" s="29" t="s">
        <v>777</v>
      </c>
      <c r="G154" s="61" t="s">
        <v>548</v>
      </c>
      <c r="H154" s="29" t="s">
        <v>568</v>
      </c>
      <c r="I154" s="29" t="s">
        <v>548</v>
      </c>
      <c r="J154" s="29" t="s">
        <v>546</v>
      </c>
      <c r="K154" s="29" t="s">
        <v>548</v>
      </c>
      <c r="L154" s="29" t="s">
        <v>2220</v>
      </c>
      <c r="M154" s="29" t="s">
        <v>546</v>
      </c>
      <c r="N154" s="29" t="s">
        <v>548</v>
      </c>
      <c r="O154" s="29" t="s">
        <v>550</v>
      </c>
      <c r="P154" s="29">
        <v>0.5</v>
      </c>
      <c r="S154" s="29" t="s">
        <v>546</v>
      </c>
      <c r="T154" s="29">
        <v>1</v>
      </c>
      <c r="U154" s="29">
        <v>6</v>
      </c>
      <c r="V154" s="29" t="s">
        <v>551</v>
      </c>
      <c r="W154" s="30">
        <v>1.4400000000000002</v>
      </c>
      <c r="Y154" s="29">
        <v>999</v>
      </c>
      <c r="Z154" s="29" t="s">
        <v>551</v>
      </c>
      <c r="AA154" s="62"/>
      <c r="AB154" s="29">
        <v>1</v>
      </c>
      <c r="AC154" s="29">
        <v>0.5</v>
      </c>
      <c r="AD154" s="29" t="s">
        <v>551</v>
      </c>
      <c r="AE154" s="62">
        <v>0.12</v>
      </c>
      <c r="AF154" s="29" t="s">
        <v>548</v>
      </c>
      <c r="AG154" s="29" t="s">
        <v>548</v>
      </c>
      <c r="AH154" s="29" t="s">
        <v>548</v>
      </c>
      <c r="AI154" s="29" t="s">
        <v>548</v>
      </c>
      <c r="AJ154" s="29" t="s">
        <v>548</v>
      </c>
      <c r="AK154" s="29">
        <v>5</v>
      </c>
      <c r="AL154" s="29">
        <v>4</v>
      </c>
      <c r="AM154" s="29" t="s">
        <v>1144</v>
      </c>
      <c r="AN154" s="29" t="s">
        <v>1145</v>
      </c>
      <c r="AO154" s="29">
        <v>-4.3067183494567871</v>
      </c>
      <c r="AP154" s="29">
        <v>35.864860534667969</v>
      </c>
      <c r="AQ154" s="29">
        <v>1241.5999755859375</v>
      </c>
      <c r="AR154" s="29">
        <v>5</v>
      </c>
      <c r="AS154" s="29">
        <v>1705231439</v>
      </c>
      <c r="AT154" s="29" t="s">
        <v>1146</v>
      </c>
      <c r="AU154" s="31">
        <v>42927.346979166672</v>
      </c>
      <c r="AV154" s="31">
        <v>42888.6643287037</v>
      </c>
      <c r="AW154" s="31">
        <v>42927.346655092595</v>
      </c>
      <c r="AX154" s="32">
        <v>42768</v>
      </c>
      <c r="AZ154" s="44">
        <v>4.5819354838709678</v>
      </c>
      <c r="BA154" s="44">
        <v>3.6587096774193548</v>
      </c>
      <c r="BB154" s="44">
        <v>4.4981642512077302</v>
      </c>
      <c r="BC154" s="44">
        <v>4.8912077294685998</v>
      </c>
      <c r="BD154" s="29" t="s">
        <v>2171</v>
      </c>
      <c r="BE154" s="29">
        <v>1.76406645775</v>
      </c>
      <c r="BF154" s="29" t="str">
        <f>IF(BE154&lt;0.5,"Depression",IF(BE154&lt;2,"Very gentle",IF(BE154&lt;5,"Gentle",IF(BE154&lt;9,"Moderate",IF(BE154&lt;15,"Strong",IF(BE154&lt;30,"Steep",IF(BE154&lt;1,"Very steep")))))))</f>
        <v>Very gentle</v>
      </c>
      <c r="BG154" s="29" t="s">
        <v>2173</v>
      </c>
      <c r="BH154" s="29">
        <v>0.45321798324599999</v>
      </c>
      <c r="BI154" s="43">
        <v>9.2365970611599995</v>
      </c>
      <c r="BJ154" s="43"/>
      <c r="BK154" s="43">
        <f>VLOOKUP(D154,[1]SoilData!$G$245:$K$451,5,FALSE)</f>
        <v>237.0442747080879</v>
      </c>
      <c r="BL154" s="43"/>
      <c r="BM154" s="43">
        <f>VLOOKUP(D154,[1]SoilData!$G$245:$M$454,7,FALSE)</f>
        <v>1.2929999999999999</v>
      </c>
      <c r="BN154" s="60"/>
      <c r="BO154" s="44">
        <f>AVERAGE(BB154:BC154)</f>
        <v>4.694685990338165</v>
      </c>
      <c r="BP154" s="44">
        <f>AVERAGE(AZ154:BA154)</f>
        <v>4.1203225806451611</v>
      </c>
      <c r="BQ154" s="43">
        <f>BP154-BO154</f>
        <v>-0.57436340969300392</v>
      </c>
      <c r="BR154" s="64">
        <f>IF(W154&gt;0.000001,W154*352,0)</f>
        <v>506.88000000000005</v>
      </c>
      <c r="BS154" s="64">
        <f>IF(AE154&gt;0.0001,AE154*682,0)</f>
        <v>81.84</v>
      </c>
      <c r="BT154" s="64">
        <f>AA154*795</f>
        <v>0</v>
      </c>
      <c r="BU154" s="64">
        <f>BR154+BS154+BT154</f>
        <v>588.72</v>
      </c>
      <c r="BV154" s="64">
        <f>IF(G154="YES",3.5*18.2,0)</f>
        <v>63.699999999999996</v>
      </c>
      <c r="BW154" s="64">
        <f>BU154-BV154</f>
        <v>525.02</v>
      </c>
    </row>
    <row r="155" spans="1:75" s="57" customFormat="1" x14ac:dyDescent="0.15">
      <c r="A155" s="29" t="s">
        <v>789</v>
      </c>
      <c r="B155" s="29">
        <v>24</v>
      </c>
      <c r="C155" s="29" t="s">
        <v>1466</v>
      </c>
      <c r="D155" s="29" t="s">
        <v>1466</v>
      </c>
      <c r="E155" s="29" t="e">
        <f>VLOOKUP(D155,Harvest_2017_Formulae!$C$2:$D$968,2,FALSE)</f>
        <v>#N/A</v>
      </c>
      <c r="F155" s="29" t="s">
        <v>1175</v>
      </c>
      <c r="G155" s="61" t="s">
        <v>548</v>
      </c>
      <c r="H155" s="29" t="s">
        <v>568</v>
      </c>
      <c r="I155" s="29" t="s">
        <v>548</v>
      </c>
      <c r="J155" s="29" t="s">
        <v>546</v>
      </c>
      <c r="K155" s="29" t="s">
        <v>548</v>
      </c>
      <c r="L155" s="29" t="s">
        <v>2220</v>
      </c>
      <c r="M155" s="29" t="s">
        <v>548</v>
      </c>
      <c r="N155" s="29" t="s">
        <v>548</v>
      </c>
      <c r="O155" s="29" t="s">
        <v>793</v>
      </c>
      <c r="P155" s="29">
        <v>0.25</v>
      </c>
      <c r="Q155" s="29">
        <v>5.75</v>
      </c>
      <c r="R155" s="29">
        <v>0</v>
      </c>
      <c r="S155" s="29" t="s">
        <v>546</v>
      </c>
      <c r="T155" s="29">
        <v>1</v>
      </c>
      <c r="U155" s="29">
        <v>5</v>
      </c>
      <c r="V155" s="29" t="s">
        <v>551</v>
      </c>
      <c r="W155" s="30">
        <v>1.2</v>
      </c>
      <c r="X155" s="29">
        <v>1</v>
      </c>
      <c r="Y155" s="29">
        <v>1</v>
      </c>
      <c r="Z155" s="29" t="s">
        <v>551</v>
      </c>
      <c r="AA155" s="62">
        <v>0.24</v>
      </c>
      <c r="AB155" s="29"/>
      <c r="AC155" s="29">
        <v>999</v>
      </c>
      <c r="AD155" s="29" t="s">
        <v>551</v>
      </c>
      <c r="AE155" s="62"/>
      <c r="AF155" s="29" t="s">
        <v>546</v>
      </c>
      <c r="AG155" s="29" t="s">
        <v>546</v>
      </c>
      <c r="AH155" s="29" t="s">
        <v>548</v>
      </c>
      <c r="AI155" s="29" t="s">
        <v>548</v>
      </c>
      <c r="AJ155" s="29" t="s">
        <v>548</v>
      </c>
      <c r="AK155" s="29">
        <v>3</v>
      </c>
      <c r="AL155" s="29">
        <v>4</v>
      </c>
      <c r="AM155" s="29" t="s">
        <v>1467</v>
      </c>
      <c r="AN155" s="29" t="s">
        <v>1468</v>
      </c>
      <c r="AO155" s="29">
        <v>-4.343513011932373</v>
      </c>
      <c r="AP155" s="29">
        <v>35.479499816894531</v>
      </c>
      <c r="AQ155" s="29">
        <v>1647.4000244140625</v>
      </c>
      <c r="AR155" s="29">
        <v>15</v>
      </c>
      <c r="AS155" s="29">
        <v>1705231439</v>
      </c>
      <c r="AT155" s="29" t="s">
        <v>1469</v>
      </c>
      <c r="AU155" s="31">
        <v>42908.292569444442</v>
      </c>
      <c r="AV155" s="31">
        <v>42895.472662037035</v>
      </c>
      <c r="AW155" s="31">
        <v>42908.287800925929</v>
      </c>
      <c r="AX155" s="32">
        <v>42779</v>
      </c>
      <c r="AY155" s="29"/>
      <c r="AZ155" s="29"/>
      <c r="BA155" s="29"/>
      <c r="BB155" s="29"/>
      <c r="BC155" s="29"/>
      <c r="BD155" s="29" t="s">
        <v>2171</v>
      </c>
      <c r="BE155" s="29">
        <v>2.93846130371</v>
      </c>
      <c r="BF155" s="29" t="str">
        <f>IF(BE155&lt;0.5,"Depression",IF(BE155&lt;2,"Very gentle",IF(BE155&lt;5,"Gentle",IF(BE155&lt;9,"Moderate",IF(BE155&lt;15,"Strong",IF(BE155&lt;30,"Steep",IF(BE155&lt;1,"Very steep")))))))</f>
        <v>Gentle</v>
      </c>
      <c r="BG155" s="29" t="s">
        <v>2173</v>
      </c>
      <c r="BH155" s="29">
        <v>0.45321798324599999</v>
      </c>
      <c r="BI155" s="43">
        <v>8.7921676635699999</v>
      </c>
      <c r="BJ155" s="43"/>
      <c r="BK155" s="43"/>
      <c r="BL155" s="43"/>
      <c r="BM155" s="43"/>
      <c r="BN155" s="60"/>
      <c r="BO155" s="43"/>
      <c r="BP155" s="43"/>
      <c r="BQ155" s="43"/>
      <c r="BR155" s="64">
        <f>IF(W155&gt;0.000001,W155*352,0)</f>
        <v>422.4</v>
      </c>
      <c r="BS155" s="64">
        <f>IF(AE155&gt;0.0001,AE155*682,0)</f>
        <v>0</v>
      </c>
      <c r="BT155" s="64">
        <f>AA155*795</f>
        <v>190.79999999999998</v>
      </c>
      <c r="BU155" s="64">
        <f>BR155+BS155+BT155</f>
        <v>613.19999999999993</v>
      </c>
      <c r="BV155" s="64">
        <f>IF(G155="YES",3.5*18.2,0)</f>
        <v>63.699999999999996</v>
      </c>
      <c r="BW155" s="64">
        <f>BU155-BV155</f>
        <v>549.49999999999989</v>
      </c>
    </row>
    <row r="156" spans="1:75" s="57" customFormat="1" x14ac:dyDescent="0.15">
      <c r="A156" s="29" t="s">
        <v>556</v>
      </c>
      <c r="B156" s="29">
        <v>117</v>
      </c>
      <c r="C156" s="29" t="s">
        <v>1309</v>
      </c>
      <c r="D156" s="29" t="s">
        <v>392</v>
      </c>
      <c r="E156" s="29" t="str">
        <f>VLOOKUP(D156,Harvest_2017_Formulae!$C$2:$D$968,2,FALSE)</f>
        <v>SELOTO</v>
      </c>
      <c r="F156" s="29" t="s">
        <v>1310</v>
      </c>
      <c r="G156" s="61" t="s">
        <v>546</v>
      </c>
      <c r="H156" s="29" t="s">
        <v>547</v>
      </c>
      <c r="I156" s="29" t="s">
        <v>546</v>
      </c>
      <c r="J156" s="29" t="s">
        <v>546</v>
      </c>
      <c r="K156" s="29" t="s">
        <v>548</v>
      </c>
      <c r="L156" s="29" t="s">
        <v>2220</v>
      </c>
      <c r="M156" s="29" t="s">
        <v>546</v>
      </c>
      <c r="N156" s="29" t="s">
        <v>546</v>
      </c>
      <c r="O156" s="29" t="s">
        <v>547</v>
      </c>
      <c r="P156" s="29">
        <v>0.25</v>
      </c>
      <c r="Q156" s="29">
        <v>2.25</v>
      </c>
      <c r="R156" s="29"/>
      <c r="S156" s="29" t="s">
        <v>546</v>
      </c>
      <c r="T156" s="29">
        <v>2.5</v>
      </c>
      <c r="U156" s="29">
        <v>20</v>
      </c>
      <c r="V156" s="29" t="s">
        <v>551</v>
      </c>
      <c r="W156" s="30">
        <v>1.92</v>
      </c>
      <c r="X156" s="29">
        <v>2.5</v>
      </c>
      <c r="Y156" s="29">
        <v>3</v>
      </c>
      <c r="Z156" s="29" t="s">
        <v>552</v>
      </c>
      <c r="AA156" s="62">
        <v>4.8095999999999986E-2</v>
      </c>
      <c r="AB156" s="29">
        <v>2.5</v>
      </c>
      <c r="AC156" s="29">
        <v>1</v>
      </c>
      <c r="AD156" s="29" t="s">
        <v>551</v>
      </c>
      <c r="AE156" s="62">
        <v>9.6000000000000002E-2</v>
      </c>
      <c r="AF156" s="29" t="s">
        <v>546</v>
      </c>
      <c r="AG156" s="29" t="s">
        <v>546</v>
      </c>
      <c r="AH156" s="29" t="s">
        <v>546</v>
      </c>
      <c r="AI156" s="29" t="s">
        <v>546</v>
      </c>
      <c r="AJ156" s="29" t="s">
        <v>546</v>
      </c>
      <c r="AK156" s="29">
        <v>0</v>
      </c>
      <c r="AL156" s="29">
        <v>2</v>
      </c>
      <c r="AM156" s="29" t="s">
        <v>1311</v>
      </c>
      <c r="AN156" s="29" t="s">
        <v>1312</v>
      </c>
      <c r="AO156" s="29">
        <v>-4.2573752403259277</v>
      </c>
      <c r="AP156" s="29">
        <v>35.511997222900391</v>
      </c>
      <c r="AQ156" s="29">
        <v>1692.300048828125</v>
      </c>
      <c r="AR156" s="29">
        <v>5</v>
      </c>
      <c r="AS156" s="29">
        <v>1706031849</v>
      </c>
      <c r="AT156" s="29" t="s">
        <v>1313</v>
      </c>
      <c r="AU156" s="31">
        <v>42906.498958333337</v>
      </c>
      <c r="AV156" s="31">
        <v>42903.598275462966</v>
      </c>
      <c r="AW156" s="31">
        <v>42903.612523148149</v>
      </c>
      <c r="AX156" s="32">
        <v>42752</v>
      </c>
      <c r="AY156" s="29"/>
      <c r="AZ156" s="44">
        <v>5.0474336283185837</v>
      </c>
      <c r="BA156" s="44">
        <v>3.2319764011799408</v>
      </c>
      <c r="BB156" s="44">
        <v>1.3824175824175826</v>
      </c>
      <c r="BC156" s="44">
        <v>1.4727716727716726</v>
      </c>
      <c r="BD156" s="29" t="s">
        <v>2180</v>
      </c>
      <c r="BE156" s="29">
        <v>1.2062788009600001</v>
      </c>
      <c r="BF156" s="29" t="str">
        <f>IF(BE156&lt;0.5,"Depression",IF(BE156&lt;2,"Very gentle",IF(BE156&lt;5,"Gentle",IF(BE156&lt;9,"Moderate",IF(BE156&lt;15,"Strong",IF(BE156&lt;30,"Steep",IF(BE156&lt;1,"Very steep")))))))</f>
        <v>Very gentle</v>
      </c>
      <c r="BG156" s="29" t="s">
        <v>2173</v>
      </c>
      <c r="BH156" s="29">
        <v>0.45321798324599999</v>
      </c>
      <c r="BI156" s="43">
        <v>8.5595359802199997</v>
      </c>
      <c r="BJ156" s="43">
        <f>VLOOKUP(D156,[1]SoilData!$G$15:$K$237,5,FALSE)</f>
        <v>505.88190018039694</v>
      </c>
      <c r="BK156" s="43">
        <f>VLOOKUP(D156,[1]SoilData!$G$245:$K$451,5,FALSE)</f>
        <v>328.52167339575652</v>
      </c>
      <c r="BL156" s="43">
        <f>VLOOKUP(D156,[1]SoilData!$G$15:$M$238,7,FALSE)</f>
        <v>1.86</v>
      </c>
      <c r="BM156" s="43">
        <f>VLOOKUP(D156,[1]SoilData!$G$245:$M$454,7,FALSE)</f>
        <v>1.542</v>
      </c>
      <c r="BN156" s="60">
        <f>BL156-BM156</f>
        <v>0.31800000000000006</v>
      </c>
      <c r="BO156" s="44">
        <f>AVERAGE(BB156:BC156)</f>
        <v>1.4275946275946276</v>
      </c>
      <c r="BP156" s="44">
        <f>AVERAGE(AZ156:BA156)</f>
        <v>4.1397050147492624</v>
      </c>
      <c r="BQ156" s="43">
        <f>BP156-BO156</f>
        <v>2.7121103871546346</v>
      </c>
      <c r="BR156" s="64">
        <f>IF(W156&gt;0.000001,W156*352,0)</f>
        <v>675.83999999999992</v>
      </c>
      <c r="BS156" s="64">
        <f>IF(AE156&gt;0.0001,AE156*682,0)</f>
        <v>65.472000000000008</v>
      </c>
      <c r="BT156" s="64">
        <f>AA156*795</f>
        <v>38.236319999999992</v>
      </c>
      <c r="BU156" s="64">
        <f>BR156+BS156+BT156</f>
        <v>779.54831999999988</v>
      </c>
      <c r="BV156" s="64">
        <f>IF(G156="YES",3.5*18.2,0)</f>
        <v>0</v>
      </c>
      <c r="BW156" s="64">
        <f>BU156-BV156</f>
        <v>779.54831999999988</v>
      </c>
    </row>
    <row r="157" spans="1:75" x14ac:dyDescent="0.15">
      <c r="A157" s="29" t="s">
        <v>789</v>
      </c>
      <c r="B157" s="29">
        <v>67</v>
      </c>
      <c r="C157" s="29" t="s">
        <v>283</v>
      </c>
      <c r="D157" s="29" t="s">
        <v>283</v>
      </c>
      <c r="E157" s="29" t="str">
        <f>VLOOKUP(D157,Harvest_2017_Formulae!$C$2:$D$968,2,FALSE)</f>
        <v>SOLETO</v>
      </c>
      <c r="F157" s="29" t="s">
        <v>1310</v>
      </c>
      <c r="G157" s="61" t="s">
        <v>548</v>
      </c>
      <c r="H157" s="29" t="s">
        <v>568</v>
      </c>
      <c r="I157" s="29" t="s">
        <v>548</v>
      </c>
      <c r="J157" s="29" t="s">
        <v>546</v>
      </c>
      <c r="K157" s="29" t="s">
        <v>548</v>
      </c>
      <c r="L157" s="29" t="s">
        <v>2221</v>
      </c>
      <c r="M157" s="29" t="s">
        <v>546</v>
      </c>
      <c r="N157" s="29" t="s">
        <v>548</v>
      </c>
      <c r="O157" s="29" t="s">
        <v>793</v>
      </c>
      <c r="P157" s="29">
        <v>0.75</v>
      </c>
      <c r="Q157" s="29">
        <v>4.75</v>
      </c>
      <c r="R157" s="29">
        <v>0</v>
      </c>
      <c r="S157" s="29" t="s">
        <v>546</v>
      </c>
      <c r="T157" s="29">
        <v>1</v>
      </c>
      <c r="U157" s="29">
        <v>12</v>
      </c>
      <c r="V157" s="29" t="s">
        <v>551</v>
      </c>
      <c r="W157" s="30">
        <v>2.8800000000000003</v>
      </c>
      <c r="X157" s="29">
        <v>1</v>
      </c>
      <c r="Y157" s="29">
        <v>1</v>
      </c>
      <c r="Z157" s="29" t="s">
        <v>551</v>
      </c>
      <c r="AA157" s="62">
        <v>0.24</v>
      </c>
      <c r="AB157" s="29">
        <v>1</v>
      </c>
      <c r="AC157" s="29">
        <v>0.5</v>
      </c>
      <c r="AD157" s="29" t="s">
        <v>551</v>
      </c>
      <c r="AE157" s="62">
        <v>0.12</v>
      </c>
      <c r="AF157" s="29" t="s">
        <v>548</v>
      </c>
      <c r="AG157" s="29" t="s">
        <v>548</v>
      </c>
      <c r="AH157" s="29" t="s">
        <v>548</v>
      </c>
      <c r="AI157" s="29" t="s">
        <v>548</v>
      </c>
      <c r="AJ157" s="29" t="s">
        <v>548</v>
      </c>
      <c r="AK157" s="29">
        <v>5</v>
      </c>
      <c r="AL157" s="29">
        <v>3</v>
      </c>
      <c r="AM157" s="29" t="s">
        <v>1337</v>
      </c>
      <c r="AN157" s="29" t="s">
        <v>1338</v>
      </c>
      <c r="AO157" s="29">
        <v>-4.2602062225341797</v>
      </c>
      <c r="AP157" s="29">
        <v>35.519512176513672</v>
      </c>
      <c r="AQ157" s="29">
        <v>1641.4000244140625</v>
      </c>
      <c r="AR157" s="29">
        <v>10</v>
      </c>
      <c r="AS157" s="29">
        <v>1705231439</v>
      </c>
      <c r="AT157" s="29" t="s">
        <v>1339</v>
      </c>
      <c r="AU157" s="31">
        <v>42923.387071759258</v>
      </c>
      <c r="AV157" s="31">
        <v>42902.382766203707</v>
      </c>
      <c r="AW157" s="31">
        <v>42923.385671296295</v>
      </c>
      <c r="AX157" s="32">
        <v>42739</v>
      </c>
      <c r="AZ157" s="44">
        <v>4.1839557399723377</v>
      </c>
      <c r="BA157" s="44">
        <v>4.2790456431535278</v>
      </c>
      <c r="BB157" s="44"/>
      <c r="BC157" s="44">
        <v>3.3598432457353624</v>
      </c>
      <c r="BD157" s="29" t="s">
        <v>2171</v>
      </c>
      <c r="BE157" s="29">
        <v>2.6196329593700001</v>
      </c>
      <c r="BF157" s="29" t="str">
        <f>IF(BE157&lt;0.5,"Depression",IF(BE157&lt;2,"Very gentle",IF(BE157&lt;5,"Gentle",IF(BE157&lt;9,"Moderate",IF(BE157&lt;15,"Strong",IF(BE157&lt;30,"Steep",IF(BE157&lt;1,"Very steep")))))))</f>
        <v>Gentle</v>
      </c>
      <c r="BG157" s="29" t="s">
        <v>2173</v>
      </c>
      <c r="BH157" s="29">
        <v>0.18129228055499999</v>
      </c>
      <c r="BI157" s="43">
        <v>9.7167339325000004</v>
      </c>
      <c r="BJ157" s="43">
        <f>VLOOKUP(D157,[1]SoilData!$G$15:$K$237,5,FALSE)</f>
        <v>332.34959195945368</v>
      </c>
      <c r="BK157" s="43">
        <f>VLOOKUP(D157,[1]SoilData!$G$245:$K$451,5,FALSE)</f>
        <v>186.15334557858839</v>
      </c>
      <c r="BL157" s="43">
        <f>VLOOKUP(D157,[1]SoilData!$G$15:$M$238,7,FALSE)</f>
        <v>1.4390000000000001</v>
      </c>
      <c r="BM157" s="43">
        <f>VLOOKUP(D157,[1]SoilData!$G$245:$M$454,7,FALSE)</f>
        <v>1.3069999999999999</v>
      </c>
      <c r="BN157" s="60">
        <f>BL157-BM157</f>
        <v>0.13200000000000012</v>
      </c>
      <c r="BO157" s="44">
        <f>AVERAGE(BB157:BC157)</f>
        <v>3.3598432457353624</v>
      </c>
      <c r="BP157" s="44">
        <f>AVERAGE(AZ157:BA157)</f>
        <v>4.2315006915629327</v>
      </c>
      <c r="BQ157" s="43">
        <f>BP157-BO157</f>
        <v>0.87165744582757032</v>
      </c>
      <c r="BR157" s="64">
        <f>IF(W157&gt;0.000001,W157*352,0)</f>
        <v>1013.7600000000001</v>
      </c>
      <c r="BS157" s="64">
        <f>IF(AE157&gt;0.0001,AE157*682,0)</f>
        <v>81.84</v>
      </c>
      <c r="BT157" s="64">
        <f>AA157*795</f>
        <v>190.79999999999998</v>
      </c>
      <c r="BU157" s="64">
        <f>BR157+BS157+BT157</f>
        <v>1286.4000000000001</v>
      </c>
      <c r="BV157" s="64">
        <f>IF(G157="YES",3.5*18.2,0)</f>
        <v>63.699999999999996</v>
      </c>
      <c r="BW157" s="64">
        <f>BU157-BV157</f>
        <v>1222.7</v>
      </c>
    </row>
    <row r="158" spans="1:75" x14ac:dyDescent="0.15">
      <c r="A158" s="29" t="s">
        <v>1182</v>
      </c>
      <c r="B158" s="29">
        <v>87</v>
      </c>
      <c r="C158" s="29" t="s">
        <v>1481</v>
      </c>
      <c r="D158" s="29" t="s">
        <v>1481</v>
      </c>
      <c r="E158" s="29" t="e">
        <f>VLOOKUP(D158,Harvest_2017_Formulae!$C$2:$D$968,2,FALSE)</f>
        <v>#N/A</v>
      </c>
      <c r="F158" s="29" t="s">
        <v>1175</v>
      </c>
      <c r="G158" s="61" t="s">
        <v>548</v>
      </c>
      <c r="H158" s="29" t="s">
        <v>568</v>
      </c>
      <c r="I158" s="29" t="s">
        <v>548</v>
      </c>
      <c r="J158" s="29" t="s">
        <v>546</v>
      </c>
      <c r="K158" s="29" t="s">
        <v>548</v>
      </c>
      <c r="L158" s="29" t="s">
        <v>2221</v>
      </c>
      <c r="M158" s="29" t="s">
        <v>546</v>
      </c>
      <c r="N158" s="29" t="s">
        <v>546</v>
      </c>
      <c r="O158" s="29" t="s">
        <v>547</v>
      </c>
      <c r="P158" s="29">
        <v>0</v>
      </c>
      <c r="Q158" s="29">
        <v>2</v>
      </c>
      <c r="R158" s="29">
        <v>10</v>
      </c>
      <c r="S158" s="29" t="s">
        <v>546</v>
      </c>
      <c r="T158" s="29">
        <v>1</v>
      </c>
      <c r="U158" s="29">
        <v>5</v>
      </c>
      <c r="V158" s="29" t="s">
        <v>551</v>
      </c>
      <c r="W158" s="30">
        <v>1.2</v>
      </c>
      <c r="X158" s="29">
        <v>1</v>
      </c>
      <c r="Y158" s="29">
        <v>0.82999998331069946</v>
      </c>
      <c r="Z158" s="29" t="s">
        <v>551</v>
      </c>
      <c r="AA158" s="62">
        <v>0.19919999599456786</v>
      </c>
      <c r="AB158" s="29">
        <v>1</v>
      </c>
      <c r="AC158" s="29">
        <v>0.92000001668930054</v>
      </c>
      <c r="AD158" s="29" t="s">
        <v>551</v>
      </c>
      <c r="AE158" s="62">
        <v>0.22080000400543212</v>
      </c>
      <c r="AF158" s="29" t="s">
        <v>548</v>
      </c>
      <c r="AG158" s="29" t="s">
        <v>548</v>
      </c>
      <c r="AH158" s="29" t="s">
        <v>548</v>
      </c>
      <c r="AI158" s="29" t="s">
        <v>548</v>
      </c>
      <c r="AJ158" s="29" t="s">
        <v>548</v>
      </c>
      <c r="AK158" s="29">
        <v>5</v>
      </c>
      <c r="AL158" s="29">
        <v>3</v>
      </c>
      <c r="AM158" s="29" t="s">
        <v>1482</v>
      </c>
      <c r="AN158" s="29" t="s">
        <v>1483</v>
      </c>
      <c r="AO158" s="29">
        <v>-4.3497371673583984</v>
      </c>
      <c r="AP158" s="29">
        <v>35.461997985839844</v>
      </c>
      <c r="AQ158" s="29">
        <v>1669.5</v>
      </c>
      <c r="AR158" s="29">
        <v>10</v>
      </c>
      <c r="AS158" s="29">
        <v>1705231439</v>
      </c>
      <c r="AT158" s="29" t="s">
        <v>1484</v>
      </c>
      <c r="AU158" s="31">
        <v>42927.345277777778</v>
      </c>
      <c r="AV158" s="31">
        <v>42894.662222222221</v>
      </c>
      <c r="AW158" s="31">
        <v>42927.343796296293</v>
      </c>
      <c r="AX158" s="32">
        <v>42774</v>
      </c>
      <c r="BD158" s="29" t="s">
        <v>2174</v>
      </c>
      <c r="BE158" s="29">
        <v>5.1211724281300004</v>
      </c>
      <c r="BF158" s="29" t="str">
        <f>IF(BE158&lt;0.5,"Depression",IF(BE158&lt;2,"Very gentle",IF(BE158&lt;5,"Gentle",IF(BE158&lt;9,"Moderate",IF(BE158&lt;15,"Strong",IF(BE158&lt;30,"Steep",IF(BE158&lt;1,"Very steep")))))))</f>
        <v>Moderate</v>
      </c>
      <c r="BG158" s="29" t="s">
        <v>2178</v>
      </c>
      <c r="BH158" s="29">
        <v>0.45321798324599999</v>
      </c>
      <c r="BI158" s="43">
        <v>7.87680244446</v>
      </c>
      <c r="BJ158" s="43"/>
      <c r="BK158" s="43"/>
      <c r="BL158" s="43"/>
      <c r="BM158" s="43"/>
      <c r="BN158" s="60"/>
      <c r="BO158" s="43"/>
      <c r="BP158" s="43"/>
      <c r="BQ158" s="43"/>
      <c r="BR158" s="64">
        <f>IF(W158&gt;0.000001,W158*352,0)</f>
        <v>422.4</v>
      </c>
      <c r="BS158" s="64">
        <f>IF(AE158&gt;0.0001,AE158*682,0)</f>
        <v>150.58560273170471</v>
      </c>
      <c r="BT158" s="64">
        <f>AA158*795</f>
        <v>158.36399681568145</v>
      </c>
      <c r="BU158" s="64">
        <f>BR158+BS158+BT158</f>
        <v>731.34959954738611</v>
      </c>
      <c r="BV158" s="64">
        <f>IF(G158="YES",3.5*18.2,0)</f>
        <v>63.699999999999996</v>
      </c>
      <c r="BW158" s="64">
        <f>BU158-BV158</f>
        <v>667.64959954738606</v>
      </c>
    </row>
    <row r="159" spans="1:75" x14ac:dyDescent="0.15">
      <c r="A159" s="29" t="s">
        <v>544</v>
      </c>
      <c r="B159" s="29">
        <v>2</v>
      </c>
      <c r="C159" s="29" t="s">
        <v>219</v>
      </c>
      <c r="D159" s="29" t="s">
        <v>219</v>
      </c>
      <c r="E159" s="29" t="str">
        <f>VLOOKUP(D159,Harvest_2017_Formulae!$C$2:$D$968,2,FALSE)</f>
        <v>ORNGADIDA</v>
      </c>
      <c r="F159" s="29" t="s">
        <v>777</v>
      </c>
      <c r="G159" s="61" t="s">
        <v>548</v>
      </c>
      <c r="H159" s="29" t="s">
        <v>568</v>
      </c>
      <c r="I159" s="29" t="s">
        <v>548</v>
      </c>
      <c r="J159" s="29" t="s">
        <v>546</v>
      </c>
      <c r="K159" s="29" t="s">
        <v>548</v>
      </c>
      <c r="L159" s="29" t="s">
        <v>2220</v>
      </c>
      <c r="M159" s="29" t="s">
        <v>548</v>
      </c>
      <c r="N159" s="29" t="s">
        <v>548</v>
      </c>
      <c r="O159" s="29" t="s">
        <v>550</v>
      </c>
      <c r="P159" s="29">
        <v>0.25</v>
      </c>
      <c r="R159" s="29">
        <v>0.25</v>
      </c>
      <c r="S159" s="29" t="s">
        <v>548</v>
      </c>
      <c r="T159" s="29">
        <v>1</v>
      </c>
      <c r="U159" s="29">
        <v>9</v>
      </c>
      <c r="V159" s="29" t="s">
        <v>551</v>
      </c>
      <c r="W159" s="30">
        <v>2.16</v>
      </c>
      <c r="Y159" s="29">
        <v>999</v>
      </c>
      <c r="Z159" s="29" t="s">
        <v>551</v>
      </c>
      <c r="AA159" s="62"/>
      <c r="AB159" s="29">
        <v>1</v>
      </c>
      <c r="AC159" s="29">
        <v>2</v>
      </c>
      <c r="AD159" s="29" t="s">
        <v>551</v>
      </c>
      <c r="AE159" s="62">
        <v>0.48</v>
      </c>
      <c r="AF159" s="29" t="s">
        <v>546</v>
      </c>
      <c r="AG159" s="29" t="s">
        <v>546</v>
      </c>
      <c r="AH159" s="29" t="s">
        <v>546</v>
      </c>
      <c r="AI159" s="29" t="s">
        <v>546</v>
      </c>
      <c r="AJ159" s="29" t="s">
        <v>546</v>
      </c>
      <c r="AK159" s="29">
        <v>0</v>
      </c>
      <c r="AL159" s="29">
        <v>3</v>
      </c>
      <c r="AM159" s="29" t="s">
        <v>1113</v>
      </c>
      <c r="AN159" s="29" t="s">
        <v>1114</v>
      </c>
      <c r="AO159" s="29">
        <v>-4.2959508895874023</v>
      </c>
      <c r="AP159" s="29">
        <v>35.849796295166016</v>
      </c>
      <c r="AQ159" s="29">
        <v>1272.199951171875</v>
      </c>
      <c r="AR159" s="29">
        <v>5</v>
      </c>
      <c r="AS159" s="29">
        <v>1705231439</v>
      </c>
      <c r="AT159" s="29" t="s">
        <v>1115</v>
      </c>
      <c r="AU159" s="31">
        <v>42893.59511574074</v>
      </c>
      <c r="AV159" s="31">
        <v>42892.40730324074</v>
      </c>
      <c r="AW159" s="31">
        <v>42892.491342592592</v>
      </c>
      <c r="AX159" s="32">
        <v>42773</v>
      </c>
      <c r="AZ159" s="44">
        <v>6.4897877652933831</v>
      </c>
      <c r="BA159" s="44">
        <v>8.4080399500624221</v>
      </c>
      <c r="BB159" s="44">
        <v>7.3222388059701498</v>
      </c>
      <c r="BC159" s="44">
        <v>6.8176119402985069</v>
      </c>
      <c r="BD159" s="29" t="s">
        <v>2171</v>
      </c>
      <c r="BE159" s="29">
        <v>1.52882194519</v>
      </c>
      <c r="BF159" s="29" t="str">
        <f>IF(BE159&lt;0.5,"Depression",IF(BE159&lt;2,"Very gentle",IF(BE159&lt;5,"Gentle",IF(BE159&lt;9,"Moderate",IF(BE159&lt;15,"Strong",IF(BE159&lt;30,"Steep",IF(BE159&lt;1,"Very steep")))))))</f>
        <v>Very gentle</v>
      </c>
      <c r="BG159" s="29" t="s">
        <v>2173</v>
      </c>
      <c r="BH159" s="29">
        <v>-9.0633422136300004E-2</v>
      </c>
      <c r="BI159" s="43">
        <v>9.7258768081699998</v>
      </c>
      <c r="BJ159" s="43">
        <f>VLOOKUP(D159,[1]SoilData!$G$15:$K$237,5,FALSE)</f>
        <v>207.05817873887941</v>
      </c>
      <c r="BK159" s="43">
        <f>VLOOKUP(D159,[1]SoilData!$G$245:$K$451,5,FALSE)</f>
        <v>273.635597321592</v>
      </c>
      <c r="BL159" s="43">
        <f>VLOOKUP(D159,[1]SoilData!$G$15:$M$238,7,FALSE)</f>
        <v>1.4359999999999999</v>
      </c>
      <c r="BM159" s="43">
        <f>VLOOKUP(D159,[1]SoilData!$G$245:$M$454,7,FALSE)</f>
        <v>1.139</v>
      </c>
      <c r="BN159" s="60">
        <f>BL159-BM159</f>
        <v>0.29699999999999993</v>
      </c>
      <c r="BO159" s="44">
        <f>AVERAGE(BB159:BC159)</f>
        <v>7.0699253731343283</v>
      </c>
      <c r="BP159" s="44">
        <f>AVERAGE(AZ159:BA159)</f>
        <v>7.448913857677903</v>
      </c>
      <c r="BQ159" s="43">
        <f>BP159-BO159</f>
        <v>0.3789884845435747</v>
      </c>
      <c r="BR159" s="64">
        <f>IF(W159&gt;0.000001,W159*352,0)</f>
        <v>760.32</v>
      </c>
      <c r="BS159" s="64">
        <f>IF(AE159&gt;0.0001,AE159*682,0)</f>
        <v>327.36</v>
      </c>
      <c r="BT159" s="64">
        <f>AA159*795</f>
        <v>0</v>
      </c>
      <c r="BU159" s="64">
        <f>BR159+BS159+BT159</f>
        <v>1087.68</v>
      </c>
      <c r="BV159" s="64">
        <f>IF(G159="YES",3.5*18.2,0)</f>
        <v>63.699999999999996</v>
      </c>
      <c r="BW159" s="64">
        <f>BU159-BV159</f>
        <v>1023.98</v>
      </c>
    </row>
    <row r="160" spans="1:75" x14ac:dyDescent="0.15">
      <c r="A160" s="29" t="s">
        <v>556</v>
      </c>
      <c r="B160" s="29">
        <v>197</v>
      </c>
      <c r="C160" s="29" t="s">
        <v>409</v>
      </c>
      <c r="D160" s="29" t="s">
        <v>409</v>
      </c>
      <c r="E160" s="29" t="str">
        <f>VLOOKUP(D160,Harvest_2017_Formulae!$C$2:$D$968,2,FALSE)</f>
        <v>TSAMASI</v>
      </c>
      <c r="F160" s="29" t="s">
        <v>1014</v>
      </c>
      <c r="G160" s="61" t="s">
        <v>546</v>
      </c>
      <c r="H160" s="29" t="s">
        <v>547</v>
      </c>
      <c r="I160" s="29" t="s">
        <v>548</v>
      </c>
      <c r="J160" s="29" t="s">
        <v>546</v>
      </c>
      <c r="K160" s="29" t="s">
        <v>548</v>
      </c>
      <c r="L160" s="29" t="s">
        <v>2220</v>
      </c>
      <c r="M160" s="29" t="s">
        <v>546</v>
      </c>
      <c r="N160" s="29" t="s">
        <v>546</v>
      </c>
      <c r="O160" s="29" t="s">
        <v>547</v>
      </c>
      <c r="P160" s="29">
        <v>0.25</v>
      </c>
      <c r="Q160" s="29">
        <v>0.5</v>
      </c>
      <c r="S160" s="29" t="s">
        <v>548</v>
      </c>
      <c r="T160" s="29">
        <v>0.5</v>
      </c>
      <c r="U160" s="29">
        <v>1</v>
      </c>
      <c r="V160" s="29" t="s">
        <v>551</v>
      </c>
      <c r="W160" s="30">
        <v>0.48</v>
      </c>
      <c r="Y160" s="29">
        <v>999</v>
      </c>
      <c r="Z160" s="29" t="s">
        <v>551</v>
      </c>
      <c r="AA160" s="62"/>
      <c r="AB160" s="29">
        <v>0.5</v>
      </c>
      <c r="AC160" s="29">
        <v>3</v>
      </c>
      <c r="AD160" s="29" t="s">
        <v>552</v>
      </c>
      <c r="AE160" s="62">
        <v>0.24047999999999994</v>
      </c>
      <c r="AF160" s="29" t="s">
        <v>546</v>
      </c>
      <c r="AG160" s="29" t="s">
        <v>546</v>
      </c>
      <c r="AH160" s="29" t="s">
        <v>546</v>
      </c>
      <c r="AI160" s="29" t="s">
        <v>546</v>
      </c>
      <c r="AJ160" s="29" t="s">
        <v>546</v>
      </c>
      <c r="AK160" s="29">
        <v>0</v>
      </c>
      <c r="AL160" s="29">
        <v>3</v>
      </c>
      <c r="AM160" s="29" t="s">
        <v>1388</v>
      </c>
      <c r="AN160" s="29" t="s">
        <v>1389</v>
      </c>
      <c r="AO160" s="29">
        <v>-4.2876839637756348</v>
      </c>
      <c r="AP160" s="29">
        <v>35.832809448242188</v>
      </c>
      <c r="AQ160" s="29">
        <v>1328.300048828125</v>
      </c>
      <c r="AR160" s="29">
        <v>5</v>
      </c>
      <c r="AS160" s="29">
        <v>1706031849</v>
      </c>
      <c r="AT160" s="29" t="s">
        <v>1390</v>
      </c>
      <c r="AU160" s="31">
        <v>42948.907511574071</v>
      </c>
      <c r="AV160" s="31">
        <v>42938.393310185187</v>
      </c>
      <c r="AW160" s="31">
        <v>42938.40760416667</v>
      </c>
      <c r="AX160" s="32">
        <v>42790</v>
      </c>
      <c r="AZ160" s="44">
        <v>1.9759759759759761</v>
      </c>
      <c r="BA160" s="44">
        <v>1.6943993993993995</v>
      </c>
      <c r="BB160" s="44">
        <v>5.4114747474747471</v>
      </c>
      <c r="BC160" s="44">
        <v>4.6580808080808085</v>
      </c>
      <c r="BD160" s="29" t="s">
        <v>2171</v>
      </c>
      <c r="BE160" s="29">
        <v>3.1643760204300002</v>
      </c>
      <c r="BF160" s="29" t="str">
        <f>IF(BE160&lt;0.5,"Depression",IF(BE160&lt;2,"Very gentle",IF(BE160&lt;5,"Gentle",IF(BE160&lt;9,"Moderate",IF(BE160&lt;15,"Strong",IF(BE160&lt;30,"Steep",IF(BE160&lt;1,"Very steep")))))))</f>
        <v>Gentle</v>
      </c>
      <c r="BG160" s="29" t="s">
        <v>2173</v>
      </c>
      <c r="BH160" s="29">
        <v>0.27193418145199999</v>
      </c>
      <c r="BI160" s="43">
        <v>7.7665185928299998</v>
      </c>
      <c r="BJ160" s="43">
        <f>VLOOKUP(D160,[1]SoilData!$G$15:$K$237,5,FALSE)</f>
        <v>349.7371323374249</v>
      </c>
      <c r="BK160" s="43">
        <f>VLOOKUP(D160,[1]SoilData!$G$245:$K$451,5,FALSE)</f>
        <v>299.14396544609201</v>
      </c>
      <c r="BL160" s="43">
        <f>VLOOKUP(D160,[1]SoilData!$G$15:$M$238,7,FALSE)</f>
        <v>1.2689999999999999</v>
      </c>
      <c r="BM160" s="43">
        <f>VLOOKUP(D160,[1]SoilData!$G$245:$M$454,7,FALSE)</f>
        <v>1.8180000000000001</v>
      </c>
      <c r="BN160" s="60">
        <f>BL160-BM160</f>
        <v>-0.54900000000000015</v>
      </c>
      <c r="BO160" s="44"/>
      <c r="BP160" s="44">
        <f>AVERAGE(AZ160:BA160)</f>
        <v>1.8351876876876878</v>
      </c>
      <c r="BQ160" s="43">
        <f>BP160-BO160</f>
        <v>1.8351876876876878</v>
      </c>
      <c r="BR160" s="64">
        <f>IF(W160&gt;0.000001,W160*352,0)</f>
        <v>168.95999999999998</v>
      </c>
      <c r="BS160" s="64">
        <f>IF(AE160&gt;0.0001,AE160*682,0)</f>
        <v>164.00735999999995</v>
      </c>
      <c r="BT160" s="64">
        <f>AA160*795</f>
        <v>0</v>
      </c>
      <c r="BU160" s="64">
        <f>BR160+BS160+BT160</f>
        <v>332.96735999999993</v>
      </c>
      <c r="BV160" s="64">
        <f>IF(G160="YES",3.5*18.2,0)</f>
        <v>0</v>
      </c>
      <c r="BW160" s="64">
        <f>BU160-BV160</f>
        <v>332.96735999999993</v>
      </c>
    </row>
    <row r="161" spans="1:75" x14ac:dyDescent="0.15">
      <c r="A161" s="29" t="s">
        <v>893</v>
      </c>
      <c r="B161" s="29">
        <v>195</v>
      </c>
      <c r="C161" s="29" t="s">
        <v>894</v>
      </c>
      <c r="D161" s="29" t="s">
        <v>157</v>
      </c>
      <c r="E161" s="29" t="str">
        <f>VLOOKUP(D161,Harvest_2017_Formulae!$C$2:$D$968,2,FALSE)</f>
        <v>ENDANOGA</v>
      </c>
      <c r="F161" s="29" t="s">
        <v>843</v>
      </c>
      <c r="G161" s="61" t="s">
        <v>548</v>
      </c>
      <c r="H161" s="29" t="s">
        <v>568</v>
      </c>
      <c r="I161" s="29" t="s">
        <v>548</v>
      </c>
      <c r="J161" s="29" t="s">
        <v>546</v>
      </c>
      <c r="K161" s="29" t="s">
        <v>548</v>
      </c>
      <c r="L161" s="29" t="s">
        <v>2220</v>
      </c>
      <c r="M161" s="29" t="s">
        <v>548</v>
      </c>
      <c r="N161" s="29" t="s">
        <v>548</v>
      </c>
      <c r="O161" s="29" t="s">
        <v>550</v>
      </c>
      <c r="P161" s="29">
        <v>0.25</v>
      </c>
      <c r="Q161" s="29">
        <v>3</v>
      </c>
      <c r="R161" s="29">
        <v>3</v>
      </c>
      <c r="S161" s="29" t="s">
        <v>548</v>
      </c>
      <c r="T161" s="29">
        <v>2</v>
      </c>
      <c r="U161" s="29">
        <v>12</v>
      </c>
      <c r="V161" s="29" t="s">
        <v>551</v>
      </c>
      <c r="W161" s="30">
        <v>1.4400000000000002</v>
      </c>
      <c r="X161" s="29">
        <v>0</v>
      </c>
      <c r="Y161" s="29">
        <v>999</v>
      </c>
      <c r="Z161" s="29" t="s">
        <v>551</v>
      </c>
      <c r="AA161" s="62"/>
      <c r="AB161" s="29">
        <v>2</v>
      </c>
      <c r="AC161" s="29">
        <v>2</v>
      </c>
      <c r="AD161" s="29" t="s">
        <v>551</v>
      </c>
      <c r="AE161" s="62">
        <v>0.24</v>
      </c>
      <c r="AF161" s="29" t="s">
        <v>548</v>
      </c>
      <c r="AG161" s="29" t="s">
        <v>548</v>
      </c>
      <c r="AH161" s="29" t="s">
        <v>548</v>
      </c>
      <c r="AI161" s="29" t="s">
        <v>548</v>
      </c>
      <c r="AJ161" s="29" t="s">
        <v>548</v>
      </c>
      <c r="AK161" s="29">
        <v>5</v>
      </c>
      <c r="AL161" s="29">
        <v>2</v>
      </c>
      <c r="AM161" s="29" t="s">
        <v>896</v>
      </c>
      <c r="AN161" s="29" t="s">
        <v>897</v>
      </c>
      <c r="AO161" s="29">
        <v>-4.2657060623168945</v>
      </c>
      <c r="AP161" s="29">
        <v>35.845195770263672</v>
      </c>
      <c r="AQ161" s="29">
        <v>1368.4000244140625</v>
      </c>
      <c r="AR161" s="29">
        <v>5</v>
      </c>
      <c r="AS161" s="29">
        <v>1706031849</v>
      </c>
      <c r="AT161" s="29" t="s">
        <v>898</v>
      </c>
      <c r="AU161" s="31">
        <v>42940.360127314816</v>
      </c>
      <c r="AV161" s="31">
        <v>42926.477256944447</v>
      </c>
      <c r="AW161" s="31">
        <v>42934.87663194444</v>
      </c>
      <c r="AX161" s="32">
        <v>42794</v>
      </c>
      <c r="AZ161" s="44">
        <v>8.3568008948545867</v>
      </c>
      <c r="BA161" s="44">
        <v>6.4513646532438473</v>
      </c>
      <c r="BB161" s="44">
        <v>6.3141530054644814</v>
      </c>
      <c r="BC161" s="44">
        <v>6.2491256830601083</v>
      </c>
      <c r="BD161" s="29" t="s">
        <v>2171</v>
      </c>
      <c r="BE161" s="29">
        <v>3.1718769073500002</v>
      </c>
      <c r="BF161" s="29" t="str">
        <f>IF(BE161&lt;0.5,"Depression",IF(BE161&lt;2,"Very gentle",IF(BE161&lt;5,"Gentle",IF(BE161&lt;9,"Moderate",IF(BE161&lt;15,"Strong",IF(BE161&lt;30,"Steep",IF(BE161&lt;1,"Very steep")))))))</f>
        <v>Gentle</v>
      </c>
      <c r="BG161" s="29" t="s">
        <v>2173</v>
      </c>
      <c r="BH161" s="29">
        <v>9.0650379657699995E-2</v>
      </c>
      <c r="BI161" s="43">
        <v>12.1861162186</v>
      </c>
      <c r="BJ161" s="43">
        <f>VLOOKUP(D161,[1]SoilData!$G$15:$K$237,5,FALSE)</f>
        <v>303.32686075376108</v>
      </c>
      <c r="BK161" s="43"/>
      <c r="BL161" s="43">
        <f>VLOOKUP(D161,[1]SoilData!$G$15:$M$238,7,FALSE)</f>
        <v>1.202</v>
      </c>
      <c r="BM161" s="43"/>
      <c r="BN161" s="60"/>
      <c r="BO161" s="44">
        <f>AVERAGE(BB161:BC161)</f>
        <v>6.2816393442622953</v>
      </c>
      <c r="BP161" s="44">
        <f>AVERAGE(AZ161:BA161)</f>
        <v>7.4040827740492166</v>
      </c>
      <c r="BQ161" s="43">
        <f>BP161-BO161</f>
        <v>1.1224434297869212</v>
      </c>
      <c r="BR161" s="64">
        <f>IF(W161&gt;0.000001,W161*352,0)</f>
        <v>506.88000000000005</v>
      </c>
      <c r="BS161" s="64">
        <f>IF(AE161&gt;0.0001,AE161*682,0)</f>
        <v>163.68</v>
      </c>
      <c r="BT161" s="64">
        <f>AA161*795</f>
        <v>0</v>
      </c>
      <c r="BU161" s="64">
        <f>BR161+BS161+BT161</f>
        <v>670.56000000000006</v>
      </c>
      <c r="BV161" s="64">
        <f>IF(G161="YES",3.5*18.2,0)</f>
        <v>63.699999999999996</v>
      </c>
      <c r="BW161" s="64">
        <f>BU161-BV161</f>
        <v>606.86</v>
      </c>
    </row>
    <row r="162" spans="1:75" x14ac:dyDescent="0.15">
      <c r="A162" s="29" t="s">
        <v>556</v>
      </c>
      <c r="B162" s="29">
        <v>6</v>
      </c>
      <c r="C162" s="29" t="s">
        <v>1527</v>
      </c>
      <c r="D162" s="29" t="s">
        <v>547</v>
      </c>
      <c r="E162" s="29" t="e">
        <f>VLOOKUP(D162,Harvest_2017_Formulae!$C$2:$D$968,2,FALSE)</f>
        <v>#N/A</v>
      </c>
      <c r="F162" s="29" t="s">
        <v>777</v>
      </c>
      <c r="G162" s="61" t="s">
        <v>548</v>
      </c>
      <c r="H162" s="29" t="s">
        <v>568</v>
      </c>
      <c r="I162" s="29" t="s">
        <v>548</v>
      </c>
      <c r="J162" s="29" t="s">
        <v>546</v>
      </c>
      <c r="K162" s="29" t="s">
        <v>548</v>
      </c>
      <c r="L162" s="29" t="s">
        <v>2221</v>
      </c>
      <c r="M162" s="29" t="s">
        <v>548</v>
      </c>
      <c r="N162" s="29" t="s">
        <v>546</v>
      </c>
      <c r="O162" s="29" t="s">
        <v>547</v>
      </c>
      <c r="P162" s="29">
        <v>0.25</v>
      </c>
      <c r="R162" s="29">
        <v>0.75</v>
      </c>
      <c r="S162" s="29" t="s">
        <v>548</v>
      </c>
      <c r="T162" s="29">
        <v>1</v>
      </c>
      <c r="U162" s="29">
        <v>3</v>
      </c>
      <c r="V162" s="29" t="s">
        <v>551</v>
      </c>
      <c r="W162" s="30">
        <v>0.72000000000000008</v>
      </c>
      <c r="Y162" s="29">
        <v>999</v>
      </c>
      <c r="Z162" s="29" t="s">
        <v>551</v>
      </c>
      <c r="AA162" s="62"/>
      <c r="AB162" s="29">
        <v>1</v>
      </c>
      <c r="AC162" s="29">
        <v>1</v>
      </c>
      <c r="AD162" s="29" t="s">
        <v>551</v>
      </c>
      <c r="AE162" s="62">
        <v>0.24</v>
      </c>
      <c r="AF162" s="29" t="s">
        <v>546</v>
      </c>
      <c r="AG162" s="29" t="s">
        <v>546</v>
      </c>
      <c r="AH162" s="29" t="s">
        <v>546</v>
      </c>
      <c r="AI162" s="29" t="s">
        <v>546</v>
      </c>
      <c r="AJ162" s="29" t="s">
        <v>546</v>
      </c>
      <c r="AK162" s="29">
        <v>0</v>
      </c>
      <c r="AL162" s="29">
        <v>3</v>
      </c>
      <c r="AM162" s="29" t="s">
        <v>1528</v>
      </c>
      <c r="AN162" s="29" t="s">
        <v>1529</v>
      </c>
      <c r="AO162" s="29">
        <v>-4.3017787933349609</v>
      </c>
      <c r="AP162" s="29">
        <v>35.871902465820312</v>
      </c>
      <c r="AQ162" s="29">
        <v>1248.300048828125</v>
      </c>
      <c r="AR162" s="29">
        <v>5</v>
      </c>
      <c r="AS162" s="29">
        <v>1705231439</v>
      </c>
      <c r="AT162" s="29" t="s">
        <v>1530</v>
      </c>
      <c r="AU162" s="31">
        <v>42893.595324074078</v>
      </c>
      <c r="AV162" s="31">
        <v>42892.531631944439</v>
      </c>
      <c r="AW162" s="31">
        <v>42892.545011574075</v>
      </c>
      <c r="AX162" s="32">
        <v>42792</v>
      </c>
      <c r="BD162" s="29" t="s">
        <v>2171</v>
      </c>
      <c r="BE162" s="29">
        <v>2.93846130371</v>
      </c>
      <c r="BF162" s="29" t="str">
        <f>IF(BE162&lt;0.5,"Depression",IF(BE162&lt;2,"Very gentle",IF(BE162&lt;5,"Gentle",IF(BE162&lt;9,"Moderate",IF(BE162&lt;15,"Strong",IF(BE162&lt;30,"Steep",IF(BE162&lt;1,"Very steep")))))))</f>
        <v>Gentle</v>
      </c>
      <c r="BG162" s="29" t="s">
        <v>2173</v>
      </c>
      <c r="BH162" s="29">
        <v>0.18129228055499999</v>
      </c>
      <c r="BI162" s="43">
        <v>8.0064697265600007</v>
      </c>
      <c r="BJ162" s="43"/>
      <c r="BK162" s="43"/>
      <c r="BL162" s="43"/>
      <c r="BM162" s="43"/>
      <c r="BN162" s="60"/>
      <c r="BO162" s="43"/>
      <c r="BP162" s="43"/>
      <c r="BQ162" s="43"/>
      <c r="BR162" s="64">
        <f>IF(W162&gt;0.000001,W162*352,0)</f>
        <v>253.44000000000003</v>
      </c>
      <c r="BS162" s="64">
        <f>IF(AE162&gt;0.0001,AE162*682,0)</f>
        <v>163.68</v>
      </c>
      <c r="BT162" s="64">
        <f>AA162*795</f>
        <v>0</v>
      </c>
      <c r="BU162" s="64">
        <f>BR162+BS162+BT162</f>
        <v>417.12</v>
      </c>
      <c r="BV162" s="64">
        <f>IF(G162="YES",3.5*18.2,0)</f>
        <v>63.699999999999996</v>
      </c>
      <c r="BW162" s="64">
        <f>BU162-BV162</f>
        <v>353.42</v>
      </c>
    </row>
    <row r="163" spans="1:75" x14ac:dyDescent="0.15">
      <c r="A163" s="29" t="s">
        <v>556</v>
      </c>
      <c r="B163" s="29">
        <v>210</v>
      </c>
      <c r="C163" s="29" t="s">
        <v>680</v>
      </c>
      <c r="D163" s="29" t="s">
        <v>332</v>
      </c>
      <c r="E163" s="29" t="str">
        <f>VLOOKUP(D163,Harvest_2017_Formulae!$C$2:$D$968,2,FALSE)</f>
        <v>DURU</v>
      </c>
      <c r="F163" s="29" t="s">
        <v>645</v>
      </c>
      <c r="G163" s="61" t="s">
        <v>548</v>
      </c>
      <c r="H163" s="29" t="s">
        <v>568</v>
      </c>
      <c r="I163" s="29" t="s">
        <v>548</v>
      </c>
      <c r="J163" s="29" t="s">
        <v>546</v>
      </c>
      <c r="K163" s="29" t="s">
        <v>548</v>
      </c>
      <c r="L163" s="29" t="s">
        <v>2221</v>
      </c>
      <c r="M163" s="29" t="s">
        <v>546</v>
      </c>
      <c r="N163" s="29" t="s">
        <v>548</v>
      </c>
      <c r="O163" s="29" t="s">
        <v>550</v>
      </c>
      <c r="P163" s="29">
        <v>0.25</v>
      </c>
      <c r="Q163" s="29">
        <v>1.25</v>
      </c>
      <c r="S163" s="29" t="s">
        <v>548</v>
      </c>
      <c r="T163" s="29">
        <v>1.5</v>
      </c>
      <c r="U163" s="29">
        <v>12</v>
      </c>
      <c r="V163" s="29" t="s">
        <v>551</v>
      </c>
      <c r="W163" s="30">
        <v>1.9200000000000002</v>
      </c>
      <c r="Y163" s="29">
        <v>999</v>
      </c>
      <c r="Z163" s="29" t="s">
        <v>551</v>
      </c>
      <c r="AA163" s="62"/>
      <c r="AB163" s="29">
        <v>1.5</v>
      </c>
      <c r="AC163" s="29">
        <v>3</v>
      </c>
      <c r="AD163" s="29" t="s">
        <v>551</v>
      </c>
      <c r="AE163" s="62">
        <v>0.48</v>
      </c>
      <c r="AF163" s="29" t="s">
        <v>546</v>
      </c>
      <c r="AG163" s="29" t="s">
        <v>546</v>
      </c>
      <c r="AH163" s="29" t="s">
        <v>546</v>
      </c>
      <c r="AI163" s="29" t="s">
        <v>546</v>
      </c>
      <c r="AJ163" s="29" t="s">
        <v>546</v>
      </c>
      <c r="AK163" s="29">
        <v>0</v>
      </c>
      <c r="AL163" s="29">
        <v>2</v>
      </c>
      <c r="AM163" s="29" t="s">
        <v>681</v>
      </c>
      <c r="AN163" s="29" t="s">
        <v>682</v>
      </c>
      <c r="AO163" s="29">
        <v>-4.310267448425293</v>
      </c>
      <c r="AP163" s="29">
        <v>35.595977783203125</v>
      </c>
      <c r="AQ163" s="29">
        <v>1642.5999755859375</v>
      </c>
      <c r="AR163" s="29">
        <v>5</v>
      </c>
      <c r="AS163" s="29">
        <v>1706031849</v>
      </c>
      <c r="AT163" s="29" t="s">
        <v>683</v>
      </c>
      <c r="AU163" s="31">
        <v>42950.967199074075</v>
      </c>
      <c r="AV163" s="31">
        <v>42921.487800925926</v>
      </c>
      <c r="AW163" s="31">
        <v>42950.829629629632</v>
      </c>
      <c r="AX163" s="32">
        <v>42770</v>
      </c>
      <c r="AZ163" s="44">
        <v>7.0366528354080229</v>
      </c>
      <c r="BA163" s="44">
        <v>5.3503918856615957</v>
      </c>
      <c r="BB163" s="44">
        <v>4.7101198709082537</v>
      </c>
      <c r="BC163" s="44">
        <v>4.2790456431535278</v>
      </c>
      <c r="BD163" s="29" t="s">
        <v>2180</v>
      </c>
      <c r="BE163" s="29">
        <v>5.0538773536699999</v>
      </c>
      <c r="BF163" s="29" t="str">
        <f>IF(BE163&lt;0.5,"Depression",IF(BE163&lt;2,"Very gentle",IF(BE163&lt;5,"Gentle",IF(BE163&lt;9,"Moderate",IF(BE163&lt;15,"Strong",IF(BE163&lt;30,"Steep",IF(BE163&lt;1,"Very steep")))))))</f>
        <v>Moderate</v>
      </c>
      <c r="BG163" s="29" t="s">
        <v>2178</v>
      </c>
      <c r="BH163" s="29">
        <v>0.18129228055499999</v>
      </c>
      <c r="BI163" s="43">
        <v>7.6397376060499997</v>
      </c>
      <c r="BJ163" s="43">
        <f>VLOOKUP(D163,[1]SoilData!$G$15:$K$237,5,FALSE)</f>
        <v>350.44415435084073</v>
      </c>
      <c r="BK163" s="43"/>
      <c r="BL163" s="43">
        <f>VLOOKUP(D163,[1]SoilData!$G$15:$M$238,7,FALSE)</f>
        <v>1.3740000000000001</v>
      </c>
      <c r="BM163" s="43"/>
      <c r="BN163" s="60"/>
      <c r="BO163" s="44">
        <f>AVERAGE(BB163:BC163)</f>
        <v>4.4945827570308907</v>
      </c>
      <c r="BP163" s="44">
        <f>AVERAGE(AZ163:BA163)</f>
        <v>6.1935223605348089</v>
      </c>
      <c r="BQ163" s="43">
        <f>BP163-BO163</f>
        <v>1.6989396035039181</v>
      </c>
      <c r="BR163" s="64">
        <f>IF(W163&gt;0.000001,W163*352,0)</f>
        <v>675.84</v>
      </c>
      <c r="BS163" s="64">
        <f>IF(AE163&gt;0.0001,AE163*682,0)</f>
        <v>327.36</v>
      </c>
      <c r="BT163" s="64">
        <f>AA163*795</f>
        <v>0</v>
      </c>
      <c r="BU163" s="64">
        <f>BR163+BS163+BT163</f>
        <v>1003.2</v>
      </c>
      <c r="BV163" s="64">
        <f>IF(G163="YES",3.5*18.2,0)</f>
        <v>63.699999999999996</v>
      </c>
      <c r="BW163" s="64">
        <f>BU163-BV163</f>
        <v>939.5</v>
      </c>
    </row>
    <row r="164" spans="1:75" x14ac:dyDescent="0.15">
      <c r="A164" s="29" t="s">
        <v>556</v>
      </c>
      <c r="B164" s="29">
        <v>112</v>
      </c>
      <c r="C164" s="29" t="s">
        <v>1485</v>
      </c>
      <c r="D164" s="29" t="s">
        <v>1486</v>
      </c>
      <c r="E164" s="29" t="e">
        <f>VLOOKUP(D164,Harvest_2017_Formulae!$C$2:$D$968,2,FALSE)</f>
        <v>#N/A</v>
      </c>
      <c r="F164" s="29" t="s">
        <v>1310</v>
      </c>
      <c r="G164" s="61" t="s">
        <v>548</v>
      </c>
      <c r="H164" s="29" t="s">
        <v>568</v>
      </c>
      <c r="I164" s="29" t="s">
        <v>548</v>
      </c>
      <c r="J164" s="29" t="s">
        <v>548</v>
      </c>
      <c r="K164" s="29" t="s">
        <v>548</v>
      </c>
      <c r="L164" s="29" t="s">
        <v>2220</v>
      </c>
      <c r="M164" s="29" t="s">
        <v>548</v>
      </c>
      <c r="N164" s="29" t="s">
        <v>548</v>
      </c>
      <c r="O164" s="29" t="s">
        <v>550</v>
      </c>
      <c r="P164" s="29">
        <v>0.25</v>
      </c>
      <c r="Q164" s="29">
        <v>0</v>
      </c>
      <c r="R164" s="29">
        <v>0.5</v>
      </c>
      <c r="S164" s="29" t="s">
        <v>548</v>
      </c>
      <c r="T164" s="29">
        <v>0.75</v>
      </c>
      <c r="U164" s="29">
        <v>17</v>
      </c>
      <c r="V164" s="29" t="s">
        <v>551</v>
      </c>
      <c r="W164" s="30">
        <v>5.44</v>
      </c>
      <c r="Y164" s="29">
        <v>999</v>
      </c>
      <c r="Z164" s="29" t="s">
        <v>551</v>
      </c>
      <c r="AA164" s="62"/>
      <c r="AB164" s="29">
        <v>999</v>
      </c>
      <c r="AC164" s="29">
        <v>9999</v>
      </c>
      <c r="AD164" s="29" t="s">
        <v>552</v>
      </c>
      <c r="AE164" s="62">
        <v>0.40116108108108106</v>
      </c>
      <c r="AF164" s="29" t="s">
        <v>548</v>
      </c>
      <c r="AG164" s="29" t="s">
        <v>548</v>
      </c>
      <c r="AH164" s="29" t="s">
        <v>548</v>
      </c>
      <c r="AI164" s="29" t="s">
        <v>548</v>
      </c>
      <c r="AJ164" s="29" t="s">
        <v>548</v>
      </c>
      <c r="AK164" s="29">
        <v>5</v>
      </c>
      <c r="AL164" s="29">
        <v>3</v>
      </c>
      <c r="AM164" s="29" t="s">
        <v>1489</v>
      </c>
      <c r="AN164" s="29" t="s">
        <v>1490</v>
      </c>
      <c r="AO164" s="29">
        <v>-4.2550787925720215</v>
      </c>
      <c r="AP164" s="29">
        <v>35.521110534667969</v>
      </c>
      <c r="AQ164" s="29">
        <v>1629.9000244140625</v>
      </c>
      <c r="AR164" s="29">
        <v>5</v>
      </c>
      <c r="AS164" s="29">
        <v>1706031849</v>
      </c>
      <c r="AT164" s="29" t="s">
        <v>1491</v>
      </c>
      <c r="AU164" s="31">
        <v>42903.412928240738</v>
      </c>
      <c r="AV164" s="31">
        <v>42901.591550925921</v>
      </c>
      <c r="AW164" s="31">
        <v>42901.605092592596</v>
      </c>
      <c r="AX164" s="32">
        <v>42742</v>
      </c>
      <c r="BD164" s="29" t="s">
        <v>2171</v>
      </c>
      <c r="BE164" s="29">
        <v>0.93315756320999999</v>
      </c>
      <c r="BF164" s="29" t="str">
        <f>IF(BE164&lt;0.5,"Depression",IF(BE164&lt;2,"Very gentle",IF(BE164&lt;5,"Gentle",IF(BE164&lt;9,"Moderate",IF(BE164&lt;15,"Strong",IF(BE164&lt;30,"Steep",IF(BE164&lt;1,"Very steep")))))))</f>
        <v>Very gentle</v>
      </c>
      <c r="BG164" s="29" t="s">
        <v>2173</v>
      </c>
      <c r="BH164" s="29">
        <v>9.0650379657699995E-2</v>
      </c>
      <c r="BI164" s="43">
        <v>10.7247610092</v>
      </c>
      <c r="BJ164" s="43"/>
      <c r="BK164" s="43"/>
      <c r="BL164" s="43"/>
      <c r="BM164" s="43"/>
      <c r="BN164" s="60"/>
      <c r="BO164" s="43"/>
      <c r="BP164" s="43"/>
      <c r="BQ164" s="43"/>
      <c r="BR164" s="64">
        <f>IF(W164&gt;0.000001,W164*352,0)</f>
        <v>1914.88</v>
      </c>
      <c r="BS164" s="64">
        <f>IF(AE164&gt;0.0001,AE164*682,0)</f>
        <v>273.59185729729728</v>
      </c>
      <c r="BT164" s="64">
        <f>AA164*795</f>
        <v>0</v>
      </c>
      <c r="BU164" s="64">
        <f>BR164+BS164+BT164</f>
        <v>2188.4718572972974</v>
      </c>
      <c r="BV164" s="64">
        <f>IF(G164="YES",3.5*18.2,0)</f>
        <v>63.699999999999996</v>
      </c>
      <c r="BW164" s="64">
        <f>BU164-BV164</f>
        <v>2124.7718572972976</v>
      </c>
    </row>
    <row r="165" spans="1:75" x14ac:dyDescent="0.15">
      <c r="A165" s="29" t="s">
        <v>789</v>
      </c>
      <c r="B165" s="29">
        <v>33</v>
      </c>
      <c r="C165" s="29" t="s">
        <v>391</v>
      </c>
      <c r="D165" s="29" t="s">
        <v>391</v>
      </c>
      <c r="E165" s="29" t="str">
        <f>VLOOKUP(D165,Harvest_2017_Formulae!$C$2:$D$968,2,FALSE)</f>
        <v>Sangara</v>
      </c>
      <c r="F165" s="29" t="s">
        <v>1014</v>
      </c>
      <c r="G165" s="61" t="s">
        <v>548</v>
      </c>
      <c r="H165" s="29" t="s">
        <v>568</v>
      </c>
      <c r="I165" s="29" t="s">
        <v>548</v>
      </c>
      <c r="J165" s="29" t="s">
        <v>546</v>
      </c>
      <c r="K165" s="29" t="s">
        <v>548</v>
      </c>
      <c r="L165" s="29" t="s">
        <v>2221</v>
      </c>
      <c r="M165" s="29" t="s">
        <v>548</v>
      </c>
      <c r="N165" s="29" t="s">
        <v>548</v>
      </c>
      <c r="O165" s="29" t="s">
        <v>793</v>
      </c>
      <c r="P165" s="29">
        <v>8</v>
      </c>
      <c r="Q165" s="29">
        <v>3</v>
      </c>
      <c r="R165" s="29">
        <v>0</v>
      </c>
      <c r="S165" s="29" t="s">
        <v>548</v>
      </c>
      <c r="T165" s="29">
        <v>1</v>
      </c>
      <c r="U165" s="29">
        <v>21</v>
      </c>
      <c r="V165" s="29" t="s">
        <v>551</v>
      </c>
      <c r="W165" s="30">
        <v>5.04</v>
      </c>
      <c r="X165" s="29">
        <v>1</v>
      </c>
      <c r="Y165" s="29">
        <v>10</v>
      </c>
      <c r="Z165" s="29" t="s">
        <v>551</v>
      </c>
      <c r="AA165" s="62">
        <v>2.4</v>
      </c>
      <c r="AB165" s="29">
        <v>1</v>
      </c>
      <c r="AC165" s="29">
        <v>4</v>
      </c>
      <c r="AD165" s="29" t="s">
        <v>551</v>
      </c>
      <c r="AE165" s="62">
        <v>0.96</v>
      </c>
      <c r="AF165" s="29" t="s">
        <v>548</v>
      </c>
      <c r="AG165" s="29" t="s">
        <v>546</v>
      </c>
      <c r="AH165" s="29" t="s">
        <v>548</v>
      </c>
      <c r="AI165" s="29" t="s">
        <v>546</v>
      </c>
      <c r="AJ165" s="29" t="s">
        <v>548</v>
      </c>
      <c r="AK165" s="29">
        <v>3</v>
      </c>
      <c r="AL165" s="29">
        <v>5</v>
      </c>
      <c r="AM165" s="29" t="s">
        <v>1306</v>
      </c>
      <c r="AN165" s="29" t="s">
        <v>1307</v>
      </c>
      <c r="AO165" s="29">
        <v>-4.2983689308166504</v>
      </c>
      <c r="AP165" s="29">
        <v>35.643024444580078</v>
      </c>
      <c r="AQ165" s="29">
        <v>1384.800048828125</v>
      </c>
      <c r="AR165" s="29">
        <v>15</v>
      </c>
      <c r="AS165" s="29">
        <v>1705231439</v>
      </c>
      <c r="AT165" s="29" t="s">
        <v>1308</v>
      </c>
      <c r="AU165" s="31">
        <v>42908.292638888888</v>
      </c>
      <c r="AV165" s="31">
        <v>42899.399884259255</v>
      </c>
      <c r="AW165" s="31">
        <v>42908.289155092592</v>
      </c>
      <c r="AX165" s="32">
        <v>42741</v>
      </c>
      <c r="AZ165" s="44"/>
      <c r="BA165" s="44"/>
      <c r="BB165" s="44"/>
      <c r="BC165" s="44"/>
      <c r="BD165" s="29" t="s">
        <v>2171</v>
      </c>
      <c r="BE165" s="29">
        <v>1.7775242328600001</v>
      </c>
      <c r="BF165" s="29" t="str">
        <f>IF(BE165&lt;0.5,"Depression",IF(BE165&lt;2,"Very gentle",IF(BE165&lt;5,"Gentle",IF(BE165&lt;9,"Moderate",IF(BE165&lt;15,"Strong",IF(BE165&lt;30,"Steep",IF(BE165&lt;1,"Very steep")))))))</f>
        <v>Very gentle</v>
      </c>
      <c r="BG165" s="29" t="s">
        <v>2173</v>
      </c>
      <c r="BH165" s="29">
        <v>0.18129228055499999</v>
      </c>
      <c r="BI165" s="43">
        <v>9.9929609298699997</v>
      </c>
      <c r="BJ165" s="43">
        <f>VLOOKUP(D165,[1]SoilData!$G$15:$K$237,5,FALSE)</f>
        <v>271.43823040193337</v>
      </c>
      <c r="BK165" s="43"/>
      <c r="BL165" s="56"/>
      <c r="BM165" s="43"/>
      <c r="BN165" s="60"/>
      <c r="BO165" s="44"/>
      <c r="BP165" s="44"/>
      <c r="BQ165" s="43"/>
      <c r="BR165" s="64">
        <f>IF(W165&gt;0.000001,W165*352,0)</f>
        <v>1774.08</v>
      </c>
      <c r="BS165" s="64">
        <f>IF(AE165&gt;0.0001,AE165*682,0)</f>
        <v>654.72</v>
      </c>
      <c r="BT165" s="64">
        <f>AA165*795</f>
        <v>1908</v>
      </c>
      <c r="BU165" s="64">
        <f>BR165+BS165+BT165</f>
        <v>4336.8</v>
      </c>
      <c r="BV165" s="64">
        <f>IF(G165="YES",3.5*18.2,0)</f>
        <v>63.699999999999996</v>
      </c>
      <c r="BW165" s="64">
        <f>BU165-BV165</f>
        <v>4273.1000000000004</v>
      </c>
    </row>
    <row r="166" spans="1:75" x14ac:dyDescent="0.15">
      <c r="A166" s="29" t="s">
        <v>1298</v>
      </c>
      <c r="B166" s="29">
        <v>40</v>
      </c>
      <c r="C166" s="29" t="s">
        <v>272</v>
      </c>
      <c r="D166" s="29" t="s">
        <v>272</v>
      </c>
      <c r="E166" s="29" t="str">
        <f>VLOOKUP(D166,Harvest_2017_Formulae!$C$2:$D$968,2,FALSE)</f>
        <v>Sangara</v>
      </c>
      <c r="F166" s="29" t="s">
        <v>1014</v>
      </c>
      <c r="G166" s="61" t="s">
        <v>546</v>
      </c>
      <c r="H166" s="29" t="s">
        <v>547</v>
      </c>
      <c r="I166" s="29" t="s">
        <v>548</v>
      </c>
      <c r="J166" s="29" t="s">
        <v>546</v>
      </c>
      <c r="K166" s="29" t="s">
        <v>548</v>
      </c>
      <c r="L166" s="29" t="s">
        <v>2220</v>
      </c>
      <c r="M166" s="29" t="s">
        <v>546</v>
      </c>
      <c r="N166" s="29" t="s">
        <v>546</v>
      </c>
      <c r="O166" s="29" t="s">
        <v>547</v>
      </c>
      <c r="P166" s="29">
        <v>0.25</v>
      </c>
      <c r="Q166" s="29">
        <v>1.5</v>
      </c>
      <c r="R166" s="29">
        <v>0</v>
      </c>
      <c r="S166" s="29" t="s">
        <v>548</v>
      </c>
      <c r="T166" s="29">
        <v>1</v>
      </c>
      <c r="U166" s="29">
        <v>4</v>
      </c>
      <c r="V166" s="29" t="s">
        <v>551</v>
      </c>
      <c r="W166" s="30">
        <v>0.96</v>
      </c>
      <c r="Y166" s="29">
        <v>999</v>
      </c>
      <c r="Z166" s="29" t="s">
        <v>551</v>
      </c>
      <c r="AA166" s="62"/>
      <c r="AB166" s="29">
        <v>1</v>
      </c>
      <c r="AC166" s="29">
        <v>2</v>
      </c>
      <c r="AD166" s="29" t="s">
        <v>551</v>
      </c>
      <c r="AE166" s="62">
        <v>0.48</v>
      </c>
      <c r="AF166" s="29" t="s">
        <v>546</v>
      </c>
      <c r="AG166" s="29" t="s">
        <v>546</v>
      </c>
      <c r="AH166" s="29" t="s">
        <v>546</v>
      </c>
      <c r="AI166" s="29" t="s">
        <v>546</v>
      </c>
      <c r="AJ166" s="29" t="s">
        <v>546</v>
      </c>
      <c r="AK166" s="29">
        <v>0</v>
      </c>
      <c r="AL166" s="29">
        <v>2</v>
      </c>
      <c r="AM166" s="29" t="s">
        <v>1299</v>
      </c>
      <c r="AN166" s="29" t="s">
        <v>1300</v>
      </c>
      <c r="AO166" s="29">
        <v>-4.2891554832458496</v>
      </c>
      <c r="AP166" s="29">
        <v>35.629096984863281</v>
      </c>
      <c r="AQ166" s="29">
        <v>1467.9000244140625</v>
      </c>
      <c r="AR166" s="29">
        <v>10</v>
      </c>
      <c r="AS166" s="29">
        <v>1705231439</v>
      </c>
      <c r="AT166" s="29" t="s">
        <v>1301</v>
      </c>
      <c r="AU166" s="31">
        <v>42908.292673611111</v>
      </c>
      <c r="AV166" s="31">
        <v>42899.635266203702</v>
      </c>
      <c r="AW166" s="31">
        <v>42908.289872685185</v>
      </c>
      <c r="AX166" s="32">
        <v>42744</v>
      </c>
      <c r="AZ166" s="44">
        <v>3.9160000000000008</v>
      </c>
      <c r="BA166" s="44">
        <v>4.2720000000000011</v>
      </c>
      <c r="BB166" s="44">
        <v>4.5014484126984113</v>
      </c>
      <c r="BC166" s="44">
        <v>4.7947023809523799</v>
      </c>
      <c r="BD166" s="29" t="s">
        <v>2183</v>
      </c>
      <c r="BE166" s="29">
        <v>13.2616186142</v>
      </c>
      <c r="BF166" s="29" t="str">
        <f>IF(BE166&lt;0.5,"Depression",IF(BE166&lt;2,"Very gentle",IF(BE166&lt;5,"Gentle",IF(BE166&lt;9,"Moderate",IF(BE166&lt;15,"Strong",IF(BE166&lt;30,"Steep",IF(BE166&lt;1,"Very steep")))))))</f>
        <v>Strong</v>
      </c>
      <c r="BG166" s="29" t="s">
        <v>2182</v>
      </c>
      <c r="BH166" s="29">
        <v>1.35963702202</v>
      </c>
      <c r="BI166" s="43">
        <v>6.7637782096899999</v>
      </c>
      <c r="BJ166" s="43">
        <f>VLOOKUP(D166,[1]SoilData!$G$15:$K$237,5,FALSE)</f>
        <v>76.620787229891377</v>
      </c>
      <c r="BK166" s="43">
        <f>VLOOKUP(D166,[1]SoilData!$G$245:$K$451,5,FALSE)</f>
        <v>37.217825211550952</v>
      </c>
      <c r="BL166" s="43">
        <f>VLOOKUP(D166,[1]SoilData!$G$15:$M$238,7,FALSE)</f>
        <v>0.74299999999999999</v>
      </c>
      <c r="BM166" s="43">
        <f>VLOOKUP(D166,[1]SoilData!$G$245:$M$454,7,FALSE)</f>
        <v>0.52100000000000002</v>
      </c>
      <c r="BN166" s="60">
        <f>BL166-BM166</f>
        <v>0.22199999999999998</v>
      </c>
      <c r="BO166" s="44">
        <f>AVERAGE(BB166:BC166)</f>
        <v>4.6480753968253961</v>
      </c>
      <c r="BP166" s="44">
        <f>AVERAGE(AZ166:BA166)</f>
        <v>4.0940000000000012</v>
      </c>
      <c r="BQ166" s="43">
        <f>BP166-BO166</f>
        <v>-0.55407539682539486</v>
      </c>
      <c r="BR166" s="64">
        <f>IF(W166&gt;0.000001,W166*352,0)</f>
        <v>337.91999999999996</v>
      </c>
      <c r="BS166" s="64">
        <f>IF(AE166&gt;0.0001,AE166*682,0)</f>
        <v>327.36</v>
      </c>
      <c r="BT166" s="64">
        <f>AA166*795</f>
        <v>0</v>
      </c>
      <c r="BU166" s="64">
        <f>BR166+BS166+BT166</f>
        <v>665.28</v>
      </c>
      <c r="BV166" s="64">
        <f>IF(G166="YES",3.5*18.2,0)</f>
        <v>0</v>
      </c>
      <c r="BW166" s="64">
        <f>BU166-BV166</f>
        <v>665.28</v>
      </c>
    </row>
    <row r="167" spans="1:75" x14ac:dyDescent="0.15">
      <c r="A167" s="29" t="s">
        <v>789</v>
      </c>
      <c r="B167" s="29">
        <v>34</v>
      </c>
      <c r="C167" s="29" t="s">
        <v>262</v>
      </c>
      <c r="D167" s="29" t="s">
        <v>262</v>
      </c>
      <c r="E167" s="29" t="str">
        <f>VLOOKUP(D167,Harvest_2017_Formulae!$C$2:$D$968,2,FALSE)</f>
        <v>Sangara</v>
      </c>
      <c r="F167" s="29" t="s">
        <v>1014</v>
      </c>
      <c r="G167" s="61" t="s">
        <v>548</v>
      </c>
      <c r="H167" s="29" t="s">
        <v>568</v>
      </c>
      <c r="I167" s="29" t="s">
        <v>548</v>
      </c>
      <c r="J167" s="29" t="s">
        <v>546</v>
      </c>
      <c r="K167" s="29" t="s">
        <v>548</v>
      </c>
      <c r="L167" s="29" t="s">
        <v>2220</v>
      </c>
      <c r="M167" s="29" t="s">
        <v>548</v>
      </c>
      <c r="N167" s="29" t="s">
        <v>548</v>
      </c>
      <c r="O167" s="29" t="s">
        <v>793</v>
      </c>
      <c r="P167" s="29">
        <v>0.75</v>
      </c>
      <c r="Q167" s="29">
        <v>2</v>
      </c>
      <c r="R167" s="29">
        <v>0</v>
      </c>
      <c r="S167" s="29" t="s">
        <v>548</v>
      </c>
      <c r="T167" s="29">
        <v>1</v>
      </c>
      <c r="U167" s="29">
        <v>25</v>
      </c>
      <c r="V167" s="29" t="s">
        <v>551</v>
      </c>
      <c r="W167" s="30">
        <v>6</v>
      </c>
      <c r="X167" s="29">
        <v>1</v>
      </c>
      <c r="Y167" s="29">
        <v>1</v>
      </c>
      <c r="Z167" s="29" t="s">
        <v>551</v>
      </c>
      <c r="AA167" s="62">
        <v>0.24</v>
      </c>
      <c r="AB167" s="29">
        <v>1</v>
      </c>
      <c r="AC167" s="29">
        <v>2.5</v>
      </c>
      <c r="AD167" s="29" t="s">
        <v>551</v>
      </c>
      <c r="AE167" s="62">
        <v>0.6</v>
      </c>
      <c r="AF167" s="29" t="s">
        <v>548</v>
      </c>
      <c r="AG167" s="29" t="s">
        <v>548</v>
      </c>
      <c r="AH167" s="29" t="s">
        <v>548</v>
      </c>
      <c r="AI167" s="29" t="s">
        <v>548</v>
      </c>
      <c r="AJ167" s="29" t="s">
        <v>548</v>
      </c>
      <c r="AK167" s="29">
        <v>5</v>
      </c>
      <c r="AL167" s="29">
        <v>3</v>
      </c>
      <c r="AM167" s="29" t="s">
        <v>1262</v>
      </c>
      <c r="AN167" s="29" t="s">
        <v>1263</v>
      </c>
      <c r="AO167" s="29">
        <v>-4.298184871673584</v>
      </c>
      <c r="AP167" s="29">
        <v>35.634128570556641</v>
      </c>
      <c r="AQ167" s="29">
        <v>1395.9000244140625</v>
      </c>
      <c r="AR167" s="29">
        <v>10</v>
      </c>
      <c r="AS167" s="29">
        <v>1705231439</v>
      </c>
      <c r="AT167" s="29" t="s">
        <v>1264</v>
      </c>
      <c r="AU167" s="31">
        <v>42908.292627314819</v>
      </c>
      <c r="AV167" s="31">
        <v>42898.700277777782</v>
      </c>
      <c r="AW167" s="31">
        <v>42908.288900462961</v>
      </c>
      <c r="AX167" s="32">
        <v>42791</v>
      </c>
      <c r="AZ167" s="44">
        <v>4.2897474747474753</v>
      </c>
      <c r="BA167" s="44">
        <v>6.2843434343434348</v>
      </c>
      <c r="BB167" s="44">
        <v>2.9950515463917529</v>
      </c>
      <c r="BC167" s="44">
        <v>1.8816494845360825</v>
      </c>
      <c r="BD167" s="29" t="s">
        <v>2179</v>
      </c>
      <c r="BE167" s="29">
        <v>2.93846130371</v>
      </c>
      <c r="BF167" s="29" t="str">
        <f>IF(BE167&lt;0.5,"Depression",IF(BE167&lt;2,"Very gentle",IF(BE167&lt;5,"Gentle",IF(BE167&lt;9,"Moderate",IF(BE167&lt;15,"Strong",IF(BE167&lt;30,"Steep",IF(BE167&lt;1,"Very steep")))))))</f>
        <v>Gentle</v>
      </c>
      <c r="BG167" s="29" t="s">
        <v>2172</v>
      </c>
      <c r="BH167" s="29">
        <v>-0.725126743317</v>
      </c>
      <c r="BI167" s="43">
        <v>10.9177017212</v>
      </c>
      <c r="BJ167" s="43">
        <f>VLOOKUP(D167,[1]SoilData!$G$15:$K$237,5,FALSE)</f>
        <v>71.185895917017049</v>
      </c>
      <c r="BK167" s="43">
        <f>VLOOKUP(D167,[1]SoilData!$G$245:$K$451,5,FALSE)</f>
        <v>266.84198318049908</v>
      </c>
      <c r="BL167" s="43">
        <f>VLOOKUP(D167,[1]SoilData!$G$15:$M$238,7,FALSE)</f>
        <v>0.84299999999999997</v>
      </c>
      <c r="BM167" s="43">
        <f>VLOOKUP(D167,[1]SoilData!$G$245:$M$454,7,FALSE)</f>
        <v>1.171</v>
      </c>
      <c r="BN167" s="60">
        <f>BL167-BM167</f>
        <v>-0.32800000000000007</v>
      </c>
      <c r="BO167" s="44">
        <f>AVERAGE(BB167:BC167)</f>
        <v>2.4383505154639176</v>
      </c>
      <c r="BP167" s="44">
        <f>AVERAGE(AZ167:BA167)</f>
        <v>5.2870454545454546</v>
      </c>
      <c r="BQ167" s="43">
        <f>BP167-BO167</f>
        <v>2.848694939081537</v>
      </c>
      <c r="BR167" s="64">
        <f>IF(W167&gt;0.000001,W167*352,0)</f>
        <v>2112</v>
      </c>
      <c r="BS167" s="64">
        <f>IF(AE167&gt;0.0001,AE167*682,0)</f>
        <v>409.2</v>
      </c>
      <c r="BT167" s="64">
        <f>AA167*795</f>
        <v>190.79999999999998</v>
      </c>
      <c r="BU167" s="64">
        <f>BR167+BS167+BT167</f>
        <v>2712</v>
      </c>
      <c r="BV167" s="64">
        <f>IF(G167="YES",3.5*18.2,0)</f>
        <v>63.699999999999996</v>
      </c>
      <c r="BW167" s="64">
        <f>BU167-BV167</f>
        <v>2648.3</v>
      </c>
    </row>
    <row r="168" spans="1:75" x14ac:dyDescent="0.15">
      <c r="A168" s="29" t="s">
        <v>789</v>
      </c>
      <c r="B168" s="29">
        <v>19</v>
      </c>
      <c r="C168" s="29" t="s">
        <v>380</v>
      </c>
      <c r="D168" s="29" t="s">
        <v>380</v>
      </c>
      <c r="E168" s="29" t="str">
        <f>VLOOKUP(D168,Harvest_2017_Formulae!$C$2:$D$968,2,FALSE)</f>
        <v>SABILO</v>
      </c>
      <c r="F168" s="29" t="s">
        <v>1175</v>
      </c>
      <c r="G168" s="61" t="s">
        <v>548</v>
      </c>
      <c r="H168" s="29" t="s">
        <v>568</v>
      </c>
      <c r="I168" s="29" t="s">
        <v>548</v>
      </c>
      <c r="J168" s="29" t="s">
        <v>546</v>
      </c>
      <c r="K168" s="29" t="s">
        <v>548</v>
      </c>
      <c r="L168" s="29" t="s">
        <v>2220</v>
      </c>
      <c r="M168" s="29" t="s">
        <v>546</v>
      </c>
      <c r="N168" s="29" t="s">
        <v>546</v>
      </c>
      <c r="O168" s="29" t="s">
        <v>547</v>
      </c>
      <c r="P168" s="29">
        <v>0.25</v>
      </c>
      <c r="Q168" s="29">
        <v>1.5</v>
      </c>
      <c r="S168" s="29" t="s">
        <v>548</v>
      </c>
      <c r="U168" s="29">
        <v>999</v>
      </c>
      <c r="V168" s="29" t="s">
        <v>551</v>
      </c>
      <c r="Y168" s="29">
        <v>999</v>
      </c>
      <c r="Z168" s="29" t="s">
        <v>551</v>
      </c>
      <c r="AA168" s="62"/>
      <c r="AC168" s="29">
        <v>999</v>
      </c>
      <c r="AD168" s="29" t="s">
        <v>551</v>
      </c>
      <c r="AE168" s="62"/>
      <c r="AF168" s="29" t="s">
        <v>546</v>
      </c>
      <c r="AG168" s="29" t="s">
        <v>546</v>
      </c>
      <c r="AH168" s="29" t="s">
        <v>546</v>
      </c>
      <c r="AI168" s="29" t="s">
        <v>546</v>
      </c>
      <c r="AJ168" s="29" t="s">
        <v>546</v>
      </c>
      <c r="AK168" s="29">
        <v>0</v>
      </c>
      <c r="AL168" s="29">
        <v>0</v>
      </c>
      <c r="AM168" s="29" t="s">
        <v>1203</v>
      </c>
      <c r="AN168" s="29" t="s">
        <v>1204</v>
      </c>
      <c r="AO168" s="29">
        <v>-4.3649811744689941</v>
      </c>
      <c r="AP168" s="29">
        <v>35.470508575439453</v>
      </c>
      <c r="AQ168" s="29">
        <v>1688.699951171875</v>
      </c>
      <c r="AR168" s="29">
        <v>15</v>
      </c>
      <c r="AS168" s="29">
        <v>1705231439</v>
      </c>
      <c r="AT168" s="29" t="s">
        <v>1205</v>
      </c>
      <c r="AU168" s="31">
        <v>42908.292534722219</v>
      </c>
      <c r="AV168" s="31">
        <v>42894.425011574072</v>
      </c>
      <c r="AW168" s="31">
        <v>42908.286585648151</v>
      </c>
      <c r="AX168" s="32">
        <v>42772</v>
      </c>
      <c r="AZ168" s="44">
        <v>1.7222222222222223</v>
      </c>
      <c r="BA168" s="44">
        <v>1.9652777777777779</v>
      </c>
      <c r="BB168" s="44">
        <v>3.4046031746031753</v>
      </c>
      <c r="BC168" s="44">
        <v>5.4318253968253982</v>
      </c>
      <c r="BD168" s="29" t="s">
        <v>2171</v>
      </c>
      <c r="BE168" s="29">
        <v>0.15447062253999999</v>
      </c>
      <c r="BF168" s="29" t="str">
        <f>IF(BE168&lt;0.5,"Depression",IF(BE168&lt;2,"Very gentle",IF(BE168&lt;5,"Gentle",IF(BE168&lt;9,"Moderate",IF(BE168&lt;15,"Strong",IF(BE168&lt;30,"Steep",IF(BE168&lt;1,"Very steep")))))))</f>
        <v>Depression</v>
      </c>
      <c r="BG168" s="29" t="s">
        <v>2173</v>
      </c>
      <c r="BH168" s="29">
        <v>-0.18127532303300001</v>
      </c>
      <c r="BI168" s="43">
        <v>12.658034324600001</v>
      </c>
      <c r="BJ168" s="43">
        <f>VLOOKUP(D168,[1]SoilData!$G$15:$K$237,5,FALSE)</f>
        <v>309.19793903789679</v>
      </c>
      <c r="BK168" s="43">
        <f>VLOOKUP(D168,[1]SoilData!$G$245:$K$451,5,FALSE)</f>
        <v>250.46537294746483</v>
      </c>
      <c r="BL168" s="43">
        <f>VLOOKUP(D168,[1]SoilData!$G$15:$M$238,7,FALSE)</f>
        <v>2.68</v>
      </c>
      <c r="BM168" s="43">
        <f>VLOOKUP(D168,[1]SoilData!$G$245:$M$454,7,FALSE)</f>
        <v>2.5049999999999999</v>
      </c>
      <c r="BN168" s="60">
        <f>BL168-BM168</f>
        <v>0.17500000000000027</v>
      </c>
      <c r="BO168" s="44">
        <f>AVERAGE(BB168:BC168)</f>
        <v>4.4182142857142868</v>
      </c>
      <c r="BP168" s="44">
        <f>AVERAGE(AZ168:BA168)</f>
        <v>1.84375</v>
      </c>
      <c r="BQ168" s="43">
        <f>BP168-BO168</f>
        <v>-2.5744642857142868</v>
      </c>
      <c r="BR168" s="64">
        <f>IF(W168&gt;0.000001,W168*352,0)</f>
        <v>0</v>
      </c>
      <c r="BS168" s="64">
        <f>IF(AE168&gt;0.0001,AE168*682,0)</f>
        <v>0</v>
      </c>
      <c r="BT168" s="64">
        <f>AA168*795</f>
        <v>0</v>
      </c>
      <c r="BU168" s="64">
        <f>BR168+BS168+BT168</f>
        <v>0</v>
      </c>
      <c r="BV168" s="64">
        <f>IF(G168="YES",3.5*18.2,0)</f>
        <v>63.699999999999996</v>
      </c>
      <c r="BW168" s="64">
        <f>BU168-BV168</f>
        <v>-63.699999999999996</v>
      </c>
    </row>
    <row r="169" spans="1:75" s="57" customFormat="1" x14ac:dyDescent="0.15">
      <c r="A169" s="29" t="s">
        <v>556</v>
      </c>
      <c r="B169" s="29">
        <v>119</v>
      </c>
      <c r="C169" s="29" t="s">
        <v>579</v>
      </c>
      <c r="D169" s="29" t="s">
        <v>314</v>
      </c>
      <c r="E169" s="29" t="str">
        <f>VLOOKUP(D169,Harvest_2017_Formulae!$C$2:$D$968,2,FALSE)</f>
        <v>AYAMANGO</v>
      </c>
      <c r="F169" s="29" t="s">
        <v>196</v>
      </c>
      <c r="G169" s="61" t="s">
        <v>546</v>
      </c>
      <c r="H169" s="29" t="s">
        <v>547</v>
      </c>
      <c r="I169" s="29" t="s">
        <v>546</v>
      </c>
      <c r="J169" s="29" t="s">
        <v>546</v>
      </c>
      <c r="K169" s="29" t="s">
        <v>548</v>
      </c>
      <c r="L169" s="29" t="s">
        <v>2220</v>
      </c>
      <c r="M169" s="29" t="s">
        <v>546</v>
      </c>
      <c r="N169" s="29" t="s">
        <v>548</v>
      </c>
      <c r="O169" s="29" t="s">
        <v>550</v>
      </c>
      <c r="P169" s="29">
        <v>555</v>
      </c>
      <c r="Q169" s="29">
        <v>0.75</v>
      </c>
      <c r="R169" s="29"/>
      <c r="S169" s="29" t="s">
        <v>548</v>
      </c>
      <c r="T169" s="29">
        <v>0.75</v>
      </c>
      <c r="U169" s="29">
        <v>12</v>
      </c>
      <c r="V169" s="29" t="s">
        <v>551</v>
      </c>
      <c r="W169" s="30">
        <v>3.8400000000000003</v>
      </c>
      <c r="X169" s="29"/>
      <c r="Y169" s="29">
        <v>999</v>
      </c>
      <c r="Z169" s="29" t="s">
        <v>551</v>
      </c>
      <c r="AA169" s="62"/>
      <c r="AB169" s="29">
        <v>0.75</v>
      </c>
      <c r="AC169" s="29">
        <v>2</v>
      </c>
      <c r="AD169" s="29" t="s">
        <v>551</v>
      </c>
      <c r="AE169" s="62">
        <v>0.64</v>
      </c>
      <c r="AF169" s="29" t="s">
        <v>546</v>
      </c>
      <c r="AG169" s="29" t="s">
        <v>546</v>
      </c>
      <c r="AH169" s="29" t="s">
        <v>548</v>
      </c>
      <c r="AI169" s="29" t="s">
        <v>546</v>
      </c>
      <c r="AJ169" s="29" t="s">
        <v>546</v>
      </c>
      <c r="AK169" s="29">
        <v>1</v>
      </c>
      <c r="AL169" s="29">
        <v>3</v>
      </c>
      <c r="AM169" s="29" t="s">
        <v>581</v>
      </c>
      <c r="AN169" s="29" t="s">
        <v>582</v>
      </c>
      <c r="AO169" s="29">
        <v>-4.2388768196105957</v>
      </c>
      <c r="AP169" s="29">
        <v>35.887691497802734</v>
      </c>
      <c r="AQ169" s="29">
        <v>1216.199951171875</v>
      </c>
      <c r="AR169" s="29">
        <v>5</v>
      </c>
      <c r="AS169" s="29">
        <v>1706031849</v>
      </c>
      <c r="AT169" s="29" t="s">
        <v>583</v>
      </c>
      <c r="AU169" s="31">
        <v>42906.498981481476</v>
      </c>
      <c r="AV169" s="31">
        <v>42905.53696759259</v>
      </c>
      <c r="AW169" s="31">
        <v>42905.550902777773</v>
      </c>
      <c r="AX169" s="32">
        <v>42769</v>
      </c>
      <c r="AY169" s="29"/>
      <c r="AZ169" s="44">
        <v>6.1652238805970141</v>
      </c>
      <c r="BA169" s="44">
        <v>6.2383582089552236</v>
      </c>
      <c r="BB169" s="44">
        <v>0.66288725490196088</v>
      </c>
      <c r="BC169" s="44">
        <v>0.54139869281045749</v>
      </c>
      <c r="BD169" s="29" t="s">
        <v>2174</v>
      </c>
      <c r="BE169" s="29">
        <v>9.2816181182899999</v>
      </c>
      <c r="BF169" s="29" t="str">
        <f>IF(BE169&lt;0.5,"Depression",IF(BE169&lt;2,"Very gentle",IF(BE169&lt;5,"Gentle",IF(BE169&lt;9,"Moderate",IF(BE169&lt;15,"Strong",IF(BE169&lt;30,"Steep",IF(BE169&lt;1,"Very steep")))))))</f>
        <v>Strong</v>
      </c>
      <c r="BG169" s="29" t="s">
        <v>2172</v>
      </c>
      <c r="BH169" s="29">
        <v>-0.725126743317</v>
      </c>
      <c r="BI169" s="43">
        <v>6.8796205520599996</v>
      </c>
      <c r="BJ169" s="43">
        <f>VLOOKUP(D169,[1]SoilData!$G$15:$K$237,5,FALSE)</f>
        <v>246.67458230236457</v>
      </c>
      <c r="BK169" s="43">
        <f>VLOOKUP(D169,[1]SoilData!$G$245:$K$451,5,FALSE)</f>
        <v>193.00158950251975</v>
      </c>
      <c r="BL169" s="43">
        <f>VLOOKUP(D169,[1]SoilData!$G$15:$M$238,7,FALSE)</f>
        <v>1.119</v>
      </c>
      <c r="BM169" s="43">
        <f>VLOOKUP(D169,[1]SoilData!$G$245:$M$454,7,FALSE)</f>
        <v>0.97299999999999998</v>
      </c>
      <c r="BN169" s="60">
        <f>BL169-BM169</f>
        <v>0.14600000000000002</v>
      </c>
      <c r="BO169" s="44">
        <f>AVERAGE(BB169:BC169)</f>
        <v>0.60214297385620918</v>
      </c>
      <c r="BP169" s="44">
        <f>AVERAGE(AZ169:BA169)</f>
        <v>6.2017910447761189</v>
      </c>
      <c r="BQ169" s="43">
        <f>BP169-BO169</f>
        <v>5.5996480709199101</v>
      </c>
      <c r="BR169" s="64">
        <f>IF(W169&gt;0.000001,W169*352,0)</f>
        <v>1351.68</v>
      </c>
      <c r="BS169" s="64">
        <f>IF(AE169&gt;0.0001,AE169*682,0)</f>
        <v>436.48</v>
      </c>
      <c r="BT169" s="64">
        <f>AA169*795</f>
        <v>0</v>
      </c>
      <c r="BU169" s="64">
        <f>BR169+BS169+BT169</f>
        <v>1788.16</v>
      </c>
      <c r="BV169" s="64">
        <f>IF(G169="YES",3.5*18.2,0)</f>
        <v>0</v>
      </c>
      <c r="BW169" s="64">
        <f>BU169-BV169</f>
        <v>1788.16</v>
      </c>
    </row>
    <row r="170" spans="1:75" x14ac:dyDescent="0.15">
      <c r="A170" s="29" t="s">
        <v>556</v>
      </c>
      <c r="B170" s="29">
        <v>224</v>
      </c>
      <c r="C170" s="29" t="s">
        <v>731</v>
      </c>
      <c r="D170" s="29" t="s">
        <v>117</v>
      </c>
      <c r="E170" s="29" t="str">
        <f>VLOOKUP(D170,Harvest_2017_Formulae!$C$2:$D$968,2,FALSE)</f>
        <v>ENDAGWE</v>
      </c>
      <c r="F170" s="29" t="s">
        <v>732</v>
      </c>
      <c r="G170" s="61" t="s">
        <v>548</v>
      </c>
      <c r="H170" s="29" t="s">
        <v>568</v>
      </c>
      <c r="I170" s="29" t="s">
        <v>548</v>
      </c>
      <c r="J170" s="29" t="s">
        <v>546</v>
      </c>
      <c r="K170" s="29" t="s">
        <v>548</v>
      </c>
      <c r="L170" s="29" t="s">
        <v>2221</v>
      </c>
      <c r="M170" s="29" t="s">
        <v>548</v>
      </c>
      <c r="N170" s="29" t="s">
        <v>548</v>
      </c>
      <c r="O170" s="29" t="s">
        <v>550</v>
      </c>
      <c r="P170" s="29">
        <v>0.75</v>
      </c>
      <c r="Q170" s="29">
        <v>2.75</v>
      </c>
      <c r="S170" s="29" t="s">
        <v>548</v>
      </c>
      <c r="T170" s="29">
        <v>3.5</v>
      </c>
      <c r="U170" s="29">
        <v>15</v>
      </c>
      <c r="V170" s="29" t="s">
        <v>551</v>
      </c>
      <c r="W170" s="30">
        <v>1.0285714285714285</v>
      </c>
      <c r="X170" s="29">
        <v>3.5</v>
      </c>
      <c r="Y170" s="29">
        <v>999</v>
      </c>
      <c r="Z170" s="29" t="s">
        <v>551</v>
      </c>
      <c r="AA170" s="62"/>
      <c r="AB170" s="29">
        <v>3.5</v>
      </c>
      <c r="AC170" s="29">
        <v>5</v>
      </c>
      <c r="AD170" s="29" t="s">
        <v>551</v>
      </c>
      <c r="AE170" s="62">
        <v>0.34285714285714286</v>
      </c>
      <c r="AF170" s="29" t="s">
        <v>546</v>
      </c>
      <c r="AG170" s="29" t="s">
        <v>546</v>
      </c>
      <c r="AH170" s="29" t="s">
        <v>546</v>
      </c>
      <c r="AI170" s="29" t="s">
        <v>546</v>
      </c>
      <c r="AJ170" s="29" t="s">
        <v>546</v>
      </c>
      <c r="AK170" s="29">
        <v>0</v>
      </c>
      <c r="AL170" s="29">
        <v>2</v>
      </c>
      <c r="AM170" s="29" t="s">
        <v>734</v>
      </c>
      <c r="AN170" s="29" t="s">
        <v>735</v>
      </c>
      <c r="AO170" s="29">
        <v>-4.3510293960571289</v>
      </c>
      <c r="AP170" s="29">
        <v>35.656917572021484</v>
      </c>
      <c r="AQ170" s="29">
        <v>1612.300048828125</v>
      </c>
      <c r="AR170" s="29">
        <v>5</v>
      </c>
      <c r="AS170" s="29">
        <v>1706031849</v>
      </c>
      <c r="AT170" s="29" t="s">
        <v>736</v>
      </c>
      <c r="AU170" s="31">
        <v>42950.967685185184</v>
      </c>
      <c r="AV170" s="31">
        <v>42950.659629629634</v>
      </c>
      <c r="AW170" s="31">
        <v>42950.80976851852</v>
      </c>
      <c r="AX170" s="32">
        <v>42794</v>
      </c>
      <c r="AZ170" s="44">
        <v>0.97558169934640526</v>
      </c>
      <c r="BA170" s="44">
        <v>0.95632679738562099</v>
      </c>
      <c r="BB170" s="44">
        <v>1.5059629629629632</v>
      </c>
      <c r="BC170" s="44">
        <v>1.5472222222222223</v>
      </c>
      <c r="BD170" s="29" t="s">
        <v>2174</v>
      </c>
      <c r="BE170" s="29">
        <v>9.2043313980099999</v>
      </c>
      <c r="BF170" s="29" t="str">
        <f>IF(BE170&lt;0.5,"Depression",IF(BE170&lt;2,"Very gentle",IF(BE170&lt;5,"Gentle",IF(BE170&lt;9,"Moderate",IF(BE170&lt;15,"Strong",IF(BE170&lt;30,"Steep",IF(BE170&lt;1,"Very steep")))))))</f>
        <v>Strong</v>
      </c>
      <c r="BG170" s="29" t="s">
        <v>2177</v>
      </c>
      <c r="BH170" s="29">
        <v>0.54385989904400001</v>
      </c>
      <c r="BI170" s="43">
        <v>7.2545471191399997</v>
      </c>
      <c r="BJ170" s="43">
        <f>VLOOKUP(D170,[1]SoilData!$G$15:$K$237,5,FALSE)</f>
        <v>79.374854336206639</v>
      </c>
      <c r="BK170" s="43">
        <f>VLOOKUP(D170,[1]SoilData!$G$245:$K$451,5,FALSE)</f>
        <v>155.9825492367701</v>
      </c>
      <c r="BL170" s="43">
        <f>VLOOKUP(D170,[1]SoilData!$G$15:$M$238,7,FALSE)</f>
        <v>0.76400000000000001</v>
      </c>
      <c r="BM170" s="43">
        <f>VLOOKUP(D170,[1]SoilData!$G$245:$M$454,7,FALSE)</f>
        <v>0.71099999999999997</v>
      </c>
      <c r="BN170" s="60">
        <f>BL170-BM170</f>
        <v>5.3000000000000047E-2</v>
      </c>
      <c r="BO170" s="44">
        <f>AVERAGE(BB170:BC170)</f>
        <v>1.5265925925925927</v>
      </c>
      <c r="BP170" s="44">
        <f>AVERAGE(AZ170:BA170)</f>
        <v>0.96595424836601307</v>
      </c>
      <c r="BQ170" s="43">
        <f>BP170-BO170</f>
        <v>-0.56063834422657965</v>
      </c>
      <c r="BR170" s="64">
        <f>IF(W170&gt;0.000001,W170*352,0)</f>
        <v>362.05714285714282</v>
      </c>
      <c r="BS170" s="64">
        <f>IF(AE170&gt;0.0001,AE170*682,0)</f>
        <v>233.82857142857142</v>
      </c>
      <c r="BT170" s="64">
        <f>AA170*795</f>
        <v>0</v>
      </c>
      <c r="BU170" s="64">
        <f>BR170+BS170+BT170</f>
        <v>595.88571428571424</v>
      </c>
      <c r="BV170" s="64">
        <f>IF(G170="YES",3.5*18.2,0)</f>
        <v>63.699999999999996</v>
      </c>
      <c r="BW170" s="64">
        <f>BU170-BV170</f>
        <v>532.1857142857142</v>
      </c>
    </row>
    <row r="171" spans="1:75" x14ac:dyDescent="0.15">
      <c r="A171" s="29" t="s">
        <v>1182</v>
      </c>
      <c r="B171" s="29">
        <v>88</v>
      </c>
      <c r="C171" s="29" t="s">
        <v>379</v>
      </c>
      <c r="D171" s="29" t="s">
        <v>379</v>
      </c>
      <c r="E171" s="29" t="str">
        <f>VLOOKUP(D171,Harvest_2017_Formulae!$C$2:$D$968,2,FALSE)</f>
        <v>SABILO</v>
      </c>
      <c r="F171" s="29" t="s">
        <v>1175</v>
      </c>
      <c r="G171" s="61" t="s">
        <v>546</v>
      </c>
      <c r="H171" s="29" t="s">
        <v>547</v>
      </c>
      <c r="I171" s="29" t="s">
        <v>548</v>
      </c>
      <c r="J171" s="29" t="s">
        <v>546</v>
      </c>
      <c r="K171" s="29" t="s">
        <v>548</v>
      </c>
      <c r="L171" s="29" t="s">
        <v>2221</v>
      </c>
      <c r="M171" s="29" t="s">
        <v>546</v>
      </c>
      <c r="N171" s="29" t="s">
        <v>548</v>
      </c>
      <c r="O171" s="29" t="s">
        <v>550</v>
      </c>
      <c r="P171" s="29">
        <v>0.25</v>
      </c>
      <c r="Q171" s="29">
        <v>5</v>
      </c>
      <c r="R171" s="29">
        <v>0</v>
      </c>
      <c r="S171" s="29" t="s">
        <v>546</v>
      </c>
      <c r="T171" s="29">
        <v>1</v>
      </c>
      <c r="U171" s="29">
        <v>5</v>
      </c>
      <c r="V171" s="29" t="s">
        <v>551</v>
      </c>
      <c r="W171" s="30">
        <v>1.2</v>
      </c>
      <c r="X171" s="29">
        <v>1</v>
      </c>
      <c r="Y171" s="29">
        <v>3</v>
      </c>
      <c r="Z171" s="29" t="s">
        <v>551</v>
      </c>
      <c r="AA171" s="62">
        <v>0.72</v>
      </c>
      <c r="AB171" s="29">
        <v>1</v>
      </c>
      <c r="AC171" s="29">
        <v>1</v>
      </c>
      <c r="AD171" s="29" t="s">
        <v>551</v>
      </c>
      <c r="AE171" s="62">
        <v>0.24</v>
      </c>
      <c r="AF171" s="29" t="s">
        <v>548</v>
      </c>
      <c r="AG171" s="29" t="s">
        <v>546</v>
      </c>
      <c r="AH171" s="29" t="s">
        <v>546</v>
      </c>
      <c r="AI171" s="29" t="s">
        <v>546</v>
      </c>
      <c r="AJ171" s="29" t="s">
        <v>546</v>
      </c>
      <c r="AK171" s="29">
        <v>1</v>
      </c>
      <c r="AL171" s="29">
        <v>3</v>
      </c>
      <c r="AM171" s="29" t="s">
        <v>1200</v>
      </c>
      <c r="AN171" s="29" t="s">
        <v>1201</v>
      </c>
      <c r="AO171" s="29">
        <v>-4.3514118194580078</v>
      </c>
      <c r="AP171" s="29">
        <v>35.465587615966797</v>
      </c>
      <c r="AQ171" s="29">
        <v>1658.300048828125</v>
      </c>
      <c r="AR171" s="29">
        <v>15</v>
      </c>
      <c r="AS171" s="29">
        <v>1705231439</v>
      </c>
      <c r="AT171" s="29" t="s">
        <v>1202</v>
      </c>
      <c r="AU171" s="31">
        <v>42927.345266203702</v>
      </c>
      <c r="AV171" s="31">
        <v>42894.603530092594</v>
      </c>
      <c r="AW171" s="31">
        <v>42927.3440625</v>
      </c>
      <c r="AX171" s="32">
        <v>42765</v>
      </c>
      <c r="AZ171" s="44">
        <v>2.9661111111111116</v>
      </c>
      <c r="BA171" s="44">
        <v>2.9036666666666675</v>
      </c>
      <c r="BB171" s="44">
        <v>1.7711574074074077</v>
      </c>
      <c r="BC171" s="44">
        <v>1.2688888888888887</v>
      </c>
      <c r="BD171" s="29" t="s">
        <v>2171</v>
      </c>
      <c r="BE171" s="29">
        <v>2.10858082771</v>
      </c>
      <c r="BF171" s="29" t="str">
        <f>IF(BE171&lt;0.5,"Depression",IF(BE171&lt;2,"Very gentle",IF(BE171&lt;5,"Gentle",IF(BE171&lt;9,"Moderate",IF(BE171&lt;15,"Strong",IF(BE171&lt;30,"Steep",IF(BE171&lt;1,"Very steep")))))))</f>
        <v>Gentle</v>
      </c>
      <c r="BG171" s="29" t="s">
        <v>2172</v>
      </c>
      <c r="BH171" s="29">
        <v>-0.725126743317</v>
      </c>
      <c r="BI171" s="43">
        <v>11.665823936500001</v>
      </c>
      <c r="BJ171" s="43">
        <f>VLOOKUP(D171,[1]SoilData!$G$15:$K$237,5,FALSE)</f>
        <v>89.206737254179131</v>
      </c>
      <c r="BK171" s="43">
        <f>VLOOKUP(D171,[1]SoilData!$G$245:$K$451,5,FALSE)</f>
        <v>44.5602728942536</v>
      </c>
      <c r="BL171" s="43">
        <f>VLOOKUP(D171,[1]SoilData!$G$15:$M$238,7,FALSE)</f>
        <v>1.7310000000000001</v>
      </c>
      <c r="BM171" s="43">
        <f>VLOOKUP(D171,[1]SoilData!$G$245:$M$454,7,FALSE)</f>
        <v>1.5069999999999999</v>
      </c>
      <c r="BN171" s="60">
        <f>BL171-BM171</f>
        <v>0.2240000000000002</v>
      </c>
      <c r="BO171" s="44">
        <f>AVERAGE(BB171:BC171)</f>
        <v>1.5200231481481481</v>
      </c>
      <c r="BP171" s="44">
        <f>AVERAGE(AZ171:BA171)</f>
        <v>2.9348888888888895</v>
      </c>
      <c r="BQ171" s="43">
        <f>BP171-BO171</f>
        <v>1.4148657407407415</v>
      </c>
      <c r="BR171" s="64">
        <f>IF(W171&gt;0.000001,W171*352,0)</f>
        <v>422.4</v>
      </c>
      <c r="BS171" s="64">
        <f>IF(AE171&gt;0.0001,AE171*682,0)</f>
        <v>163.68</v>
      </c>
      <c r="BT171" s="64">
        <f>AA171*795</f>
        <v>572.4</v>
      </c>
      <c r="BU171" s="64">
        <f>BR171+BS171+BT171</f>
        <v>1158.48</v>
      </c>
      <c r="BV171" s="64">
        <f>IF(G171="YES",3.5*18.2,0)</f>
        <v>0</v>
      </c>
      <c r="BW171" s="64">
        <f>BU171-BV171</f>
        <v>1158.48</v>
      </c>
    </row>
    <row r="172" spans="1:75" x14ac:dyDescent="0.15">
      <c r="A172" s="29" t="s">
        <v>789</v>
      </c>
      <c r="B172" s="29">
        <v>69</v>
      </c>
      <c r="C172" s="29" t="s">
        <v>1340</v>
      </c>
      <c r="D172" s="29" t="s">
        <v>398</v>
      </c>
      <c r="E172" s="29" t="s">
        <v>2205</v>
      </c>
      <c r="F172" s="29" t="s">
        <v>1310</v>
      </c>
      <c r="G172" s="61" t="s">
        <v>546</v>
      </c>
      <c r="H172" s="29" t="s">
        <v>547</v>
      </c>
      <c r="I172" s="29" t="s">
        <v>548</v>
      </c>
      <c r="J172" s="29" t="s">
        <v>546</v>
      </c>
      <c r="K172" s="29" t="s">
        <v>548</v>
      </c>
      <c r="L172" s="29" t="s">
        <v>2220</v>
      </c>
      <c r="M172" s="29" t="s">
        <v>548</v>
      </c>
      <c r="N172" s="29" t="s">
        <v>548</v>
      </c>
      <c r="O172" s="29" t="s">
        <v>793</v>
      </c>
      <c r="P172" s="29">
        <v>0.25</v>
      </c>
      <c r="Q172" s="29">
        <v>1.75</v>
      </c>
      <c r="R172" s="29">
        <v>0</v>
      </c>
      <c r="S172" s="29" t="s">
        <v>546</v>
      </c>
      <c r="T172" s="29">
        <v>1</v>
      </c>
      <c r="U172" s="29">
        <v>7</v>
      </c>
      <c r="V172" s="29" t="s">
        <v>551</v>
      </c>
      <c r="W172" s="30">
        <v>1.6800000000000002</v>
      </c>
      <c r="X172" s="29">
        <v>1</v>
      </c>
      <c r="Y172" s="29">
        <v>0.5</v>
      </c>
      <c r="Z172" s="29" t="s">
        <v>551</v>
      </c>
      <c r="AA172" s="62">
        <v>0.12</v>
      </c>
      <c r="AC172" s="29">
        <v>999</v>
      </c>
      <c r="AD172" s="29" t="s">
        <v>551</v>
      </c>
      <c r="AE172" s="62"/>
      <c r="AF172" s="29" t="s">
        <v>548</v>
      </c>
      <c r="AG172" s="29" t="s">
        <v>546</v>
      </c>
      <c r="AH172" s="29" t="s">
        <v>546</v>
      </c>
      <c r="AI172" s="29" t="s">
        <v>546</v>
      </c>
      <c r="AJ172" s="29" t="s">
        <v>548</v>
      </c>
      <c r="AK172" s="29">
        <v>2</v>
      </c>
      <c r="AL172" s="29">
        <v>3</v>
      </c>
      <c r="AM172" s="29" t="s">
        <v>1341</v>
      </c>
      <c r="AN172" s="29" t="s">
        <v>1342</v>
      </c>
      <c r="AO172" s="29">
        <v>-4.2437648773193359</v>
      </c>
      <c r="AP172" s="29">
        <v>35.508430480957031</v>
      </c>
      <c r="AQ172" s="29">
        <v>1613.800048828125</v>
      </c>
      <c r="AR172" s="29">
        <v>15</v>
      </c>
      <c r="AS172" s="29">
        <v>1705231439</v>
      </c>
      <c r="AT172" s="29" t="s">
        <v>1343</v>
      </c>
      <c r="AU172" s="31">
        <v>42923.387071759258</v>
      </c>
      <c r="AV172" s="31">
        <v>42902.395671296297</v>
      </c>
      <c r="AW172" s="31">
        <v>42923.385497685187</v>
      </c>
      <c r="AX172" s="32">
        <v>42751</v>
      </c>
      <c r="AZ172" s="44">
        <v>2.282157676348548</v>
      </c>
      <c r="BA172" s="44">
        <v>2.3772475795297376</v>
      </c>
      <c r="BB172" s="44">
        <v>1.7750115260488706</v>
      </c>
      <c r="BC172" s="44">
        <v>1.3629552789303827</v>
      </c>
      <c r="BD172" s="29" t="s">
        <v>2171</v>
      </c>
      <c r="BE172" s="29">
        <v>4.8365068435699996</v>
      </c>
      <c r="BF172" s="29" t="str">
        <f>IF(BE172&lt;0.5,"Depression",IF(BE172&lt;2,"Very gentle",IF(BE172&lt;5,"Gentle",IF(BE172&lt;9,"Moderate",IF(BE172&lt;15,"Strong",IF(BE172&lt;30,"Steep",IF(BE172&lt;1,"Very steep")))))))</f>
        <v>Gentle</v>
      </c>
      <c r="BG172" s="29" t="s">
        <v>2173</v>
      </c>
      <c r="BH172" s="29">
        <v>-0.45320102572400001</v>
      </c>
      <c r="BI172" s="43">
        <v>9.1463346481300007</v>
      </c>
      <c r="BJ172" s="43">
        <f>VLOOKUP(D172,[1]SoilData!$G$15:$K$237,5,FALSE)</f>
        <v>98.13603012616403</v>
      </c>
      <c r="BK172" s="43">
        <f>VLOOKUP(D172,[1]SoilData!$G$245:$K$451,5,FALSE)</f>
        <v>405.08004466970209</v>
      </c>
      <c r="BL172" s="43">
        <f>VLOOKUP(D172,[1]SoilData!$G$15:$M$238,7,FALSE)</f>
        <v>1.65</v>
      </c>
      <c r="BM172" s="43">
        <f>VLOOKUP(D172,[1]SoilData!$G$245:$M$454,7,FALSE)</f>
        <v>1.6659999999999999</v>
      </c>
      <c r="BN172" s="60">
        <f>BL172-BM172</f>
        <v>-1.6000000000000014E-2</v>
      </c>
      <c r="BO172" s="44">
        <f>AVERAGE(BB172:BC172)</f>
        <v>1.5689834024896268</v>
      </c>
      <c r="BP172" s="44">
        <f>AVERAGE(AZ172:BA172)</f>
        <v>2.3297026279391426</v>
      </c>
      <c r="BQ172" s="43">
        <f>BP172-BO172</f>
        <v>0.76071922544951587</v>
      </c>
      <c r="BR172" s="64">
        <f>IF(W172&gt;0.000001,W172*352,0)</f>
        <v>591.36</v>
      </c>
      <c r="BS172" s="64">
        <f>IF(AE172&gt;0.0001,AE172*682,0)</f>
        <v>0</v>
      </c>
      <c r="BT172" s="64">
        <f>AA172*795</f>
        <v>95.399999999999991</v>
      </c>
      <c r="BU172" s="64">
        <f>BR172+BS172+BT172</f>
        <v>686.76</v>
      </c>
      <c r="BV172" s="64">
        <f>IF(G172="YES",3.5*18.2,0)</f>
        <v>0</v>
      </c>
      <c r="BW172" s="64">
        <f>BU172-BV172</f>
        <v>686.76</v>
      </c>
    </row>
    <row r="173" spans="1:75" x14ac:dyDescent="0.15">
      <c r="A173" s="29" t="s">
        <v>789</v>
      </c>
      <c r="B173" s="29">
        <v>77</v>
      </c>
      <c r="C173" s="29" t="s">
        <v>385</v>
      </c>
      <c r="D173" s="29" t="s">
        <v>385</v>
      </c>
      <c r="E173" s="29" t="str">
        <f>VLOOKUP(D173,Harvest_2017_Formulae!$C$2:$D$968,2,FALSE)</f>
        <v>SABILO</v>
      </c>
      <c r="F173" s="29" t="s">
        <v>1175</v>
      </c>
      <c r="G173" s="61" t="s">
        <v>548</v>
      </c>
      <c r="H173" s="29" t="s">
        <v>568</v>
      </c>
      <c r="I173" s="29" t="s">
        <v>548</v>
      </c>
      <c r="J173" s="29" t="s">
        <v>546</v>
      </c>
      <c r="K173" s="29" t="s">
        <v>548</v>
      </c>
      <c r="L173" s="29" t="s">
        <v>2221</v>
      </c>
      <c r="M173" s="29" t="s">
        <v>548</v>
      </c>
      <c r="N173" s="29" t="s">
        <v>548</v>
      </c>
      <c r="O173" s="29" t="s">
        <v>793</v>
      </c>
      <c r="P173" s="29">
        <v>0.25</v>
      </c>
      <c r="Q173" s="29">
        <v>2.25</v>
      </c>
      <c r="R173" s="29">
        <v>0</v>
      </c>
      <c r="S173" s="29" t="s">
        <v>548</v>
      </c>
      <c r="T173" s="29">
        <v>1</v>
      </c>
      <c r="U173" s="29">
        <v>10</v>
      </c>
      <c r="V173" s="29" t="s">
        <v>551</v>
      </c>
      <c r="W173" s="30">
        <v>2.4</v>
      </c>
      <c r="Y173" s="29">
        <v>999</v>
      </c>
      <c r="Z173" s="29" t="s">
        <v>551</v>
      </c>
      <c r="AA173" s="62"/>
      <c r="AB173" s="29">
        <v>1</v>
      </c>
      <c r="AC173" s="29">
        <v>0.5</v>
      </c>
      <c r="AD173" s="29" t="s">
        <v>551</v>
      </c>
      <c r="AE173" s="62">
        <v>0.12</v>
      </c>
      <c r="AF173" s="29" t="s">
        <v>546</v>
      </c>
      <c r="AG173" s="29" t="s">
        <v>548</v>
      </c>
      <c r="AH173" s="29" t="s">
        <v>546</v>
      </c>
      <c r="AI173" s="29" t="s">
        <v>546</v>
      </c>
      <c r="AJ173" s="29" t="s">
        <v>548</v>
      </c>
      <c r="AK173" s="29">
        <v>2</v>
      </c>
      <c r="AL173" s="29">
        <v>3</v>
      </c>
      <c r="AM173" s="29" t="s">
        <v>1237</v>
      </c>
      <c r="AN173" s="29" t="s">
        <v>1238</v>
      </c>
      <c r="AO173" s="29">
        <v>-4.3420200347900391</v>
      </c>
      <c r="AP173" s="29">
        <v>35.483268737792969</v>
      </c>
      <c r="AQ173" s="29">
        <v>1612.5</v>
      </c>
      <c r="AR173" s="29">
        <v>5</v>
      </c>
      <c r="AS173" s="29">
        <v>1705231439</v>
      </c>
      <c r="AT173" s="29" t="s">
        <v>1239</v>
      </c>
      <c r="AU173" s="31">
        <v>42923.387129629627</v>
      </c>
      <c r="AV173" s="31">
        <v>42906.697002314817</v>
      </c>
      <c r="AW173" s="31">
        <v>42923.383206018523</v>
      </c>
      <c r="AX173" s="32">
        <v>42748</v>
      </c>
      <c r="AZ173" s="44">
        <v>3.0972839506172836</v>
      </c>
      <c r="BA173" s="44">
        <v>2.3782716049382717</v>
      </c>
      <c r="BB173" s="44">
        <v>2.1091503267973857</v>
      </c>
      <c r="BC173" s="44">
        <v>2.4104575163398696</v>
      </c>
      <c r="BD173" s="29" t="s">
        <v>2171</v>
      </c>
      <c r="BE173" s="29">
        <v>4.4811401367199997</v>
      </c>
      <c r="BF173" s="29" t="str">
        <f>IF(BE173&lt;0.5,"Depression",IF(BE173&lt;2,"Very gentle",IF(BE173&lt;5,"Gentle",IF(BE173&lt;9,"Moderate",IF(BE173&lt;15,"Strong",IF(BE173&lt;30,"Steep",IF(BE173&lt;1,"Very steep")))))))</f>
        <v>Gentle</v>
      </c>
      <c r="BG173" s="29" t="s">
        <v>2177</v>
      </c>
      <c r="BH173" s="29">
        <v>0.54385989904400001</v>
      </c>
      <c r="BI173" s="43">
        <v>8.9051237106300007</v>
      </c>
      <c r="BJ173" s="43">
        <f>VLOOKUP(D173,[1]SoilData!$G$15:$K$237,5,FALSE)</f>
        <v>321.96588818799074</v>
      </c>
      <c r="BK173" s="43">
        <f>VLOOKUP(D173,[1]SoilData!$G$245:$K$451,5,FALSE)</f>
        <v>282.38524582269963</v>
      </c>
      <c r="BL173" s="43">
        <f>VLOOKUP(D173,[1]SoilData!$G$15:$M$238,7,FALSE)</f>
        <v>1.623</v>
      </c>
      <c r="BM173" s="43">
        <f>VLOOKUP(D173,[1]SoilData!$G$245:$M$454,7,FALSE)</f>
        <v>2.181</v>
      </c>
      <c r="BN173" s="60">
        <f>BL173-BM173</f>
        <v>-0.55800000000000005</v>
      </c>
      <c r="BO173" s="44">
        <f>AVERAGE(BB173:BC173)</f>
        <v>2.2598039215686274</v>
      </c>
      <c r="BP173" s="44">
        <f>AVERAGE(AZ173:BA173)</f>
        <v>2.7377777777777776</v>
      </c>
      <c r="BQ173" s="43">
        <f>BP173-BO173</f>
        <v>0.47797385620915023</v>
      </c>
      <c r="BR173" s="64">
        <f>IF(W173&gt;0.000001,W173*352,0)</f>
        <v>844.8</v>
      </c>
      <c r="BS173" s="64">
        <f>IF(AE173&gt;0.0001,AE173*682,0)</f>
        <v>81.84</v>
      </c>
      <c r="BT173" s="64">
        <f>AA173*795</f>
        <v>0</v>
      </c>
      <c r="BU173" s="64">
        <f>BR173+BS173+BT173</f>
        <v>926.64</v>
      </c>
      <c r="BV173" s="64">
        <f>IF(G173="YES",3.5*18.2,0)</f>
        <v>63.699999999999996</v>
      </c>
      <c r="BW173" s="64">
        <f>BU173-BV173</f>
        <v>862.93999999999994</v>
      </c>
    </row>
    <row r="174" spans="1:75" x14ac:dyDescent="0.15">
      <c r="A174" s="29" t="s">
        <v>789</v>
      </c>
      <c r="B174" s="29">
        <v>61</v>
      </c>
      <c r="C174" s="29" t="s">
        <v>1240</v>
      </c>
      <c r="D174" s="29" t="s">
        <v>255</v>
      </c>
      <c r="E174" s="29" t="str">
        <f>VLOOKUP(D174,Harvest_2017_Formulae!$C$2:$D$968,2,FALSE)</f>
        <v>SABILO</v>
      </c>
      <c r="F174" s="29" t="s">
        <v>1175</v>
      </c>
      <c r="G174" s="61" t="s">
        <v>548</v>
      </c>
      <c r="H174" s="29" t="s">
        <v>568</v>
      </c>
      <c r="I174" s="29" t="s">
        <v>548</v>
      </c>
      <c r="J174" s="29" t="s">
        <v>546</v>
      </c>
      <c r="K174" s="29" t="s">
        <v>548</v>
      </c>
      <c r="L174" s="29" t="s">
        <v>2221</v>
      </c>
      <c r="M174" s="29" t="s">
        <v>548</v>
      </c>
      <c r="N174" s="29" t="s">
        <v>548</v>
      </c>
      <c r="O174" s="29" t="s">
        <v>793</v>
      </c>
      <c r="P174" s="29">
        <v>0.25</v>
      </c>
      <c r="Q174" s="29">
        <v>11.75</v>
      </c>
      <c r="R174" s="29">
        <v>20</v>
      </c>
      <c r="S174" s="29" t="s">
        <v>548</v>
      </c>
      <c r="T174" s="29">
        <v>1</v>
      </c>
      <c r="U174" s="29">
        <v>20</v>
      </c>
      <c r="V174" s="29" t="s">
        <v>551</v>
      </c>
      <c r="W174" s="30">
        <v>4.8</v>
      </c>
      <c r="X174" s="29">
        <v>1</v>
      </c>
      <c r="Y174" s="29">
        <v>4</v>
      </c>
      <c r="Z174" s="29" t="s">
        <v>551</v>
      </c>
      <c r="AA174" s="62">
        <v>0.96</v>
      </c>
      <c r="AB174" s="29">
        <v>1</v>
      </c>
      <c r="AC174" s="29">
        <v>1.2000000476837158</v>
      </c>
      <c r="AD174" s="29" t="s">
        <v>551</v>
      </c>
      <c r="AE174" s="62">
        <v>0.28800001144409176</v>
      </c>
      <c r="AF174" s="29" t="s">
        <v>548</v>
      </c>
      <c r="AG174" s="29" t="s">
        <v>548</v>
      </c>
      <c r="AH174" s="29" t="s">
        <v>548</v>
      </c>
      <c r="AI174" s="29" t="s">
        <v>548</v>
      </c>
      <c r="AJ174" s="29" t="s">
        <v>548</v>
      </c>
      <c r="AK174" s="29">
        <v>5</v>
      </c>
      <c r="AL174" s="29">
        <v>3</v>
      </c>
      <c r="AM174" s="29" t="s">
        <v>1242</v>
      </c>
      <c r="AN174" s="29" t="s">
        <v>1243</v>
      </c>
      <c r="AO174" s="29">
        <v>-4.3520431518554688</v>
      </c>
      <c r="AP174" s="29">
        <v>35.487277984619141</v>
      </c>
      <c r="AQ174" s="29">
        <v>1640.5999755859375</v>
      </c>
      <c r="AR174" s="29">
        <v>15</v>
      </c>
      <c r="AS174" s="29">
        <v>1705231439</v>
      </c>
      <c r="AT174" s="29" t="s">
        <v>1244</v>
      </c>
      <c r="AU174" s="31">
        <v>42923.387037037042</v>
      </c>
      <c r="AV174" s="31">
        <v>42894.5316087963</v>
      </c>
      <c r="AW174" s="31">
        <v>42923.386574074073</v>
      </c>
      <c r="AX174" s="32">
        <v>42753</v>
      </c>
      <c r="AZ174" s="44">
        <v>2.9644444444444447</v>
      </c>
      <c r="BA174" s="44">
        <v>3.6033333333333339</v>
      </c>
      <c r="BB174" s="44">
        <v>3.5712169312169313</v>
      </c>
      <c r="BC174" s="44">
        <v>1.9729100529100529</v>
      </c>
      <c r="BD174" s="29" t="s">
        <v>2171</v>
      </c>
      <c r="BE174" s="29">
        <v>3.7798345089000001</v>
      </c>
      <c r="BF174" s="29" t="str">
        <f>IF(BE174&lt;0.5,"Depression",IF(BE174&lt;2,"Very gentle",IF(BE174&lt;5,"Gentle",IF(BE174&lt;9,"Moderate",IF(BE174&lt;15,"Strong",IF(BE174&lt;30,"Steep",IF(BE174&lt;1,"Very steep")))))))</f>
        <v>Gentle</v>
      </c>
      <c r="BG174" s="29" t="s">
        <v>2173</v>
      </c>
      <c r="BH174" s="29">
        <v>-9.0633422136300004E-2</v>
      </c>
      <c r="BI174" s="43">
        <v>7.9694843292200002</v>
      </c>
      <c r="BJ174" s="43">
        <f>VLOOKUP(D174,[1]SoilData!$G$15:$K$237,5,FALSE)</f>
        <v>417.72550681369495</v>
      </c>
      <c r="BK174" s="43">
        <f>VLOOKUP(D174,[1]SoilData!$G$245:$K$451,5,FALSE)</f>
        <v>224.92947464727692</v>
      </c>
      <c r="BL174" s="43">
        <f>VLOOKUP(D174,[1]SoilData!$G$15:$M$238,7,FALSE)</f>
        <v>1.6459999999999999</v>
      </c>
      <c r="BM174" s="43">
        <f>VLOOKUP(D174,[1]SoilData!$G$245:$M$454,7,FALSE)</f>
        <v>1.3340000000000001</v>
      </c>
      <c r="BN174" s="60">
        <f>BL174-BM174</f>
        <v>0.31199999999999983</v>
      </c>
      <c r="BO174" s="44">
        <f>AVERAGE(BB174:BC174)</f>
        <v>2.7720634920634923</v>
      </c>
      <c r="BP174" s="44">
        <f>AVERAGE(AZ174:BA174)</f>
        <v>3.2838888888888893</v>
      </c>
      <c r="BQ174" s="43">
        <f>BP174-BO174</f>
        <v>0.51182539682539696</v>
      </c>
      <c r="BR174" s="64">
        <f>IF(W174&gt;0.000001,W174*352,0)</f>
        <v>1689.6</v>
      </c>
      <c r="BS174" s="64">
        <f>IF(AE174&gt;0.0001,AE174*682,0)</f>
        <v>196.41600780487059</v>
      </c>
      <c r="BT174" s="64">
        <f>AA174*795</f>
        <v>763.19999999999993</v>
      </c>
      <c r="BU174" s="64">
        <f>BR174+BS174+BT174</f>
        <v>2649.2160078048705</v>
      </c>
      <c r="BV174" s="64">
        <f>IF(G174="YES",3.5*18.2,0)</f>
        <v>63.699999999999996</v>
      </c>
      <c r="BW174" s="64">
        <f>BU174-BV174</f>
        <v>2585.5160078048707</v>
      </c>
    </row>
    <row r="175" spans="1:75" x14ac:dyDescent="0.15">
      <c r="A175" s="29" t="s">
        <v>789</v>
      </c>
      <c r="B175" s="29">
        <v>18</v>
      </c>
      <c r="C175" s="29" t="s">
        <v>246</v>
      </c>
      <c r="D175" s="29" t="s">
        <v>246</v>
      </c>
      <c r="E175" s="29" t="str">
        <f>VLOOKUP(D175,Harvest_2017_Formulae!$C$2:$D$968,2,FALSE)</f>
        <v>SABILO</v>
      </c>
      <c r="F175" s="29" t="s">
        <v>1175</v>
      </c>
      <c r="G175" s="61" t="s">
        <v>548</v>
      </c>
      <c r="H175" s="29" t="s">
        <v>568</v>
      </c>
      <c r="I175" s="29" t="s">
        <v>548</v>
      </c>
      <c r="J175" s="29" t="s">
        <v>546</v>
      </c>
      <c r="K175" s="29" t="s">
        <v>548</v>
      </c>
      <c r="L175" s="29" t="s">
        <v>2221</v>
      </c>
      <c r="M175" s="29" t="s">
        <v>548</v>
      </c>
      <c r="N175" s="29" t="s">
        <v>548</v>
      </c>
      <c r="O175" s="29" t="s">
        <v>793</v>
      </c>
      <c r="Q175" s="29">
        <v>7</v>
      </c>
      <c r="R175" s="29">
        <v>0</v>
      </c>
      <c r="S175" s="29" t="s">
        <v>546</v>
      </c>
      <c r="T175" s="29">
        <v>1</v>
      </c>
      <c r="U175" s="29">
        <v>9</v>
      </c>
      <c r="V175" s="29" t="s">
        <v>551</v>
      </c>
      <c r="W175" s="30">
        <v>2.16</v>
      </c>
      <c r="X175" s="29">
        <v>1</v>
      </c>
      <c r="Y175" s="29">
        <v>7.5</v>
      </c>
      <c r="Z175" s="29" t="s">
        <v>551</v>
      </c>
      <c r="AA175" s="62">
        <v>1.7999999999999998</v>
      </c>
      <c r="AB175" s="29">
        <v>1</v>
      </c>
      <c r="AC175" s="29">
        <v>1</v>
      </c>
      <c r="AD175" s="29" t="s">
        <v>551</v>
      </c>
      <c r="AE175" s="62">
        <v>0.24</v>
      </c>
      <c r="AF175" s="29" t="s">
        <v>548</v>
      </c>
      <c r="AG175" s="29" t="s">
        <v>548</v>
      </c>
      <c r="AH175" s="29" t="s">
        <v>548</v>
      </c>
      <c r="AI175" s="29" t="s">
        <v>548</v>
      </c>
      <c r="AJ175" s="29" t="s">
        <v>548</v>
      </c>
      <c r="AK175" s="29">
        <v>5</v>
      </c>
      <c r="AL175" s="29">
        <v>3</v>
      </c>
      <c r="AM175" s="29" t="s">
        <v>1206</v>
      </c>
      <c r="AN175" s="29" t="s">
        <v>1207</v>
      </c>
      <c r="AO175" s="29">
        <v>-4.3597245216369629</v>
      </c>
      <c r="AP175" s="29">
        <v>35.488910675048828</v>
      </c>
      <c r="AQ175" s="29">
        <v>1690.800048828125</v>
      </c>
      <c r="AR175" s="29">
        <v>15</v>
      </c>
      <c r="AS175" s="29">
        <v>1705231439</v>
      </c>
      <c r="AT175" s="29" t="s">
        <v>1208</v>
      </c>
      <c r="AU175" s="31">
        <v>42908.292511574073</v>
      </c>
      <c r="AV175" s="31">
        <v>42893.684629629628</v>
      </c>
      <c r="AW175" s="31">
        <v>42908.285879629635</v>
      </c>
      <c r="AX175" s="32">
        <v>42893</v>
      </c>
      <c r="AZ175" s="44">
        <v>7.5464387464387448</v>
      </c>
      <c r="BA175" s="44">
        <v>7.7900529100529097</v>
      </c>
      <c r="BB175" s="44">
        <v>7.0984126984126981</v>
      </c>
      <c r="BC175" s="44">
        <v>8.5180952380952384</v>
      </c>
      <c r="BD175" s="29" t="s">
        <v>2171</v>
      </c>
      <c r="BE175" s="29">
        <v>2.80598473549</v>
      </c>
      <c r="BF175" s="29" t="str">
        <f>IF(BE175&lt;0.5,"Depression",IF(BE175&lt;2,"Very gentle",IF(BE175&lt;5,"Gentle",IF(BE175&lt;9,"Moderate",IF(BE175&lt;15,"Strong",IF(BE175&lt;30,"Steep",IF(BE175&lt;1,"Very steep")))))))</f>
        <v>Gentle</v>
      </c>
      <c r="BG175" s="29" t="s">
        <v>2173</v>
      </c>
      <c r="BH175" s="29">
        <v>0.36257606744799997</v>
      </c>
      <c r="BI175" s="43">
        <v>8.7084684371899996</v>
      </c>
      <c r="BJ175" s="43">
        <f>VLOOKUP(D175,[1]SoilData!$G$15:$K$237,5,FALSE)</f>
        <v>168.75049838686394</v>
      </c>
      <c r="BK175" s="43">
        <f>VLOOKUP(D175,[1]SoilData!$G$245:$K$451,5,FALSE)</f>
        <v>-68.733355804882606</v>
      </c>
      <c r="BL175" s="43">
        <f>VLOOKUP(D175,[1]SoilData!$G$15:$M$238,7,FALSE)</f>
        <v>1.472</v>
      </c>
      <c r="BM175" s="43">
        <f>VLOOKUP(D175,[1]SoilData!$G$245:$M$454,7,FALSE)</f>
        <v>1.0920000000000001</v>
      </c>
      <c r="BN175" s="60">
        <f>BL175-BM175</f>
        <v>0.37999999999999989</v>
      </c>
      <c r="BO175" s="44">
        <f>AVERAGE(BB175:BC175)</f>
        <v>7.8082539682539682</v>
      </c>
      <c r="BP175" s="44">
        <f>AVERAGE(AZ175:BA175)</f>
        <v>7.6682458282458272</v>
      </c>
      <c r="BQ175" s="43">
        <f>BP175-BO175</f>
        <v>-0.14000814000814099</v>
      </c>
      <c r="BR175" s="64">
        <f>IF(W175&gt;0.000001,W175*352,0)</f>
        <v>760.32</v>
      </c>
      <c r="BS175" s="64">
        <f>IF(AE175&gt;0.0001,AE175*682,0)</f>
        <v>163.68</v>
      </c>
      <c r="BT175" s="64">
        <f>AA175*795</f>
        <v>1430.9999999999998</v>
      </c>
      <c r="BU175" s="64">
        <f>BR175+BS175+BT175</f>
        <v>2355</v>
      </c>
      <c r="BV175" s="64">
        <f>IF(G175="YES",3.5*18.2,0)</f>
        <v>63.699999999999996</v>
      </c>
      <c r="BW175" s="64">
        <f>BU175-BV175</f>
        <v>2291.3000000000002</v>
      </c>
    </row>
    <row r="176" spans="1:75" x14ac:dyDescent="0.15">
      <c r="A176" s="29" t="s">
        <v>556</v>
      </c>
      <c r="B176" s="29">
        <v>146</v>
      </c>
      <c r="C176" s="29" t="s">
        <v>357</v>
      </c>
      <c r="D176" s="29" t="s">
        <v>357</v>
      </c>
      <c r="E176" s="29" t="str">
        <f>VLOOKUP(D176,Harvest_2017_Formulae!$C$2:$D$968,2,FALSE)</f>
        <v>HALLU</v>
      </c>
      <c r="F176" s="29" t="s">
        <v>938</v>
      </c>
      <c r="G176" s="61" t="s">
        <v>546</v>
      </c>
      <c r="H176" s="29" t="s">
        <v>547</v>
      </c>
      <c r="I176" s="29" t="s">
        <v>548</v>
      </c>
      <c r="J176" s="29" t="s">
        <v>546</v>
      </c>
      <c r="K176" s="29" t="s">
        <v>548</v>
      </c>
      <c r="L176" s="29" t="s">
        <v>2221</v>
      </c>
      <c r="M176" s="29" t="s">
        <v>548</v>
      </c>
      <c r="N176" s="29" t="s">
        <v>548</v>
      </c>
      <c r="O176" s="29" t="s">
        <v>550</v>
      </c>
      <c r="P176" s="29">
        <v>0.25</v>
      </c>
      <c r="Q176" s="29">
        <v>0.75</v>
      </c>
      <c r="R176" s="29">
        <v>0</v>
      </c>
      <c r="S176" s="29" t="s">
        <v>546</v>
      </c>
      <c r="T176" s="29">
        <v>1</v>
      </c>
      <c r="U176" s="29">
        <v>10</v>
      </c>
      <c r="V176" s="29" t="s">
        <v>551</v>
      </c>
      <c r="W176" s="30">
        <v>2.4</v>
      </c>
      <c r="Y176" s="29">
        <v>999</v>
      </c>
      <c r="Z176" s="29" t="s">
        <v>551</v>
      </c>
      <c r="AA176" s="62"/>
      <c r="AB176" s="29">
        <v>1</v>
      </c>
      <c r="AC176" s="29">
        <v>0</v>
      </c>
      <c r="AD176" s="29" t="s">
        <v>551</v>
      </c>
      <c r="AE176" s="62">
        <v>0</v>
      </c>
      <c r="AF176" s="29" t="s">
        <v>546</v>
      </c>
      <c r="AG176" s="29" t="s">
        <v>546</v>
      </c>
      <c r="AH176" s="29" t="s">
        <v>546</v>
      </c>
      <c r="AI176" s="29" t="s">
        <v>546</v>
      </c>
      <c r="AJ176" s="29" t="s">
        <v>546</v>
      </c>
      <c r="AK176" s="29">
        <v>0</v>
      </c>
      <c r="AL176" s="29">
        <v>3</v>
      </c>
      <c r="AM176" s="29" t="s">
        <v>961</v>
      </c>
      <c r="AN176" s="29" t="s">
        <v>962</v>
      </c>
      <c r="AO176" s="29">
        <v>-4.3046340942382812</v>
      </c>
      <c r="AP176" s="29">
        <v>35.909893035888672</v>
      </c>
      <c r="AQ176" s="29">
        <v>1180</v>
      </c>
      <c r="AR176" s="29">
        <v>5</v>
      </c>
      <c r="AS176" s="29">
        <v>1706031849</v>
      </c>
      <c r="AT176" s="29" t="s">
        <v>963</v>
      </c>
      <c r="AU176" s="31">
        <v>42913.425011574072</v>
      </c>
      <c r="AV176" s="31">
        <v>42909.526423611111</v>
      </c>
      <c r="AW176" s="31">
        <v>42909.53292824074</v>
      </c>
      <c r="AX176" s="32">
        <v>42771</v>
      </c>
      <c r="AZ176" s="44">
        <v>5.6942342342342345</v>
      </c>
      <c r="BA176" s="44">
        <v>4.7859909909909915</v>
      </c>
      <c r="BB176" s="44">
        <v>6.593461538461538</v>
      </c>
      <c r="BC176" s="44">
        <v>7.0503561253561253</v>
      </c>
      <c r="BD176" s="29" t="s">
        <v>2171</v>
      </c>
      <c r="BE176" s="29">
        <v>0.85303092002900005</v>
      </c>
      <c r="BF176" s="29" t="str">
        <f>IF(BE176&lt;0.5,"Depression",IF(BE176&lt;2,"Very gentle",IF(BE176&lt;5,"Gentle",IF(BE176&lt;9,"Moderate",IF(BE176&lt;15,"Strong",IF(BE176&lt;30,"Steep",IF(BE176&lt;1,"Very steep")))))))</f>
        <v>Very gentle</v>
      </c>
      <c r="BG176" s="29" t="s">
        <v>2173</v>
      </c>
      <c r="BH176" s="29">
        <v>9.0650379657699995E-2</v>
      </c>
      <c r="BI176" s="43">
        <v>8.7994308471699991</v>
      </c>
      <c r="BJ176" s="43">
        <f>VLOOKUP(D176,[1]SoilData!$G$15:$K$237,5,FALSE)</f>
        <v>449.36824376881202</v>
      </c>
      <c r="BK176" s="43">
        <f>VLOOKUP(D176,[1]SoilData!$G$245:$K$451,5,FALSE)</f>
        <v>354.62404545300836</v>
      </c>
      <c r="BL176" s="43">
        <f>VLOOKUP(D176,[1]SoilData!$G$15:$M$238,7,FALSE)</f>
        <v>2.3410000000000002</v>
      </c>
      <c r="BM176" s="43">
        <f>VLOOKUP(D176,[1]SoilData!$G$245:$M$454,7,FALSE)</f>
        <v>1.6279999999999999</v>
      </c>
      <c r="BN176" s="60">
        <f>BL176-BM176</f>
        <v>0.7130000000000003</v>
      </c>
      <c r="BO176" s="44">
        <f>AVERAGE(BB176:BC176)</f>
        <v>6.8219088319088321</v>
      </c>
      <c r="BP176" s="44">
        <f>AVERAGE(AZ176:BA176)</f>
        <v>5.240112612612613</v>
      </c>
      <c r="BQ176" s="43">
        <f>BP176-BO176</f>
        <v>-1.5817962192962192</v>
      </c>
      <c r="BR176" s="64">
        <f>IF(W176&gt;0.000001,W176*352,0)</f>
        <v>844.8</v>
      </c>
      <c r="BS176" s="64">
        <f>IF(AE176&gt;0.0001,AE176*682,0)</f>
        <v>0</v>
      </c>
      <c r="BT176" s="64">
        <f>AA176*795</f>
        <v>0</v>
      </c>
      <c r="BU176" s="64">
        <f>BR176+BS176+BT176</f>
        <v>844.8</v>
      </c>
      <c r="BV176" s="64">
        <f>IF(G176="YES",3.5*18.2,0)</f>
        <v>0</v>
      </c>
      <c r="BW176" s="64">
        <f>BU176-BV176</f>
        <v>844.8</v>
      </c>
    </row>
    <row r="177" spans="1:75" x14ac:dyDescent="0.15">
      <c r="A177" s="29" t="s">
        <v>789</v>
      </c>
      <c r="B177" s="29">
        <v>52</v>
      </c>
      <c r="C177" s="29" t="s">
        <v>211</v>
      </c>
      <c r="D177" s="29" t="s">
        <v>211</v>
      </c>
      <c r="E177" s="29" t="str">
        <f>VLOOKUP(D177,Harvest_2017_Formulae!$C$2:$D$968,2,FALSE)</f>
        <v>MANDI</v>
      </c>
      <c r="F177" s="29" t="s">
        <v>1014</v>
      </c>
      <c r="G177" s="61" t="s">
        <v>546</v>
      </c>
      <c r="H177" s="29" t="s">
        <v>547</v>
      </c>
      <c r="I177" s="29" t="s">
        <v>548</v>
      </c>
      <c r="J177" s="29" t="s">
        <v>546</v>
      </c>
      <c r="K177" s="29" t="s">
        <v>548</v>
      </c>
      <c r="L177" s="29" t="s">
        <v>2221</v>
      </c>
      <c r="M177" s="29" t="s">
        <v>548</v>
      </c>
      <c r="N177" s="29" t="s">
        <v>548</v>
      </c>
      <c r="O177" s="29" t="s">
        <v>793</v>
      </c>
      <c r="P177" s="29">
        <v>0.75</v>
      </c>
      <c r="Q177" s="29">
        <v>3.75</v>
      </c>
      <c r="R177" s="29">
        <v>0</v>
      </c>
      <c r="S177" s="29" t="s">
        <v>548</v>
      </c>
      <c r="T177" s="29">
        <v>1</v>
      </c>
      <c r="U177" s="29">
        <v>4</v>
      </c>
      <c r="V177" s="29" t="s">
        <v>551</v>
      </c>
      <c r="W177" s="30">
        <v>0.96</v>
      </c>
      <c r="Y177" s="29">
        <v>999</v>
      </c>
      <c r="Z177" s="29" t="s">
        <v>551</v>
      </c>
      <c r="AA177" s="62"/>
      <c r="AC177" s="29">
        <v>999</v>
      </c>
      <c r="AD177" s="29" t="s">
        <v>551</v>
      </c>
      <c r="AE177" s="62"/>
      <c r="AF177" s="29" t="s">
        <v>546</v>
      </c>
      <c r="AG177" s="29" t="s">
        <v>546</v>
      </c>
      <c r="AH177" s="29" t="s">
        <v>546</v>
      </c>
      <c r="AI177" s="29" t="s">
        <v>546</v>
      </c>
      <c r="AJ177" s="29" t="s">
        <v>546</v>
      </c>
      <c r="AK177" s="29">
        <v>0</v>
      </c>
      <c r="AL177" s="29">
        <v>2</v>
      </c>
      <c r="AM177" s="29" t="s">
        <v>1078</v>
      </c>
      <c r="AN177" s="29" t="s">
        <v>1079</v>
      </c>
      <c r="AO177" s="29">
        <v>-4.3561315536499023</v>
      </c>
      <c r="AP177" s="29">
        <v>35.444972991943359</v>
      </c>
      <c r="AQ177" s="29">
        <v>1723.199951171875</v>
      </c>
      <c r="AR177" s="29">
        <v>5</v>
      </c>
      <c r="AS177" s="29">
        <v>1705231439</v>
      </c>
      <c r="AT177" s="29" t="s">
        <v>1080</v>
      </c>
      <c r="AU177" s="31">
        <v>42923.381770833337</v>
      </c>
      <c r="AV177" s="31">
        <v>42908.46266203704</v>
      </c>
      <c r="AW177" s="31">
        <v>42923.379490740743</v>
      </c>
      <c r="AX177" s="32">
        <v>42795</v>
      </c>
      <c r="AZ177" s="44">
        <v>3.0890058479532172</v>
      </c>
      <c r="BA177" s="44">
        <v>3.2781286549707604</v>
      </c>
      <c r="BB177" s="44">
        <v>3.4377777777777783</v>
      </c>
      <c r="BC177" s="44">
        <v>2.3111111111111113</v>
      </c>
      <c r="BD177" s="29" t="s">
        <v>2174</v>
      </c>
      <c r="BE177" s="29">
        <v>6.78757381439</v>
      </c>
      <c r="BF177" s="29" t="str">
        <f>IF(BE177&lt;0.5,"Depression",IF(BE177&lt;2,"Very gentle",IF(BE177&lt;5,"Gentle",IF(BE177&lt;9,"Moderate",IF(BE177&lt;15,"Strong",IF(BE177&lt;30,"Steep",IF(BE177&lt;1,"Very steep")))))))</f>
        <v>Moderate</v>
      </c>
      <c r="BG177" s="29" t="s">
        <v>2177</v>
      </c>
      <c r="BH177" s="29">
        <v>0.63450175523800001</v>
      </c>
      <c r="BI177" s="43">
        <v>7.2923617363000002</v>
      </c>
      <c r="BJ177" s="43">
        <f>VLOOKUP(D177,[1]SoilData!$G$15:$K$237,5,FALSE)</f>
        <v>190.45601194202362</v>
      </c>
      <c r="BK177" s="43"/>
      <c r="BL177" s="43">
        <f>VLOOKUP(D177,[1]SoilData!$G$15:$M$238,7,FALSE)</f>
        <v>1.339</v>
      </c>
      <c r="BM177" s="43"/>
      <c r="BN177" s="60"/>
      <c r="BO177" s="44">
        <f>AVERAGE(BB177:BC177)</f>
        <v>2.8744444444444448</v>
      </c>
      <c r="BP177" s="44">
        <f>AVERAGE(AZ177:BA177)</f>
        <v>3.183567251461989</v>
      </c>
      <c r="BQ177" s="43">
        <f>BP177-BO177</f>
        <v>0.30912280701754424</v>
      </c>
      <c r="BR177" s="64">
        <f>IF(W177&gt;0.000001,W177*352,0)</f>
        <v>337.91999999999996</v>
      </c>
      <c r="BS177" s="64">
        <f>IF(AE177&gt;0.0001,AE177*682,0)</f>
        <v>0</v>
      </c>
      <c r="BT177" s="64">
        <f>AA177*795</f>
        <v>0</v>
      </c>
      <c r="BU177" s="64">
        <f>BR177+BS177+BT177</f>
        <v>337.91999999999996</v>
      </c>
      <c r="BV177" s="64">
        <f>IF(G177="YES",3.5*18.2,0)</f>
        <v>0</v>
      </c>
      <c r="BW177" s="64">
        <f>BU177-BV177</f>
        <v>337.91999999999996</v>
      </c>
    </row>
    <row r="178" spans="1:75" x14ac:dyDescent="0.15">
      <c r="A178" s="29" t="s">
        <v>789</v>
      </c>
      <c r="B178" s="29">
        <v>20</v>
      </c>
      <c r="C178" s="29" t="s">
        <v>1518</v>
      </c>
      <c r="D178" s="29" t="s">
        <v>1518</v>
      </c>
      <c r="E178" s="29" t="e">
        <f>VLOOKUP(D178,Harvest_2017_Formulae!$C$2:$D$968,2,FALSE)</f>
        <v>#N/A</v>
      </c>
      <c r="F178" s="29" t="s">
        <v>1175</v>
      </c>
      <c r="G178" s="61" t="s">
        <v>548</v>
      </c>
      <c r="H178" s="29" t="s">
        <v>568</v>
      </c>
      <c r="I178" s="29" t="s">
        <v>548</v>
      </c>
      <c r="J178" s="29" t="s">
        <v>546</v>
      </c>
      <c r="K178" s="29" t="s">
        <v>548</v>
      </c>
      <c r="L178" s="29" t="s">
        <v>2221</v>
      </c>
      <c r="M178" s="29" t="s">
        <v>548</v>
      </c>
      <c r="N178" s="29" t="s">
        <v>548</v>
      </c>
      <c r="O178" s="29" t="s">
        <v>793</v>
      </c>
      <c r="P178" s="29">
        <v>0</v>
      </c>
      <c r="Q178" s="29">
        <v>7.25</v>
      </c>
      <c r="R178" s="29">
        <v>0</v>
      </c>
      <c r="S178" s="29" t="s">
        <v>546</v>
      </c>
      <c r="T178" s="29">
        <v>1</v>
      </c>
      <c r="U178" s="29">
        <v>20</v>
      </c>
      <c r="V178" s="29" t="s">
        <v>551</v>
      </c>
      <c r="W178" s="30">
        <v>4.8</v>
      </c>
      <c r="X178" s="29">
        <v>1</v>
      </c>
      <c r="Y178" s="29">
        <v>4</v>
      </c>
      <c r="Z178" s="29" t="s">
        <v>551</v>
      </c>
      <c r="AA178" s="62">
        <v>0.96</v>
      </c>
      <c r="AC178" s="29">
        <v>999</v>
      </c>
      <c r="AD178" s="29" t="s">
        <v>551</v>
      </c>
      <c r="AE178" s="62"/>
      <c r="AF178" s="29" t="s">
        <v>548</v>
      </c>
      <c r="AG178" s="29" t="s">
        <v>548</v>
      </c>
      <c r="AH178" s="29" t="s">
        <v>548</v>
      </c>
      <c r="AI178" s="29" t="s">
        <v>548</v>
      </c>
      <c r="AJ178" s="29" t="s">
        <v>548</v>
      </c>
      <c r="AK178" s="29">
        <v>5</v>
      </c>
      <c r="AL178" s="29">
        <v>5</v>
      </c>
      <c r="AM178" s="29" t="s">
        <v>1520</v>
      </c>
      <c r="AN178" s="29" t="s">
        <v>1521</v>
      </c>
      <c r="AO178" s="29">
        <v>-4.3554658889770508</v>
      </c>
      <c r="AP178" s="29">
        <v>35.471359252929688</v>
      </c>
      <c r="AQ178" s="29">
        <v>1668.5999755859375</v>
      </c>
      <c r="AR178" s="29">
        <v>10</v>
      </c>
      <c r="AS178" s="29">
        <v>1705231439</v>
      </c>
      <c r="AT178" s="29" t="s">
        <v>1522</v>
      </c>
      <c r="AU178" s="31">
        <v>42908.292534722219</v>
      </c>
      <c r="AV178" s="31">
        <v>42894.464143518519</v>
      </c>
      <c r="AW178" s="31">
        <v>42908.287523148145</v>
      </c>
      <c r="AX178" s="32">
        <v>42894</v>
      </c>
      <c r="BD178" s="29" t="s">
        <v>2174</v>
      </c>
      <c r="BE178" s="29">
        <v>5.9934930801400004</v>
      </c>
      <c r="BF178" s="29" t="str">
        <f>IF(BE178&lt;0.5,"Depression",IF(BE178&lt;2,"Very gentle",IF(BE178&lt;5,"Gentle",IF(BE178&lt;9,"Moderate",IF(BE178&lt;15,"Strong",IF(BE178&lt;30,"Steep",IF(BE178&lt;1,"Very steep")))))))</f>
        <v>Moderate</v>
      </c>
      <c r="BG178" s="29" t="s">
        <v>2178</v>
      </c>
      <c r="BH178" s="29">
        <v>0.45321798324599999</v>
      </c>
      <c r="BI178" s="43">
        <v>7.2720131874099998</v>
      </c>
      <c r="BJ178" s="43"/>
      <c r="BK178" s="43"/>
      <c r="BL178" s="43"/>
      <c r="BM178" s="43"/>
      <c r="BN178" s="60"/>
      <c r="BO178" s="43"/>
      <c r="BP178" s="43"/>
      <c r="BQ178" s="43"/>
      <c r="BR178" s="64">
        <f>IF(W178&gt;0.000001,W178*352,0)</f>
        <v>1689.6</v>
      </c>
      <c r="BS178" s="64">
        <f>IF(AE178&gt;0.0001,AE178*682,0)</f>
        <v>0</v>
      </c>
      <c r="BT178" s="64">
        <f>AA178*795</f>
        <v>763.19999999999993</v>
      </c>
      <c r="BU178" s="64">
        <f>BR178+BS178+BT178</f>
        <v>2452.7999999999997</v>
      </c>
      <c r="BV178" s="64">
        <f>IF(G178="YES",3.5*18.2,0)</f>
        <v>63.699999999999996</v>
      </c>
      <c r="BW178" s="64">
        <f>BU178-BV178</f>
        <v>2389.1</v>
      </c>
    </row>
    <row r="179" spans="1:75" x14ac:dyDescent="0.15">
      <c r="A179" s="29" t="s">
        <v>789</v>
      </c>
      <c r="B179" s="29">
        <v>15</v>
      </c>
      <c r="C179" s="29" t="s">
        <v>260</v>
      </c>
      <c r="D179" s="29" t="s">
        <v>260</v>
      </c>
      <c r="E179" s="29" t="str">
        <f>VLOOKUP(D179,Harvest_2017_Formulae!$C$2:$D$968,2,FALSE)</f>
        <v>Sangara</v>
      </c>
      <c r="F179" s="29" t="s">
        <v>1014</v>
      </c>
      <c r="G179" s="61" t="s">
        <v>548</v>
      </c>
      <c r="H179" s="29" t="s">
        <v>568</v>
      </c>
      <c r="I179" s="29" t="s">
        <v>548</v>
      </c>
      <c r="J179" s="29" t="s">
        <v>546</v>
      </c>
      <c r="K179" s="29" t="s">
        <v>548</v>
      </c>
      <c r="L179" s="29" t="s">
        <v>2220</v>
      </c>
      <c r="M179" s="29" t="s">
        <v>548</v>
      </c>
      <c r="N179" s="29" t="s">
        <v>546</v>
      </c>
      <c r="O179" s="29" t="s">
        <v>547</v>
      </c>
      <c r="P179" s="29">
        <v>0.25</v>
      </c>
      <c r="Q179" s="29">
        <v>3.5</v>
      </c>
      <c r="R179" s="29">
        <v>0</v>
      </c>
      <c r="S179" s="29" t="s">
        <v>548</v>
      </c>
      <c r="T179" s="29">
        <v>1</v>
      </c>
      <c r="U179" s="29">
        <v>18</v>
      </c>
      <c r="V179" s="29" t="s">
        <v>551</v>
      </c>
      <c r="W179" s="30">
        <v>4.32</v>
      </c>
      <c r="Y179" s="29">
        <v>999</v>
      </c>
      <c r="Z179" s="29" t="s">
        <v>551</v>
      </c>
      <c r="AA179" s="62"/>
      <c r="AB179" s="29">
        <v>1</v>
      </c>
      <c r="AC179" s="29">
        <v>2</v>
      </c>
      <c r="AD179" s="29" t="s">
        <v>551</v>
      </c>
      <c r="AE179" s="62">
        <v>0.48</v>
      </c>
      <c r="AF179" s="29" t="s">
        <v>548</v>
      </c>
      <c r="AG179" s="29" t="s">
        <v>546</v>
      </c>
      <c r="AH179" s="29" t="s">
        <v>548</v>
      </c>
      <c r="AI179" s="29" t="s">
        <v>546</v>
      </c>
      <c r="AJ179" s="29" t="s">
        <v>548</v>
      </c>
      <c r="AK179" s="29">
        <v>3</v>
      </c>
      <c r="AL179" s="29">
        <v>3</v>
      </c>
      <c r="AM179" s="29" t="s">
        <v>1255</v>
      </c>
      <c r="AN179" s="29" t="s">
        <v>1256</v>
      </c>
      <c r="AO179" s="29">
        <v>-4.2891998291015625</v>
      </c>
      <c r="AP179" s="29">
        <v>35.631736755371094</v>
      </c>
      <c r="AQ179" s="29">
        <v>1412.699951171875</v>
      </c>
      <c r="AR179" s="29">
        <v>10</v>
      </c>
      <c r="AS179" s="29">
        <v>1705231439</v>
      </c>
      <c r="AT179" s="29" t="s">
        <v>1257</v>
      </c>
      <c r="AU179" s="31">
        <v>42907.841643518521</v>
      </c>
      <c r="AV179" s="31">
        <v>42900.595636574071</v>
      </c>
      <c r="AW179" s="31">
        <v>42901.347002314811</v>
      </c>
      <c r="AX179" s="32">
        <v>42748</v>
      </c>
      <c r="AY179" s="39"/>
      <c r="AZ179" s="44">
        <v>3.9316483516483514</v>
      </c>
      <c r="BA179" s="44">
        <v>3.9758241758241764</v>
      </c>
      <c r="BB179" s="44">
        <v>1.6735714285714287</v>
      </c>
      <c r="BC179" s="44">
        <v>2.6794047619047618</v>
      </c>
      <c r="BD179" s="29" t="s">
        <v>2184</v>
      </c>
      <c r="BE179" s="29">
        <v>7.1427602767899998</v>
      </c>
      <c r="BF179" s="29" t="str">
        <f>IF(BE179&lt;0.5,"Depression",IF(BE179&lt;2,"Very gentle",IF(BE179&lt;5,"Gentle",IF(BE179&lt;9,"Moderate",IF(BE179&lt;15,"Strong",IF(BE179&lt;30,"Steep",IF(BE179&lt;1,"Very steep")))))))</f>
        <v>Moderate</v>
      </c>
      <c r="BG179" s="29" t="s">
        <v>2176</v>
      </c>
      <c r="BH179" s="29">
        <v>-1.08769440651</v>
      </c>
      <c r="BI179" s="43">
        <v>8.0898132324199992</v>
      </c>
      <c r="BJ179" s="43">
        <f>VLOOKUP(D179,[1]SoilData!$G$15:$K$237,5,FALSE)</f>
        <v>67.109727432360799</v>
      </c>
      <c r="BK179" s="43">
        <f>VLOOKUP(D179,[1]SoilData!$G$245:$K$451,5,FALSE)</f>
        <v>247.81986358543793</v>
      </c>
      <c r="BL179" s="43">
        <f>VLOOKUP(D179,[1]SoilData!$G$15:$M$238,7,FALSE)</f>
        <v>0.46100000000000002</v>
      </c>
      <c r="BM179" s="43">
        <f>VLOOKUP(D179,[1]SoilData!$G$245:$M$454,7,FALSE)</f>
        <v>0.86399999999999999</v>
      </c>
      <c r="BN179" s="60">
        <f>BL179-BM179</f>
        <v>-0.40299999999999997</v>
      </c>
      <c r="BO179" s="44">
        <f>AVERAGE(BB179:BC179)</f>
        <v>2.1764880952380952</v>
      </c>
      <c r="BP179" s="44">
        <f>AVERAGE(AZ179:BA179)</f>
        <v>3.9537362637362641</v>
      </c>
      <c r="BQ179" s="43">
        <f>BP179-BO179</f>
        <v>1.7772481684981689</v>
      </c>
      <c r="BR179" s="64">
        <f>IF(W179&gt;0.000001,W179*352,0)</f>
        <v>1520.64</v>
      </c>
      <c r="BS179" s="64">
        <f>IF(AE179&gt;0.0001,AE179*682,0)</f>
        <v>327.36</v>
      </c>
      <c r="BT179" s="64">
        <f>AA179*795</f>
        <v>0</v>
      </c>
      <c r="BU179" s="64">
        <f>BR179+BS179+BT179</f>
        <v>1848</v>
      </c>
      <c r="BV179" s="64">
        <f>IF(G179="YES",3.5*18.2,0)</f>
        <v>63.699999999999996</v>
      </c>
      <c r="BW179" s="64">
        <f>BU179-BV179</f>
        <v>1784.3</v>
      </c>
    </row>
    <row r="180" spans="1:75" x14ac:dyDescent="0.15">
      <c r="A180" s="29" t="s">
        <v>789</v>
      </c>
      <c r="B180" s="29">
        <v>78</v>
      </c>
      <c r="C180" s="29" t="s">
        <v>382</v>
      </c>
      <c r="D180" s="29" t="s">
        <v>382</v>
      </c>
      <c r="E180" s="29" t="str">
        <f>VLOOKUP(D180,Harvest_2017_Formulae!$C$2:$D$968,2,FALSE)</f>
        <v>SABILO</v>
      </c>
      <c r="F180" s="29" t="s">
        <v>1175</v>
      </c>
      <c r="G180" s="61" t="s">
        <v>548</v>
      </c>
      <c r="H180" s="29" t="s">
        <v>568</v>
      </c>
      <c r="I180" s="29" t="s">
        <v>548</v>
      </c>
      <c r="J180" s="29" t="s">
        <v>546</v>
      </c>
      <c r="K180" s="29" t="s">
        <v>548</v>
      </c>
      <c r="L180" s="29" t="s">
        <v>2221</v>
      </c>
      <c r="M180" s="29" t="s">
        <v>548</v>
      </c>
      <c r="N180" s="29" t="s">
        <v>548</v>
      </c>
      <c r="O180" s="29" t="s">
        <v>793</v>
      </c>
      <c r="P180" s="29">
        <v>0.25</v>
      </c>
      <c r="Q180" s="29">
        <v>7.25</v>
      </c>
      <c r="R180" s="29">
        <v>0</v>
      </c>
      <c r="S180" s="29" t="s">
        <v>548</v>
      </c>
      <c r="T180" s="29">
        <v>1</v>
      </c>
      <c r="U180" s="29">
        <v>6</v>
      </c>
      <c r="V180" s="29" t="s">
        <v>551</v>
      </c>
      <c r="W180" s="30">
        <v>1.4400000000000002</v>
      </c>
      <c r="Y180" s="29">
        <v>999</v>
      </c>
      <c r="Z180" s="29" t="s">
        <v>551</v>
      </c>
      <c r="AA180" s="62"/>
      <c r="AB180" s="29">
        <v>1</v>
      </c>
      <c r="AC180" s="29">
        <v>1.5</v>
      </c>
      <c r="AD180" s="29" t="s">
        <v>551</v>
      </c>
      <c r="AE180" s="62">
        <v>0.36</v>
      </c>
      <c r="AF180" s="29" t="s">
        <v>546</v>
      </c>
      <c r="AG180" s="29" t="s">
        <v>548</v>
      </c>
      <c r="AH180" s="29" t="s">
        <v>546</v>
      </c>
      <c r="AI180" s="29" t="s">
        <v>548</v>
      </c>
      <c r="AJ180" s="29" t="s">
        <v>546</v>
      </c>
      <c r="AK180" s="29">
        <v>2</v>
      </c>
      <c r="AL180" s="29">
        <v>4</v>
      </c>
      <c r="AM180" s="29" t="s">
        <v>1224</v>
      </c>
      <c r="AN180" s="29" t="s">
        <v>1225</v>
      </c>
      <c r="AO180" s="29">
        <v>-4.3346128463745117</v>
      </c>
      <c r="AP180" s="29">
        <v>35.475700378417969</v>
      </c>
      <c r="AQ180" s="29">
        <v>1582.699951171875</v>
      </c>
      <c r="AR180" s="29">
        <v>15</v>
      </c>
      <c r="AS180" s="29">
        <v>1705231439</v>
      </c>
      <c r="AT180" s="29" t="s">
        <v>1226</v>
      </c>
      <c r="AU180" s="31">
        <v>42923.387118055558</v>
      </c>
      <c r="AV180" s="31">
        <v>42906.642939814818</v>
      </c>
      <c r="AW180" s="31">
        <v>42923.383506944447</v>
      </c>
      <c r="AX180" s="32">
        <v>42768</v>
      </c>
      <c r="AY180" s="34"/>
      <c r="AZ180" s="44"/>
      <c r="BA180" s="44">
        <v>2.9973099415204687</v>
      </c>
      <c r="BB180" s="44">
        <v>2.1672514619883048</v>
      </c>
      <c r="BC180" s="44">
        <v>2.5178362573099422</v>
      </c>
      <c r="BD180" s="29" t="s">
        <v>2171</v>
      </c>
      <c r="BE180" s="29">
        <v>1.38136291504</v>
      </c>
      <c r="BF180" s="29" t="str">
        <f>IF(BE180&lt;0.5,"Depression",IF(BE180&lt;2,"Very gentle",IF(BE180&lt;5,"Gentle",IF(BE180&lt;9,"Moderate",IF(BE180&lt;15,"Strong",IF(BE180&lt;30,"Steep",IF(BE180&lt;1,"Very steep")))))))</f>
        <v>Very gentle</v>
      </c>
      <c r="BG180" s="29" t="s">
        <v>2173</v>
      </c>
      <c r="BH180" s="29">
        <v>8.4776775111099995E-6</v>
      </c>
      <c r="BI180" s="43">
        <v>11.080575942999999</v>
      </c>
      <c r="BJ180" s="43">
        <f>VLOOKUP(D180,[1]SoilData!$G$15:$K$237,5,FALSE)</f>
        <v>367.93050512832872</v>
      </c>
      <c r="BK180" s="43">
        <f>VLOOKUP(D180,[1]SoilData!$G$245:$K$451,5,FALSE)</f>
        <v>302.81396446284987</v>
      </c>
      <c r="BL180" s="43">
        <f>VLOOKUP(D180,[1]SoilData!$G$15:$M$238,7,FALSE)</f>
        <v>1.5589999999999999</v>
      </c>
      <c r="BM180" s="43">
        <f>VLOOKUP(D180,[1]SoilData!$G$245:$M$454,7,FALSE)</f>
        <v>1.304</v>
      </c>
      <c r="BN180" s="60">
        <f>BL180-BM180</f>
        <v>0.25499999999999989</v>
      </c>
      <c r="BO180" s="44">
        <f>AVERAGE(BB180:BC180)</f>
        <v>2.3425438596491235</v>
      </c>
      <c r="BP180" s="44">
        <f>AVERAGE(AZ180:BA180)</f>
        <v>2.9973099415204687</v>
      </c>
      <c r="BQ180" s="43">
        <f>BP180-BO180</f>
        <v>0.65476608187134522</v>
      </c>
      <c r="BR180" s="64">
        <f>IF(W180&gt;0.000001,W180*352,0)</f>
        <v>506.88000000000005</v>
      </c>
      <c r="BS180" s="64">
        <f>IF(AE180&gt;0.0001,AE180*682,0)</f>
        <v>245.51999999999998</v>
      </c>
      <c r="BT180" s="64">
        <f>AA180*795</f>
        <v>0</v>
      </c>
      <c r="BU180" s="64">
        <f>BR180+BS180+BT180</f>
        <v>752.40000000000009</v>
      </c>
      <c r="BV180" s="64">
        <f>IF(G180="YES",3.5*18.2,0)</f>
        <v>63.699999999999996</v>
      </c>
      <c r="BW180" s="64">
        <f>BU180-BV180</f>
        <v>688.7</v>
      </c>
    </row>
    <row r="181" spans="1:75" x14ac:dyDescent="0.15">
      <c r="A181" s="29" t="s">
        <v>789</v>
      </c>
      <c r="B181" s="29">
        <v>47</v>
      </c>
      <c r="C181" s="29" t="s">
        <v>363</v>
      </c>
      <c r="D181" s="29" t="s">
        <v>363</v>
      </c>
      <c r="E181" s="29" t="str">
        <f>VLOOKUP(D181,Harvest_2017_Formulae!$C$2:$D$968,2,FALSE)</f>
        <v>MANDI</v>
      </c>
      <c r="F181" s="29" t="s">
        <v>1014</v>
      </c>
      <c r="G181" s="61" t="s">
        <v>548</v>
      </c>
      <c r="H181" s="29" t="s">
        <v>568</v>
      </c>
      <c r="I181" s="29" t="s">
        <v>548</v>
      </c>
      <c r="J181" s="29" t="s">
        <v>546</v>
      </c>
      <c r="K181" s="29" t="s">
        <v>548</v>
      </c>
      <c r="L181" s="29" t="s">
        <v>2221</v>
      </c>
      <c r="M181" s="29" t="s">
        <v>548</v>
      </c>
      <c r="N181" s="29" t="s">
        <v>548</v>
      </c>
      <c r="O181" s="29" t="s">
        <v>793</v>
      </c>
      <c r="P181" s="29">
        <v>0.25</v>
      </c>
      <c r="Q181" s="29">
        <v>5</v>
      </c>
      <c r="R181" s="29">
        <v>0</v>
      </c>
      <c r="S181" s="29" t="s">
        <v>548</v>
      </c>
      <c r="T181" s="29">
        <v>1</v>
      </c>
      <c r="U181" s="29">
        <v>8</v>
      </c>
      <c r="V181" s="29" t="s">
        <v>551</v>
      </c>
      <c r="W181" s="30">
        <v>1.92</v>
      </c>
      <c r="Y181" s="29">
        <v>999</v>
      </c>
      <c r="Z181" s="29" t="s">
        <v>551</v>
      </c>
      <c r="AA181" s="62"/>
      <c r="AC181" s="29">
        <v>999</v>
      </c>
      <c r="AD181" s="29" t="s">
        <v>551</v>
      </c>
      <c r="AE181" s="62"/>
      <c r="AF181" s="29" t="s">
        <v>546</v>
      </c>
      <c r="AG181" s="29" t="s">
        <v>548</v>
      </c>
      <c r="AH181" s="29" t="s">
        <v>546</v>
      </c>
      <c r="AI181" s="29" t="s">
        <v>548</v>
      </c>
      <c r="AJ181" s="29" t="s">
        <v>546</v>
      </c>
      <c r="AK181" s="29">
        <v>2</v>
      </c>
      <c r="AL181" s="29">
        <v>1</v>
      </c>
      <c r="AM181" s="29" t="s">
        <v>1024</v>
      </c>
      <c r="AN181" s="29" t="s">
        <v>1025</v>
      </c>
      <c r="AO181" s="29">
        <v>-4.3403301239013672</v>
      </c>
      <c r="AP181" s="29">
        <v>35.421199798583984</v>
      </c>
      <c r="AQ181" s="29">
        <v>1633.300048828125</v>
      </c>
      <c r="AR181" s="29">
        <v>5</v>
      </c>
      <c r="AS181" s="29">
        <v>1705231439</v>
      </c>
      <c r="AT181" s="29" t="s">
        <v>1026</v>
      </c>
      <c r="AU181" s="31">
        <v>42923.381678240738</v>
      </c>
      <c r="AV181" s="31">
        <v>42907.599710648152</v>
      </c>
      <c r="AW181" s="31">
        <v>42923.380555555559</v>
      </c>
      <c r="AX181" s="32">
        <v>42763</v>
      </c>
      <c r="AZ181" s="44">
        <v>3.0330158730158736</v>
      </c>
      <c r="BA181" s="44">
        <v>3.1222222222222231</v>
      </c>
      <c r="BB181" s="44">
        <v>3.1851851851851856</v>
      </c>
      <c r="BC181" s="44">
        <v>3.0577777777777784</v>
      </c>
      <c r="BD181" s="29" t="s">
        <v>2171</v>
      </c>
      <c r="BE181" s="29">
        <v>3.7037451267199999</v>
      </c>
      <c r="BF181" s="29" t="str">
        <f>IF(BE181&lt;0.5,"Depression",IF(BE181&lt;2,"Very gentle",IF(BE181&lt;5,"Gentle",IF(BE181&lt;9,"Moderate",IF(BE181&lt;15,"Strong",IF(BE181&lt;30,"Steep",IF(BE181&lt;1,"Very steep")))))))</f>
        <v>Gentle</v>
      </c>
      <c r="BG181" s="29" t="s">
        <v>2173</v>
      </c>
      <c r="BH181" s="29">
        <v>-0.18127532303300001</v>
      </c>
      <c r="BI181" s="43">
        <v>8.8814735412600001</v>
      </c>
      <c r="BJ181" s="43"/>
      <c r="BK181" s="43">
        <f>VLOOKUP(D181,[1]SoilData!$G$245:$K$451,5,FALSE)</f>
        <v>297.70678480281219</v>
      </c>
      <c r="BL181" s="43"/>
      <c r="BM181" s="43">
        <f>VLOOKUP(D181,[1]SoilData!$G$245:$M$454,7,FALSE)</f>
        <v>1.4630000000000001</v>
      </c>
      <c r="BN181" s="60"/>
      <c r="BO181" s="44">
        <f>AVERAGE(BB181:BC181)</f>
        <v>3.121481481481482</v>
      </c>
      <c r="BP181" s="44">
        <f>AVERAGE(AZ181:BA181)</f>
        <v>3.0776190476190486</v>
      </c>
      <c r="BQ181" s="43">
        <f>BP181-BO181</f>
        <v>-4.3862433862433381E-2</v>
      </c>
      <c r="BR181" s="64">
        <f>IF(W181&gt;0.000001,W181*352,0)</f>
        <v>675.83999999999992</v>
      </c>
      <c r="BS181" s="64">
        <f>IF(AE181&gt;0.0001,AE181*682,0)</f>
        <v>0</v>
      </c>
      <c r="BT181" s="64">
        <f>AA181*795</f>
        <v>0</v>
      </c>
      <c r="BU181" s="64">
        <f>BR181+BS181+BT181</f>
        <v>675.83999999999992</v>
      </c>
      <c r="BV181" s="64">
        <f>IF(G181="YES",3.5*18.2,0)</f>
        <v>63.699999999999996</v>
      </c>
      <c r="BW181" s="64">
        <f>BU181-BV181</f>
        <v>612.13999999999987</v>
      </c>
    </row>
    <row r="182" spans="1:75" x14ac:dyDescent="0.15">
      <c r="A182" s="29" t="s">
        <v>789</v>
      </c>
      <c r="B182" s="29">
        <v>38</v>
      </c>
      <c r="C182" s="29" t="s">
        <v>1251</v>
      </c>
      <c r="D182" s="34" t="s">
        <v>259</v>
      </c>
      <c r="E182" s="29" t="str">
        <f>VLOOKUP(D182,Harvest_2017_Formulae!$C$2:$D$968,2,FALSE)</f>
        <v>Sangara</v>
      </c>
      <c r="F182" s="29" t="s">
        <v>1014</v>
      </c>
      <c r="G182" s="61" t="s">
        <v>548</v>
      </c>
      <c r="H182" s="29" t="s">
        <v>568</v>
      </c>
      <c r="I182" s="29" t="s">
        <v>548</v>
      </c>
      <c r="J182" s="29" t="s">
        <v>546</v>
      </c>
      <c r="K182" s="29" t="s">
        <v>548</v>
      </c>
      <c r="L182" s="29" t="s">
        <v>2221</v>
      </c>
      <c r="M182" s="29" t="s">
        <v>548</v>
      </c>
      <c r="N182" s="29" t="s">
        <v>546</v>
      </c>
      <c r="O182" s="29" t="s">
        <v>547</v>
      </c>
      <c r="P182" s="29">
        <v>0.5</v>
      </c>
      <c r="Q182" s="29">
        <v>2</v>
      </c>
      <c r="R182" s="29">
        <v>0</v>
      </c>
      <c r="S182" s="29" t="s">
        <v>548</v>
      </c>
      <c r="T182" s="29">
        <v>1</v>
      </c>
      <c r="U182" s="29">
        <v>4</v>
      </c>
      <c r="V182" s="29" t="s">
        <v>551</v>
      </c>
      <c r="W182" s="30">
        <v>0.96</v>
      </c>
      <c r="X182" s="29">
        <v>1</v>
      </c>
      <c r="Y182" s="29">
        <v>0.33000001311302185</v>
      </c>
      <c r="Z182" s="29" t="s">
        <v>551</v>
      </c>
      <c r="AA182" s="62">
        <v>7.9200003147125247E-2</v>
      </c>
      <c r="AB182" s="29">
        <v>1</v>
      </c>
      <c r="AC182" s="29">
        <v>0.93999999761581421</v>
      </c>
      <c r="AD182" s="29" t="s">
        <v>551</v>
      </c>
      <c r="AE182" s="62">
        <v>0.22559999942779541</v>
      </c>
      <c r="AF182" s="29" t="s">
        <v>548</v>
      </c>
      <c r="AG182" s="29" t="s">
        <v>546</v>
      </c>
      <c r="AH182" s="29" t="s">
        <v>546</v>
      </c>
      <c r="AI182" s="29" t="s">
        <v>546</v>
      </c>
      <c r="AJ182" s="29" t="s">
        <v>546</v>
      </c>
      <c r="AK182" s="29">
        <v>1</v>
      </c>
      <c r="AL182" s="29">
        <v>5</v>
      </c>
      <c r="AM182" s="29" t="s">
        <v>1252</v>
      </c>
      <c r="AN182" s="29" t="s">
        <v>1253</v>
      </c>
      <c r="AO182" s="29">
        <v>-4.2796154022216797</v>
      </c>
      <c r="AP182" s="29">
        <v>35.622867584228516</v>
      </c>
      <c r="AQ182" s="29">
        <v>1456.800048828125</v>
      </c>
      <c r="AR182" s="29">
        <v>5</v>
      </c>
      <c r="AS182" s="29">
        <v>1705231439</v>
      </c>
      <c r="AT182" s="29" t="s">
        <v>1254</v>
      </c>
      <c r="AU182" s="31">
        <v>42908.292673611111</v>
      </c>
      <c r="AV182" s="31">
        <v>42899.559224537035</v>
      </c>
      <c r="AW182" s="31">
        <v>42908.289618055554</v>
      </c>
      <c r="AX182" s="32">
        <v>42745</v>
      </c>
      <c r="AZ182" s="44"/>
      <c r="BA182" s="44"/>
      <c r="BB182" s="44"/>
      <c r="BC182" s="44"/>
      <c r="BD182" s="29" t="s">
        <v>2179</v>
      </c>
      <c r="BE182" s="29">
        <v>10.1358776093</v>
      </c>
      <c r="BF182" s="29" t="str">
        <f>IF(BE182&lt;0.5,"Depression",IF(BE182&lt;2,"Very gentle",IF(BE182&lt;5,"Gentle",IF(BE182&lt;9,"Moderate",IF(BE182&lt;15,"Strong",IF(BE182&lt;30,"Steep",IF(BE182&lt;1,"Very steep")))))))</f>
        <v>Strong</v>
      </c>
      <c r="BG182" s="29" t="s">
        <v>2178</v>
      </c>
      <c r="BH182" s="29">
        <v>9.0650379657699995E-2</v>
      </c>
      <c r="BI182" s="43">
        <v>7.9497685432400003</v>
      </c>
      <c r="BJ182" s="43"/>
      <c r="BK182" s="43"/>
      <c r="BL182" s="43"/>
      <c r="BM182" s="43"/>
      <c r="BN182" s="60"/>
      <c r="BO182" s="44"/>
      <c r="BP182" s="44"/>
      <c r="BQ182" s="43"/>
      <c r="BR182" s="64">
        <f>IF(W182&gt;0.000001,W182*352,0)</f>
        <v>337.91999999999996</v>
      </c>
      <c r="BS182" s="64">
        <f>IF(AE182&gt;0.0001,AE182*682,0)</f>
        <v>153.85919960975647</v>
      </c>
      <c r="BT182" s="64">
        <f>AA182*795</f>
        <v>62.964002501964572</v>
      </c>
      <c r="BU182" s="64">
        <f>BR182+BS182+BT182</f>
        <v>554.74320211172108</v>
      </c>
      <c r="BV182" s="64">
        <f>IF(G182="YES",3.5*18.2,0)</f>
        <v>63.699999999999996</v>
      </c>
      <c r="BW182" s="64">
        <f>BU182-BV182</f>
        <v>491.04320211172109</v>
      </c>
    </row>
    <row r="183" spans="1:75" x14ac:dyDescent="0.15">
      <c r="A183" s="29" t="s">
        <v>841</v>
      </c>
      <c r="B183" s="29">
        <v>249</v>
      </c>
      <c r="C183" s="29" t="s">
        <v>926</v>
      </c>
      <c r="D183" s="33" t="s">
        <v>167</v>
      </c>
      <c r="E183" s="29" t="str">
        <f>VLOOKUP(D183,Harvest_2017_Formulae!$C$2:$D$968,2,FALSE)</f>
        <v>ENDANOGA</v>
      </c>
      <c r="F183" s="29" t="s">
        <v>843</v>
      </c>
      <c r="G183" s="61" t="s">
        <v>548</v>
      </c>
      <c r="H183" s="29" t="s">
        <v>568</v>
      </c>
      <c r="I183" s="29" t="s">
        <v>546</v>
      </c>
      <c r="J183" s="29" t="s">
        <v>546</v>
      </c>
      <c r="K183" s="29" t="s">
        <v>548</v>
      </c>
      <c r="L183" s="29" t="s">
        <v>2220</v>
      </c>
      <c r="M183" s="29" t="s">
        <v>548</v>
      </c>
      <c r="N183" s="29" t="s">
        <v>546</v>
      </c>
      <c r="O183" s="29" t="s">
        <v>547</v>
      </c>
      <c r="P183" s="29">
        <v>0.25</v>
      </c>
      <c r="Q183" s="29">
        <v>0</v>
      </c>
      <c r="R183" s="29">
        <v>4.75</v>
      </c>
      <c r="S183" s="29" t="s">
        <v>546</v>
      </c>
      <c r="T183" s="29">
        <v>3</v>
      </c>
      <c r="U183" s="29">
        <v>15</v>
      </c>
      <c r="V183" s="29" t="s">
        <v>551</v>
      </c>
      <c r="W183" s="30">
        <v>1.2</v>
      </c>
      <c r="Z183" s="29" t="s">
        <v>551</v>
      </c>
      <c r="AA183" s="62"/>
      <c r="AB183" s="29">
        <v>3</v>
      </c>
      <c r="AC183" s="29">
        <v>5</v>
      </c>
      <c r="AD183" s="29" t="s">
        <v>551</v>
      </c>
      <c r="AE183" s="62">
        <v>0.39999999999999997</v>
      </c>
      <c r="AF183" s="29" t="s">
        <v>548</v>
      </c>
      <c r="AG183" s="29" t="s">
        <v>548</v>
      </c>
      <c r="AH183" s="29" t="s">
        <v>548</v>
      </c>
      <c r="AI183" s="29" t="s">
        <v>548</v>
      </c>
      <c r="AJ183" s="29" t="s">
        <v>548</v>
      </c>
      <c r="AK183" s="29">
        <v>5</v>
      </c>
      <c r="AL183" s="29">
        <v>3</v>
      </c>
      <c r="AM183" s="29" t="s">
        <v>927</v>
      </c>
      <c r="AN183" s="29" t="s">
        <v>928</v>
      </c>
      <c r="AO183" s="29">
        <v>-4.2664370536804199</v>
      </c>
      <c r="AP183" s="29">
        <v>35.852615356445312</v>
      </c>
      <c r="AQ183" s="29">
        <v>1339.9000244140625</v>
      </c>
      <c r="AR183" s="29">
        <v>5</v>
      </c>
      <c r="AS183" s="29">
        <v>1706031849</v>
      </c>
      <c r="AT183" s="29" t="s">
        <v>929</v>
      </c>
      <c r="AU183" s="31">
        <v>42978.591354166667</v>
      </c>
      <c r="AV183" s="31">
        <v>42895.651898148149</v>
      </c>
      <c r="AW183" s="31">
        <v>42978.589467592596</v>
      </c>
      <c r="AX183" s="32">
        <v>42794</v>
      </c>
      <c r="AZ183" s="44">
        <v>4.7725378787878787</v>
      </c>
      <c r="BA183" s="44">
        <v>5.5857954545454538</v>
      </c>
      <c r="BB183" s="44">
        <v>2.7472131147540986</v>
      </c>
      <c r="BC183" s="44">
        <v>1.9872131147540983</v>
      </c>
      <c r="BD183" s="29" t="s">
        <v>2171</v>
      </c>
      <c r="BE183" s="29">
        <v>2.2105906009699998</v>
      </c>
      <c r="BF183" s="29" t="str">
        <f>IF(BE183&lt;0.5,"Depression",IF(BE183&lt;2,"Very gentle",IF(BE183&lt;5,"Gentle",IF(BE183&lt;9,"Moderate",IF(BE183&lt;15,"Strong",IF(BE183&lt;30,"Steep",IF(BE183&lt;1,"Very steep")))))))</f>
        <v>Gentle</v>
      </c>
      <c r="BG183" s="29" t="s">
        <v>2177</v>
      </c>
      <c r="BH183" s="29">
        <v>0.906427502632</v>
      </c>
      <c r="BI183" s="43">
        <v>10.7165288925</v>
      </c>
      <c r="BJ183" s="43">
        <f>VLOOKUP(D183,[1]SoilData!$G$15:$K$237,5,FALSE)</f>
        <v>322.34128482882488</v>
      </c>
      <c r="BK183" s="43">
        <f>VLOOKUP(D183,[1]SoilData!$G$245:$K$451,5,FALSE)</f>
        <v>103.59572661596685</v>
      </c>
      <c r="BL183" s="43">
        <f>VLOOKUP(D183,[1]SoilData!$G$15:$M$238,7,FALSE)</f>
        <v>1.1739999999999999</v>
      </c>
      <c r="BM183" s="43">
        <f>VLOOKUP(D183,[1]SoilData!$G$245:$M$454,7,FALSE)</f>
        <v>0.64100000000000001</v>
      </c>
      <c r="BN183" s="60">
        <f>BL183-BM183</f>
        <v>0.53299999999999992</v>
      </c>
      <c r="BO183" s="44">
        <f>AVERAGE(BB183:BC183)</f>
        <v>2.3672131147540982</v>
      </c>
      <c r="BP183" s="44">
        <f>AVERAGE(AZ183:BA183)</f>
        <v>5.1791666666666663</v>
      </c>
      <c r="BQ183" s="43">
        <f>BP183-BO183</f>
        <v>2.811953551912568</v>
      </c>
      <c r="BR183" s="64">
        <f>IF(W183&gt;0.000001,W183*352,0)</f>
        <v>422.4</v>
      </c>
      <c r="BS183" s="64">
        <f>IF(AE183&gt;0.0001,AE183*682,0)</f>
        <v>272.79999999999995</v>
      </c>
      <c r="BT183" s="64">
        <f>AA183*795</f>
        <v>0</v>
      </c>
      <c r="BU183" s="64">
        <f>BR183+BS183+BT183</f>
        <v>695.19999999999993</v>
      </c>
      <c r="BV183" s="64">
        <f>IF(G183="YES",3.5*18.2,0)</f>
        <v>63.699999999999996</v>
      </c>
      <c r="BW183" s="64">
        <f>BU183-BV183</f>
        <v>631.49999999999989</v>
      </c>
    </row>
    <row r="184" spans="1:75" x14ac:dyDescent="0.15">
      <c r="A184" s="29" t="s">
        <v>556</v>
      </c>
      <c r="B184" s="29">
        <v>169</v>
      </c>
      <c r="C184" s="29" t="s">
        <v>340</v>
      </c>
      <c r="D184" s="29" t="s">
        <v>340</v>
      </c>
      <c r="E184" s="29" t="str">
        <f>VLOOKUP(D184,Harvest_2017_Formulae!$C$2:$D$968,2,FALSE)</f>
        <v>DURU</v>
      </c>
      <c r="F184" s="29" t="s">
        <v>645</v>
      </c>
      <c r="G184" s="61" t="s">
        <v>548</v>
      </c>
      <c r="H184" s="29" t="s">
        <v>568</v>
      </c>
      <c r="I184" s="29" t="s">
        <v>548</v>
      </c>
      <c r="J184" s="29" t="s">
        <v>546</v>
      </c>
      <c r="K184" s="29" t="s">
        <v>548</v>
      </c>
      <c r="L184" s="29" t="s">
        <v>2221</v>
      </c>
      <c r="M184" s="29" t="s">
        <v>546</v>
      </c>
      <c r="N184" s="29" t="s">
        <v>548</v>
      </c>
      <c r="O184" s="29" t="s">
        <v>550</v>
      </c>
      <c r="P184" s="29">
        <v>0.25</v>
      </c>
      <c r="Q184" s="29">
        <v>7.75</v>
      </c>
      <c r="R184" s="29">
        <v>0</v>
      </c>
      <c r="S184" s="29" t="s">
        <v>546</v>
      </c>
      <c r="T184" s="29">
        <v>8</v>
      </c>
      <c r="U184" s="29">
        <v>60</v>
      </c>
      <c r="V184" s="29" t="s">
        <v>551</v>
      </c>
      <c r="W184" s="30">
        <v>1.7999999999999998</v>
      </c>
      <c r="Y184" s="29">
        <v>999</v>
      </c>
      <c r="Z184" s="29" t="s">
        <v>551</v>
      </c>
      <c r="AA184" s="62"/>
      <c r="AB184" s="29">
        <v>8</v>
      </c>
      <c r="AC184" s="29">
        <v>12</v>
      </c>
      <c r="AD184" s="29" t="s">
        <v>551</v>
      </c>
      <c r="AE184" s="62">
        <v>0.36</v>
      </c>
      <c r="AF184" s="29" t="s">
        <v>546</v>
      </c>
      <c r="AG184" s="29" t="s">
        <v>546</v>
      </c>
      <c r="AH184" s="29" t="s">
        <v>546</v>
      </c>
      <c r="AI184" s="29" t="s">
        <v>546</v>
      </c>
      <c r="AJ184" s="29" t="s">
        <v>548</v>
      </c>
      <c r="AK184" s="29">
        <v>1</v>
      </c>
      <c r="AL184" s="29">
        <v>4</v>
      </c>
      <c r="AM184" s="29" t="s">
        <v>725</v>
      </c>
      <c r="AN184" s="29" t="s">
        <v>726</v>
      </c>
      <c r="AO184" s="29">
        <v>-4.3723134994506836</v>
      </c>
      <c r="AP184" s="29">
        <v>35.598838806152344</v>
      </c>
      <c r="AQ184" s="29">
        <v>1537.699951171875</v>
      </c>
      <c r="AR184" s="29">
        <v>5</v>
      </c>
      <c r="AS184" s="29">
        <v>1706031849</v>
      </c>
      <c r="AT184" s="29" t="s">
        <v>727</v>
      </c>
      <c r="AU184" s="31">
        <v>42921.432650462964</v>
      </c>
      <c r="AV184" s="31">
        <v>42920.408738425926</v>
      </c>
      <c r="AW184" s="31">
        <v>42920.41783564815</v>
      </c>
      <c r="AX184" s="32">
        <v>42760</v>
      </c>
      <c r="AZ184" s="44">
        <v>4.0266666666666664</v>
      </c>
      <c r="BA184" s="44">
        <v>2.8933333333333331</v>
      </c>
      <c r="BB184" s="44">
        <v>2.1811265432098765</v>
      </c>
      <c r="BC184" s="44">
        <v>2.2536111111111112</v>
      </c>
      <c r="BD184" s="29" t="s">
        <v>2171</v>
      </c>
      <c r="BE184" s="29">
        <v>2.6241705417599999</v>
      </c>
      <c r="BF184" s="29" t="str">
        <f>IF(BE184&lt;0.5,"Depression",IF(BE184&lt;2,"Very gentle",IF(BE184&lt;5,"Gentle",IF(BE184&lt;9,"Moderate",IF(BE184&lt;15,"Strong",IF(BE184&lt;30,"Steep",IF(BE184&lt;1,"Very steep")))))))</f>
        <v>Gentle</v>
      </c>
      <c r="BG184" s="29" t="s">
        <v>2172</v>
      </c>
      <c r="BH184" s="29">
        <v>-0.54384291171999999</v>
      </c>
      <c r="BI184" s="43">
        <v>12.4529352188</v>
      </c>
      <c r="BJ184" s="43">
        <f>VLOOKUP(D184,[1]SoilData!$G$15:$K$237,5,FALSE)</f>
        <v>129.61097753041764</v>
      </c>
      <c r="BK184" s="43">
        <f>VLOOKUP(D184,[1]SoilData!$G$245:$K$451,5,FALSE)</f>
        <v>107.72300129922816</v>
      </c>
      <c r="BL184" s="43">
        <f>VLOOKUP(D184,[1]SoilData!$G$15:$M$238,7,FALSE)</f>
        <v>0.64200000000000002</v>
      </c>
      <c r="BM184" s="43">
        <f>VLOOKUP(D184,[1]SoilData!$G$245:$M$454,7,FALSE)</f>
        <v>0.90100000000000002</v>
      </c>
      <c r="BN184" s="60">
        <f>BL184-BM184</f>
        <v>-0.25900000000000001</v>
      </c>
      <c r="BO184" s="44">
        <f>AVERAGE(BB184:BC184)</f>
        <v>2.2173688271604939</v>
      </c>
      <c r="BP184" s="44">
        <f>AVERAGE(AZ184:BA184)</f>
        <v>3.46</v>
      </c>
      <c r="BQ184" s="43">
        <f>BP184-BO184</f>
        <v>1.2426311728395061</v>
      </c>
      <c r="BR184" s="64">
        <f>IF(W184&gt;0.000001,W184*352,0)</f>
        <v>633.59999999999991</v>
      </c>
      <c r="BS184" s="64">
        <f>IF(AE184&gt;0.0001,AE184*682,0)</f>
        <v>245.51999999999998</v>
      </c>
      <c r="BT184" s="64">
        <f>AA184*795</f>
        <v>0</v>
      </c>
      <c r="BU184" s="64">
        <f>BR184+BS184+BT184</f>
        <v>879.11999999999989</v>
      </c>
      <c r="BV184" s="64">
        <f>IF(G184="YES",3.5*18.2,0)</f>
        <v>63.699999999999996</v>
      </c>
      <c r="BW184" s="64">
        <f>BU184-BV184</f>
        <v>815.41999999999985</v>
      </c>
    </row>
    <row r="185" spans="1:75" x14ac:dyDescent="0.15">
      <c r="A185" s="29" t="s">
        <v>814</v>
      </c>
      <c r="B185" s="29">
        <v>39</v>
      </c>
      <c r="C185" s="29" t="s">
        <v>388</v>
      </c>
      <c r="D185" s="29" t="s">
        <v>388</v>
      </c>
      <c r="E185" s="29" t="str">
        <f>VLOOKUP(D185,Harvest_2017_Formulae!$C$2:$D$968,2,FALSE)</f>
        <v>Sangara</v>
      </c>
      <c r="F185" s="29" t="s">
        <v>1014</v>
      </c>
      <c r="G185" s="61" t="s">
        <v>548</v>
      </c>
      <c r="H185" s="29" t="s">
        <v>568</v>
      </c>
      <c r="I185" s="29" t="s">
        <v>548</v>
      </c>
      <c r="J185" s="29" t="s">
        <v>546</v>
      </c>
      <c r="K185" s="29" t="s">
        <v>548</v>
      </c>
      <c r="L185" s="29" t="s">
        <v>2221</v>
      </c>
      <c r="M185" s="29" t="s">
        <v>548</v>
      </c>
      <c r="N185" s="29" t="s">
        <v>548</v>
      </c>
      <c r="O185" s="29" t="s">
        <v>793</v>
      </c>
      <c r="P185" s="29">
        <v>0.5</v>
      </c>
      <c r="Q185" s="29">
        <v>3.5</v>
      </c>
      <c r="R185" s="29">
        <v>0</v>
      </c>
      <c r="S185" s="29" t="s">
        <v>548</v>
      </c>
      <c r="T185" s="29">
        <v>1</v>
      </c>
      <c r="U185" s="29">
        <v>4</v>
      </c>
      <c r="V185" s="29" t="s">
        <v>551</v>
      </c>
      <c r="W185" s="30">
        <v>0.96</v>
      </c>
      <c r="Y185" s="29">
        <v>999</v>
      </c>
      <c r="Z185" s="29" t="s">
        <v>551</v>
      </c>
      <c r="AA185" s="62"/>
      <c r="AB185" s="29">
        <v>1</v>
      </c>
      <c r="AC185" s="29">
        <v>2.5</v>
      </c>
      <c r="AD185" s="29" t="s">
        <v>551</v>
      </c>
      <c r="AE185" s="62">
        <v>0.6</v>
      </c>
      <c r="AF185" s="29" t="s">
        <v>548</v>
      </c>
      <c r="AG185" s="29" t="s">
        <v>546</v>
      </c>
      <c r="AH185" s="29" t="s">
        <v>546</v>
      </c>
      <c r="AI185" s="29" t="s">
        <v>548</v>
      </c>
      <c r="AJ185" s="29" t="s">
        <v>546</v>
      </c>
      <c r="AK185" s="29">
        <v>2</v>
      </c>
      <c r="AL185" s="29">
        <v>3</v>
      </c>
      <c r="AM185" s="29" t="s">
        <v>1285</v>
      </c>
      <c r="AN185" s="29" t="s">
        <v>1286</v>
      </c>
      <c r="AO185" s="29">
        <v>-4.2792067527770996</v>
      </c>
      <c r="AP185" s="29">
        <v>35.622718811035156</v>
      </c>
      <c r="AQ185" s="29">
        <v>1444.5999755859375</v>
      </c>
      <c r="AR185" s="29">
        <v>10</v>
      </c>
      <c r="AS185" s="29">
        <v>1705231439</v>
      </c>
      <c r="AT185" s="29" t="s">
        <v>1287</v>
      </c>
      <c r="AU185" s="31">
        <v>42908.292662037042</v>
      </c>
      <c r="AV185" s="31">
        <v>42899.535034722227</v>
      </c>
      <c r="AW185" s="31">
        <v>42908.289733796293</v>
      </c>
      <c r="AX185" s="32">
        <v>42747</v>
      </c>
      <c r="AZ185" s="44">
        <v>4.2990643274853815</v>
      </c>
      <c r="BA185" s="44">
        <v>3.3881871345029242</v>
      </c>
      <c r="BB185" s="44">
        <v>4.3005295950155764</v>
      </c>
      <c r="BC185" s="44">
        <v>2.9223676012461062</v>
      </c>
      <c r="BD185" s="29" t="s">
        <v>2179</v>
      </c>
      <c r="BE185" s="29">
        <v>10.1358776093</v>
      </c>
      <c r="BF185" s="29" t="str">
        <f>IF(BE185&lt;0.5,"Depression",IF(BE185&lt;2,"Very gentle",IF(BE185&lt;5,"Gentle",IF(BE185&lt;9,"Moderate",IF(BE185&lt;15,"Strong",IF(BE185&lt;30,"Steep",IF(BE185&lt;1,"Very steep")))))))</f>
        <v>Strong</v>
      </c>
      <c r="BG185" s="29" t="s">
        <v>2178</v>
      </c>
      <c r="BH185" s="29">
        <v>9.0650379657699995E-2</v>
      </c>
      <c r="BI185" s="43">
        <v>7.9497685432400003</v>
      </c>
      <c r="BJ185" s="43">
        <f>VLOOKUP(D185,[1]SoilData!$G$15:$K$237,5,FALSE)</f>
        <v>274.18974685744104</v>
      </c>
      <c r="BK185" s="43">
        <f>VLOOKUP(D185,[1]SoilData!$G$245:$K$451,5,FALSE)</f>
        <v>477.23418444993086</v>
      </c>
      <c r="BL185" s="43">
        <f>VLOOKUP(D185,[1]SoilData!$G$15:$M$238,7,FALSE)</f>
        <v>1.0580000000000001</v>
      </c>
      <c r="BM185" s="43">
        <f>VLOOKUP(D185,[1]SoilData!$G$245:$M$454,7,FALSE)</f>
        <v>0.70699999999999996</v>
      </c>
      <c r="BN185" s="60">
        <f>BL185-BM185</f>
        <v>0.35100000000000009</v>
      </c>
      <c r="BO185" s="44">
        <f>AVERAGE(BB185:BC185)</f>
        <v>3.6114485981308411</v>
      </c>
      <c r="BP185" s="44">
        <f>AVERAGE(AZ185:BA185)</f>
        <v>3.8436257309941526</v>
      </c>
      <c r="BQ185" s="43">
        <f>BP185-BO185</f>
        <v>0.23217713286331154</v>
      </c>
      <c r="BR185" s="64">
        <f>IF(W185&gt;0.000001,W185*352,0)</f>
        <v>337.91999999999996</v>
      </c>
      <c r="BS185" s="64">
        <f>IF(AE185&gt;0.0001,AE185*682,0)</f>
        <v>409.2</v>
      </c>
      <c r="BT185" s="64">
        <f>AA185*795</f>
        <v>0</v>
      </c>
      <c r="BU185" s="64">
        <f>BR185+BS185+BT185</f>
        <v>747.11999999999989</v>
      </c>
      <c r="BV185" s="64">
        <f>IF(G185="YES",3.5*18.2,0)</f>
        <v>63.699999999999996</v>
      </c>
      <c r="BW185" s="64">
        <f>BU185-BV185</f>
        <v>683.41999999999985</v>
      </c>
    </row>
    <row r="186" spans="1:75" x14ac:dyDescent="0.15">
      <c r="A186" s="29" t="s">
        <v>789</v>
      </c>
      <c r="B186" s="29">
        <v>28</v>
      </c>
      <c r="C186" s="29" t="s">
        <v>258</v>
      </c>
      <c r="D186" s="29" t="s">
        <v>258</v>
      </c>
      <c r="E186" s="29" t="str">
        <f>VLOOKUP(D186,Harvest_2017_Formulae!$C$2:$D$968,2,FALSE)</f>
        <v>Sangara</v>
      </c>
      <c r="F186" s="29" t="s">
        <v>1014</v>
      </c>
      <c r="G186" s="61" t="s">
        <v>548</v>
      </c>
      <c r="H186" s="29" t="s">
        <v>568</v>
      </c>
      <c r="I186" s="29" t="s">
        <v>548</v>
      </c>
      <c r="J186" s="29" t="s">
        <v>546</v>
      </c>
      <c r="K186" s="29" t="s">
        <v>548</v>
      </c>
      <c r="L186" s="29" t="s">
        <v>2220</v>
      </c>
      <c r="M186" s="29" t="s">
        <v>546</v>
      </c>
      <c r="N186" s="29" t="s">
        <v>548</v>
      </c>
      <c r="O186" s="29" t="s">
        <v>827</v>
      </c>
      <c r="P186" s="29">
        <v>0.25</v>
      </c>
      <c r="Q186" s="29">
        <v>1.5</v>
      </c>
      <c r="R186" s="29">
        <v>0</v>
      </c>
      <c r="S186" s="29" t="s">
        <v>548</v>
      </c>
      <c r="T186" s="29">
        <v>1</v>
      </c>
      <c r="U186" s="29">
        <v>2.5</v>
      </c>
      <c r="V186" s="29" t="s">
        <v>551</v>
      </c>
      <c r="W186" s="30">
        <v>0.6</v>
      </c>
      <c r="Y186" s="29">
        <v>999</v>
      </c>
      <c r="Z186" s="29" t="s">
        <v>551</v>
      </c>
      <c r="AA186" s="62"/>
      <c r="AB186" s="29">
        <v>1</v>
      </c>
      <c r="AC186" s="29">
        <v>3.5</v>
      </c>
      <c r="AD186" s="29" t="s">
        <v>551</v>
      </c>
      <c r="AE186" s="62">
        <v>0.84</v>
      </c>
      <c r="AF186" s="29" t="s">
        <v>548</v>
      </c>
      <c r="AG186" s="29" t="s">
        <v>548</v>
      </c>
      <c r="AH186" s="29" t="s">
        <v>548</v>
      </c>
      <c r="AI186" s="29" t="s">
        <v>548</v>
      </c>
      <c r="AJ186" s="29" t="s">
        <v>548</v>
      </c>
      <c r="AK186" s="29">
        <v>5</v>
      </c>
      <c r="AL186" s="29">
        <v>4</v>
      </c>
      <c r="AM186" s="29" t="s">
        <v>1248</v>
      </c>
      <c r="AN186" s="29" t="s">
        <v>1249</v>
      </c>
      <c r="AO186" s="29">
        <v>-4.2712640762329102</v>
      </c>
      <c r="AP186" s="29">
        <v>35.6368408203125</v>
      </c>
      <c r="AQ186" s="29">
        <v>1423.699951171875</v>
      </c>
      <c r="AR186" s="29">
        <v>15</v>
      </c>
      <c r="AS186" s="29">
        <v>1705231439</v>
      </c>
      <c r="AT186" s="29" t="s">
        <v>1250</v>
      </c>
      <c r="AU186" s="31">
        <v>42908.292592592596</v>
      </c>
      <c r="AV186" s="31">
        <v>42898.533229166671</v>
      </c>
      <c r="AW186" s="31">
        <v>42908.288321759261</v>
      </c>
      <c r="AX186" s="32">
        <v>42768</v>
      </c>
      <c r="AZ186" s="44">
        <v>3.5788118811881193</v>
      </c>
      <c r="BA186" s="44">
        <v>6.4332673267326745</v>
      </c>
      <c r="BB186" s="44">
        <v>2.4653508771929822</v>
      </c>
      <c r="BC186" s="44">
        <v>4.5389473684210531</v>
      </c>
      <c r="BD186" s="29" t="s">
        <v>2179</v>
      </c>
      <c r="BE186" s="29">
        <v>3.2732591629000001</v>
      </c>
      <c r="BF186" s="29" t="str">
        <f>IF(BE186&lt;0.5,"Depression",IF(BE186&lt;2,"Very gentle",IF(BE186&lt;5,"Gentle",IF(BE186&lt;9,"Moderate",IF(BE186&lt;15,"Strong",IF(BE186&lt;30,"Steep",IF(BE186&lt;1,"Very steep")))))))</f>
        <v>Gentle</v>
      </c>
      <c r="BG186" s="29" t="s">
        <v>2173</v>
      </c>
      <c r="BH186" s="29">
        <v>0.18129228055499999</v>
      </c>
      <c r="BI186" s="43">
        <v>10.637241363499999</v>
      </c>
      <c r="BJ186" s="43">
        <f>VLOOKUP(D186,[1]SoilData!$G$15:$K$237,5,FALSE)</f>
        <v>91.213902566181972</v>
      </c>
      <c r="BK186" s="43">
        <f>VLOOKUP(D186,[1]SoilData!$G$245:$K$451,5,FALSE)</f>
        <v>177.84000152369043</v>
      </c>
      <c r="BL186" s="43">
        <f>VLOOKUP(D186,[1]SoilData!$G$15:$M$238,7,FALSE)</f>
        <v>0.625</v>
      </c>
      <c r="BM186" s="43">
        <f>VLOOKUP(D186,[1]SoilData!$G$245:$M$454,7,FALSE)</f>
        <v>0.93600000000000005</v>
      </c>
      <c r="BN186" s="60">
        <f>BL186-BM186</f>
        <v>-0.31100000000000005</v>
      </c>
      <c r="BO186" s="44">
        <f>AVERAGE(BB186:BC186)</f>
        <v>3.5021491228070176</v>
      </c>
      <c r="BP186" s="44">
        <f>AVERAGE(AZ186:BA186)</f>
        <v>5.0060396039603967</v>
      </c>
      <c r="BQ186" s="43">
        <f>BP186-BO186</f>
        <v>1.5038904811533791</v>
      </c>
      <c r="BR186" s="64">
        <f>IF(W186&gt;0.000001,W186*352,0)</f>
        <v>211.2</v>
      </c>
      <c r="BS186" s="64">
        <f>IF(AE186&gt;0.0001,AE186*682,0)</f>
        <v>572.88</v>
      </c>
      <c r="BT186" s="64">
        <f>AA186*795</f>
        <v>0</v>
      </c>
      <c r="BU186" s="64">
        <f>BR186+BS186+BT186</f>
        <v>784.07999999999993</v>
      </c>
      <c r="BV186" s="64">
        <f>IF(G186="YES",3.5*18.2,0)</f>
        <v>63.699999999999996</v>
      </c>
      <c r="BW186" s="64">
        <f>BU186-BV186</f>
        <v>720.37999999999988</v>
      </c>
    </row>
    <row r="187" spans="1:75" x14ac:dyDescent="0.15">
      <c r="A187" s="29" t="s">
        <v>556</v>
      </c>
      <c r="B187" s="29">
        <v>167</v>
      </c>
      <c r="C187" s="29" t="s">
        <v>708</v>
      </c>
      <c r="D187" s="29" t="s">
        <v>101</v>
      </c>
      <c r="E187" s="29" t="str">
        <f>VLOOKUP(D187,Harvest_2017_Formulae!$C$2:$D$968,2,FALSE)</f>
        <v>DURU</v>
      </c>
      <c r="F187" s="29" t="s">
        <v>645</v>
      </c>
      <c r="G187" s="61" t="s">
        <v>548</v>
      </c>
      <c r="H187" s="29" t="s">
        <v>568</v>
      </c>
      <c r="I187" s="29" t="s">
        <v>546</v>
      </c>
      <c r="J187" s="29" t="s">
        <v>546</v>
      </c>
      <c r="K187" s="29" t="s">
        <v>548</v>
      </c>
      <c r="L187" s="29" t="s">
        <v>2221</v>
      </c>
      <c r="M187" s="29" t="s">
        <v>546</v>
      </c>
      <c r="N187" s="29" t="s">
        <v>548</v>
      </c>
      <c r="O187" s="29" t="s">
        <v>550</v>
      </c>
      <c r="P187" s="29">
        <v>0.25</v>
      </c>
      <c r="Q187" s="29">
        <v>1.75</v>
      </c>
      <c r="S187" s="29" t="s">
        <v>548</v>
      </c>
      <c r="T187" s="29">
        <v>2</v>
      </c>
      <c r="U187" s="29">
        <v>10</v>
      </c>
      <c r="V187" s="29" t="s">
        <v>551</v>
      </c>
      <c r="W187" s="30">
        <v>1.2</v>
      </c>
      <c r="Y187" s="29">
        <v>999</v>
      </c>
      <c r="Z187" s="29" t="s">
        <v>551</v>
      </c>
      <c r="AA187" s="62"/>
      <c r="AB187" s="29">
        <v>2</v>
      </c>
      <c r="AC187" s="29">
        <v>3</v>
      </c>
      <c r="AD187" s="29" t="s">
        <v>551</v>
      </c>
      <c r="AE187" s="62">
        <v>0.36</v>
      </c>
      <c r="AF187" s="29" t="s">
        <v>546</v>
      </c>
      <c r="AG187" s="29" t="s">
        <v>546</v>
      </c>
      <c r="AH187" s="29" t="s">
        <v>548</v>
      </c>
      <c r="AI187" s="29" t="s">
        <v>548</v>
      </c>
      <c r="AJ187" s="29" t="s">
        <v>548</v>
      </c>
      <c r="AK187" s="29">
        <v>3</v>
      </c>
      <c r="AL187" s="29">
        <v>2</v>
      </c>
      <c r="AM187" s="29" t="s">
        <v>709</v>
      </c>
      <c r="AN187" s="29" t="s">
        <v>710</v>
      </c>
      <c r="AO187" s="29">
        <v>-4.318840503692627</v>
      </c>
      <c r="AP187" s="29">
        <v>35.602306365966797</v>
      </c>
      <c r="AQ187" s="29">
        <v>1577.300048828125</v>
      </c>
      <c r="AR187" s="29">
        <v>5</v>
      </c>
      <c r="AS187" s="29">
        <v>1706031849</v>
      </c>
      <c r="AT187" s="29" t="s">
        <v>711</v>
      </c>
      <c r="AU187" s="31">
        <v>42921.432615740741</v>
      </c>
      <c r="AV187" s="31">
        <v>42919.595995370371</v>
      </c>
      <c r="AW187" s="31">
        <v>42919.603425925925</v>
      </c>
      <c r="AX187" s="32">
        <v>42770</v>
      </c>
      <c r="AZ187" s="44">
        <v>6.5709862671660426</v>
      </c>
      <c r="BA187" s="44">
        <v>7.2383520599250941</v>
      </c>
      <c r="BB187" s="44">
        <v>3.3239950062421975</v>
      </c>
      <c r="BC187" s="44">
        <v>4.6009737827715362</v>
      </c>
      <c r="BD187" s="29" t="s">
        <v>2179</v>
      </c>
      <c r="BE187" s="29">
        <v>6.5252904891999997</v>
      </c>
      <c r="BF187" s="29" t="str">
        <f>IF(BE187&lt;0.5,"Depression",IF(BE187&lt;2,"Very gentle",IF(BE187&lt;5,"Gentle",IF(BE187&lt;9,"Moderate",IF(BE187&lt;15,"Strong",IF(BE187&lt;30,"Steep",IF(BE187&lt;1,"Very steep")))))))</f>
        <v>Moderate</v>
      </c>
      <c r="BG187" s="29" t="s">
        <v>2172</v>
      </c>
      <c r="BH187" s="29">
        <v>-0.54384291171999999</v>
      </c>
      <c r="BI187" s="43">
        <v>8.6506910324100001</v>
      </c>
      <c r="BJ187" s="43">
        <f>VLOOKUP(D187,[1]SoilData!$G$15:$K$237,5,FALSE)</f>
        <v>259.87984713720471</v>
      </c>
      <c r="BK187" s="43">
        <f>VLOOKUP(D187,[1]SoilData!$G$245:$K$451,5,FALSE)</f>
        <v>229.227312387974</v>
      </c>
      <c r="BL187" s="43">
        <f>VLOOKUP(D187,[1]SoilData!$G$15:$M$238,7,FALSE)</f>
        <v>0.91300000000000003</v>
      </c>
      <c r="BM187" s="43">
        <f>VLOOKUP(D187,[1]SoilData!$G$245:$M$454,7,FALSE)</f>
        <v>0.78200000000000003</v>
      </c>
      <c r="BN187" s="60">
        <f>BL187-BM187</f>
        <v>0.13100000000000001</v>
      </c>
      <c r="BO187" s="44">
        <f>AVERAGE(BB187:BC187)</f>
        <v>3.9624843945068671</v>
      </c>
      <c r="BP187" s="44">
        <f>AVERAGE(AZ187:BA187)</f>
        <v>6.9046691635455684</v>
      </c>
      <c r="BQ187" s="43">
        <f>BP187-BO187</f>
        <v>2.9421847690387013</v>
      </c>
      <c r="BR187" s="64">
        <f>IF(W187&gt;0.000001,W187*352,0)</f>
        <v>422.4</v>
      </c>
      <c r="BS187" s="64">
        <f>IF(AE187&gt;0.0001,AE187*682,0)</f>
        <v>245.51999999999998</v>
      </c>
      <c r="BT187" s="64">
        <f>AA187*795</f>
        <v>0</v>
      </c>
      <c r="BU187" s="64">
        <f>BR187+BS187+BT187</f>
        <v>667.92</v>
      </c>
      <c r="BV187" s="64">
        <f>IF(G187="YES",3.5*18.2,0)</f>
        <v>63.699999999999996</v>
      </c>
      <c r="BW187" s="64">
        <f>BU187-BV187</f>
        <v>604.21999999999991</v>
      </c>
    </row>
    <row r="188" spans="1:75" s="34" customFormat="1" x14ac:dyDescent="0.15">
      <c r="A188" s="29" t="s">
        <v>556</v>
      </c>
      <c r="B188" s="29">
        <v>162</v>
      </c>
      <c r="C188" s="29" t="s">
        <v>112</v>
      </c>
      <c r="D188" s="29" t="s">
        <v>112</v>
      </c>
      <c r="E188" s="29" t="str">
        <f>VLOOKUP(D188,Harvest_2017_Formulae!$C$2:$D$968,2,FALSE)</f>
        <v>DURU</v>
      </c>
      <c r="F188" s="29" t="s">
        <v>645</v>
      </c>
      <c r="G188" s="61" t="s">
        <v>548</v>
      </c>
      <c r="H188" s="29" t="s">
        <v>568</v>
      </c>
      <c r="I188" s="29" t="s">
        <v>548</v>
      </c>
      <c r="J188" s="29" t="s">
        <v>546</v>
      </c>
      <c r="K188" s="29" t="s">
        <v>548</v>
      </c>
      <c r="L188" s="29" t="s">
        <v>2221</v>
      </c>
      <c r="M188" s="29" t="s">
        <v>546</v>
      </c>
      <c r="N188" s="29" t="s">
        <v>548</v>
      </c>
      <c r="O188" s="29" t="s">
        <v>550</v>
      </c>
      <c r="P188" s="29">
        <v>0.25</v>
      </c>
      <c r="Q188" s="29">
        <v>1.5</v>
      </c>
      <c r="R188" s="29"/>
      <c r="S188" s="29" t="s">
        <v>548</v>
      </c>
      <c r="T188" s="29">
        <v>2</v>
      </c>
      <c r="U188" s="29">
        <v>22</v>
      </c>
      <c r="V188" s="29" t="s">
        <v>551</v>
      </c>
      <c r="W188" s="30">
        <v>2.64</v>
      </c>
      <c r="X188" s="29"/>
      <c r="Y188" s="29">
        <v>999</v>
      </c>
      <c r="Z188" s="29" t="s">
        <v>551</v>
      </c>
      <c r="AA188" s="62"/>
      <c r="AB188" s="29">
        <v>2</v>
      </c>
      <c r="AC188" s="29">
        <v>3</v>
      </c>
      <c r="AD188" s="29" t="s">
        <v>551</v>
      </c>
      <c r="AE188" s="62">
        <v>0.36</v>
      </c>
      <c r="AF188" s="29" t="s">
        <v>546</v>
      </c>
      <c r="AG188" s="29" t="s">
        <v>546</v>
      </c>
      <c r="AH188" s="29" t="s">
        <v>548</v>
      </c>
      <c r="AI188" s="29" t="s">
        <v>546</v>
      </c>
      <c r="AJ188" s="29" t="s">
        <v>546</v>
      </c>
      <c r="AK188" s="29">
        <v>1</v>
      </c>
      <c r="AL188" s="29">
        <v>3</v>
      </c>
      <c r="AM188" s="29" t="s">
        <v>716</v>
      </c>
      <c r="AN188" s="29" t="s">
        <v>717</v>
      </c>
      <c r="AO188" s="29">
        <v>-4.3193373680114746</v>
      </c>
      <c r="AP188" s="29">
        <v>35.602512359619141</v>
      </c>
      <c r="AQ188" s="29">
        <v>1566.0999755859375</v>
      </c>
      <c r="AR188" s="29">
        <v>5</v>
      </c>
      <c r="AS188" s="29">
        <v>1706031849</v>
      </c>
      <c r="AT188" s="29" t="s">
        <v>718</v>
      </c>
      <c r="AU188" s="31">
        <v>42921.432499999995</v>
      </c>
      <c r="AV188" s="31">
        <v>42919.473622685182</v>
      </c>
      <c r="AW188" s="31">
        <v>42919.58284722222</v>
      </c>
      <c r="AX188" s="32">
        <v>42770</v>
      </c>
      <c r="AY188" s="29"/>
      <c r="AZ188" s="44">
        <v>11.223000000000003</v>
      </c>
      <c r="BA188" s="44">
        <v>8.8830000000000009</v>
      </c>
      <c r="BB188" s="44">
        <v>7.4670250896057357</v>
      </c>
      <c r="BC188" s="44">
        <v>6.0275985663082441</v>
      </c>
      <c r="BD188" s="29" t="s">
        <v>2174</v>
      </c>
      <c r="BE188" s="29">
        <v>9.2199697494499997</v>
      </c>
      <c r="BF188" s="29" t="str">
        <f>IF(BE188&lt;0.5,"Depression",IF(BE188&lt;2,"Very gentle",IF(BE188&lt;5,"Gentle",IF(BE188&lt;9,"Moderate",IF(BE188&lt;15,"Strong",IF(BE188&lt;30,"Steep",IF(BE188&lt;1,"Very steep")))))))</f>
        <v>Strong</v>
      </c>
      <c r="BG188" s="29" t="s">
        <v>2178</v>
      </c>
      <c r="BH188" s="29">
        <v>-0.27191722393000001</v>
      </c>
      <c r="BI188" s="43">
        <v>8.0099620819100004</v>
      </c>
      <c r="BJ188" s="43">
        <f>VLOOKUP(D188,[1]SoilData!$G$15:$K$237,5,FALSE)</f>
        <v>177.88667091467318</v>
      </c>
      <c r="BK188" s="43">
        <f>VLOOKUP(D188,[1]SoilData!$G$245:$K$451,5,FALSE)</f>
        <v>254.92913166888718</v>
      </c>
      <c r="BL188" s="43">
        <f>VLOOKUP(D188,[1]SoilData!$G$15:$M$238,7,FALSE)</f>
        <v>0.73199999999999998</v>
      </c>
      <c r="BM188" s="43">
        <f>VLOOKUP(D188,[1]SoilData!$G$245:$M$454,7,FALSE)</f>
        <v>0.873</v>
      </c>
      <c r="BN188" s="60">
        <f>BL188-BM188</f>
        <v>-0.14100000000000001</v>
      </c>
      <c r="BO188" s="44">
        <f>AVERAGE(BB188:BC188)</f>
        <v>6.7473118279569899</v>
      </c>
      <c r="BP188" s="44">
        <f>AVERAGE(AZ188:BA188)</f>
        <v>10.053000000000001</v>
      </c>
      <c r="BQ188" s="43">
        <f>BP188-BO188</f>
        <v>3.3056881720430109</v>
      </c>
      <c r="BR188" s="64">
        <f>IF(W188&gt;0.000001,W188*352,0)</f>
        <v>929.28000000000009</v>
      </c>
      <c r="BS188" s="64">
        <f>IF(AE188&gt;0.0001,AE188*682,0)</f>
        <v>245.51999999999998</v>
      </c>
      <c r="BT188" s="64">
        <f>AA188*795</f>
        <v>0</v>
      </c>
      <c r="BU188" s="64">
        <f>BR188+BS188+BT188</f>
        <v>1174.8000000000002</v>
      </c>
      <c r="BV188" s="64">
        <f>IF(G188="YES",3.5*18.2,0)</f>
        <v>63.699999999999996</v>
      </c>
      <c r="BW188" s="64">
        <f>BU188-BV188</f>
        <v>1111.1000000000001</v>
      </c>
    </row>
    <row r="189" spans="1:75" s="34" customFormat="1" x14ac:dyDescent="0.15">
      <c r="A189" s="29" t="s">
        <v>556</v>
      </c>
      <c r="B189" s="29">
        <v>170</v>
      </c>
      <c r="C189" s="29" t="s">
        <v>338</v>
      </c>
      <c r="D189" s="29" t="s">
        <v>338</v>
      </c>
      <c r="E189" s="29" t="str">
        <f>VLOOKUP(D189,Harvest_2017_Formulae!$C$2:$D$968,2,FALSE)</f>
        <v>DURU</v>
      </c>
      <c r="F189" s="29" t="s">
        <v>645</v>
      </c>
      <c r="G189" s="61" t="s">
        <v>548</v>
      </c>
      <c r="H189" s="29" t="s">
        <v>568</v>
      </c>
      <c r="I189" s="29" t="s">
        <v>548</v>
      </c>
      <c r="J189" s="29" t="s">
        <v>546</v>
      </c>
      <c r="K189" s="29" t="s">
        <v>548</v>
      </c>
      <c r="L189" s="29" t="s">
        <v>2221</v>
      </c>
      <c r="M189" s="29" t="s">
        <v>546</v>
      </c>
      <c r="N189" s="29" t="s">
        <v>546</v>
      </c>
      <c r="O189" s="29" t="s">
        <v>547</v>
      </c>
      <c r="P189" s="29">
        <v>0.25</v>
      </c>
      <c r="Q189" s="29">
        <v>7.75</v>
      </c>
      <c r="R189" s="29"/>
      <c r="S189" s="29" t="s">
        <v>546</v>
      </c>
      <c r="T189" s="29">
        <v>8</v>
      </c>
      <c r="U189" s="29">
        <v>62</v>
      </c>
      <c r="V189" s="29" t="s">
        <v>551</v>
      </c>
      <c r="W189" s="30">
        <v>1.8599999999999999</v>
      </c>
      <c r="X189" s="29"/>
      <c r="Y189" s="29">
        <v>999</v>
      </c>
      <c r="Z189" s="29" t="s">
        <v>551</v>
      </c>
      <c r="AA189" s="62"/>
      <c r="AB189" s="29">
        <v>8</v>
      </c>
      <c r="AC189" s="29">
        <v>3</v>
      </c>
      <c r="AD189" s="29" t="s">
        <v>551</v>
      </c>
      <c r="AE189" s="62">
        <v>0.09</v>
      </c>
      <c r="AF189" s="29" t="s">
        <v>546</v>
      </c>
      <c r="AG189" s="29" t="s">
        <v>546</v>
      </c>
      <c r="AH189" s="29" t="s">
        <v>546</v>
      </c>
      <c r="AI189" s="29" t="s">
        <v>546</v>
      </c>
      <c r="AJ189" s="29" t="s">
        <v>546</v>
      </c>
      <c r="AK189" s="29">
        <v>0</v>
      </c>
      <c r="AL189" s="29">
        <v>3</v>
      </c>
      <c r="AM189" s="29" t="s">
        <v>713</v>
      </c>
      <c r="AN189" s="29" t="s">
        <v>714</v>
      </c>
      <c r="AO189" s="29">
        <v>-4.3720178604125977</v>
      </c>
      <c r="AP189" s="29">
        <v>35.598808288574219</v>
      </c>
      <c r="AQ189" s="29">
        <v>1543.800048828125</v>
      </c>
      <c r="AR189" s="29">
        <v>5</v>
      </c>
      <c r="AS189" s="29">
        <v>1706031849</v>
      </c>
      <c r="AT189" s="29" t="s">
        <v>715</v>
      </c>
      <c r="AU189" s="31">
        <v>42921.432673611111</v>
      </c>
      <c r="AV189" s="31">
        <v>42920.417916666665</v>
      </c>
      <c r="AW189" s="31">
        <v>42920.580358796295</v>
      </c>
      <c r="AX189" s="32">
        <v>42942</v>
      </c>
      <c r="AY189" s="29"/>
      <c r="AZ189" s="44">
        <v>3.0502415458937198</v>
      </c>
      <c r="BA189" s="44">
        <v>2.8608695652173917</v>
      </c>
      <c r="BB189" s="44">
        <v>2.4000000000000004</v>
      </c>
      <c r="BC189" s="44">
        <v>2.2105263157894743</v>
      </c>
      <c r="BD189" s="29" t="s">
        <v>2171</v>
      </c>
      <c r="BE189" s="29">
        <v>1.6524535417599999</v>
      </c>
      <c r="BF189" s="29" t="str">
        <f>IF(BE189&lt;0.5,"Depression",IF(BE189&lt;2,"Very gentle",IF(BE189&lt;5,"Gentle",IF(BE189&lt;9,"Moderate",IF(BE189&lt;15,"Strong",IF(BE189&lt;30,"Steep",IF(BE189&lt;1,"Very steep")))))))</f>
        <v>Very gentle</v>
      </c>
      <c r="BG189" s="29" t="s">
        <v>2173</v>
      </c>
      <c r="BH189" s="29">
        <v>9.0650379657699995E-2</v>
      </c>
      <c r="BI189" s="43">
        <v>12.8858118057</v>
      </c>
      <c r="BJ189" s="43">
        <f>VLOOKUP(D189,[1]SoilData!$G$15:$K$237,5,FALSE)</f>
        <v>29.06548824223945</v>
      </c>
      <c r="BK189" s="43"/>
      <c r="BL189" s="43">
        <f>VLOOKUP(D189,[1]SoilData!$G$15:$M$238,7,FALSE)</f>
        <v>0.64300000000000002</v>
      </c>
      <c r="BM189" s="43"/>
      <c r="BN189" s="60"/>
      <c r="BO189" s="44">
        <f>AVERAGE(BB189:BC189)</f>
        <v>2.3052631578947373</v>
      </c>
      <c r="BP189" s="44">
        <f>AVERAGE(AZ189:BA189)</f>
        <v>2.9555555555555557</v>
      </c>
      <c r="BQ189" s="43">
        <f>BP189-BO189</f>
        <v>0.65029239766081837</v>
      </c>
      <c r="BR189" s="64">
        <f>IF(W189&gt;0.000001,W189*352,0)</f>
        <v>654.71999999999991</v>
      </c>
      <c r="BS189" s="64">
        <f>IF(AE189&gt;0.0001,AE189*682,0)</f>
        <v>61.379999999999995</v>
      </c>
      <c r="BT189" s="64">
        <f>AA189*795</f>
        <v>0</v>
      </c>
      <c r="BU189" s="64">
        <f>BR189+BS189+BT189</f>
        <v>716.09999999999991</v>
      </c>
      <c r="BV189" s="64">
        <f>IF(G189="YES",3.5*18.2,0)</f>
        <v>63.699999999999996</v>
      </c>
      <c r="BW189" s="64">
        <f>BU189-BV189</f>
        <v>652.39999999999986</v>
      </c>
    </row>
    <row r="190" spans="1:75" x14ac:dyDescent="0.15">
      <c r="A190" s="29" t="s">
        <v>789</v>
      </c>
      <c r="B190" s="29">
        <v>26</v>
      </c>
      <c r="C190" s="29" t="s">
        <v>378</v>
      </c>
      <c r="D190" s="29" t="s">
        <v>378</v>
      </c>
      <c r="E190" s="29" t="str">
        <f>VLOOKUP(D190,Harvest_2017_Formulae!$C$2:$D$968,2,FALSE)</f>
        <v>SABILO</v>
      </c>
      <c r="F190" s="29" t="s">
        <v>1175</v>
      </c>
      <c r="G190" s="61" t="s">
        <v>546</v>
      </c>
      <c r="H190" s="29" t="s">
        <v>547</v>
      </c>
      <c r="I190" s="29" t="s">
        <v>548</v>
      </c>
      <c r="J190" s="29" t="s">
        <v>546</v>
      </c>
      <c r="K190" s="29" t="s">
        <v>548</v>
      </c>
      <c r="L190" s="29" t="s">
        <v>2221</v>
      </c>
      <c r="M190" s="29" t="s">
        <v>548</v>
      </c>
      <c r="N190" s="29" t="s">
        <v>548</v>
      </c>
      <c r="O190" s="29" t="s">
        <v>793</v>
      </c>
      <c r="P190" s="29">
        <v>0.25</v>
      </c>
      <c r="Q190" s="29">
        <v>9.75</v>
      </c>
      <c r="R190" s="29">
        <v>0</v>
      </c>
      <c r="S190" s="29" t="s">
        <v>548</v>
      </c>
      <c r="T190" s="29">
        <v>1</v>
      </c>
      <c r="U190" s="29">
        <v>18</v>
      </c>
      <c r="V190" s="29" t="s">
        <v>551</v>
      </c>
      <c r="W190" s="30">
        <v>4.32</v>
      </c>
      <c r="X190" s="29">
        <v>1</v>
      </c>
      <c r="Y190" s="29">
        <v>0.25</v>
      </c>
      <c r="Z190" s="29" t="s">
        <v>551</v>
      </c>
      <c r="AA190" s="62">
        <v>0.06</v>
      </c>
      <c r="AB190" s="29">
        <v>1</v>
      </c>
      <c r="AC190" s="29">
        <v>0</v>
      </c>
      <c r="AD190" s="29" t="s">
        <v>551</v>
      </c>
      <c r="AE190" s="62">
        <v>0</v>
      </c>
      <c r="AF190" s="29" t="s">
        <v>546</v>
      </c>
      <c r="AG190" s="29" t="s">
        <v>548</v>
      </c>
      <c r="AH190" s="29" t="s">
        <v>548</v>
      </c>
      <c r="AI190" s="29" t="s">
        <v>548</v>
      </c>
      <c r="AJ190" s="29" t="s">
        <v>548</v>
      </c>
      <c r="AK190" s="29">
        <v>4</v>
      </c>
      <c r="AL190" s="29">
        <v>4</v>
      </c>
      <c r="AM190" s="29" t="s">
        <v>1176</v>
      </c>
      <c r="AN190" s="29" t="s">
        <v>1177</v>
      </c>
      <c r="AO190" s="29">
        <v>-4.3631119728088379</v>
      </c>
      <c r="AP190" s="29">
        <v>35.481925964355469</v>
      </c>
      <c r="AQ190" s="29">
        <v>1696.199951171875</v>
      </c>
      <c r="AR190" s="29">
        <v>15</v>
      </c>
      <c r="AS190" s="29">
        <v>1705231439</v>
      </c>
      <c r="AT190" s="29" t="s">
        <v>1178</v>
      </c>
      <c r="AU190" s="31">
        <v>42908.292581018519</v>
      </c>
      <c r="AV190" s="31">
        <v>42895.642141203702</v>
      </c>
      <c r="AW190" s="31">
        <v>42908.287951388891</v>
      </c>
      <c r="AX190" s="32">
        <v>42765</v>
      </c>
      <c r="AZ190" s="44">
        <v>3.1555816993464054</v>
      </c>
      <c r="BA190" s="44">
        <v>4.0362091503267985</v>
      </c>
      <c r="BB190" s="44">
        <v>2.7316498316498312</v>
      </c>
      <c r="BC190" s="44">
        <v>3.3675420875420876</v>
      </c>
      <c r="BD190" s="29" t="s">
        <v>2171</v>
      </c>
      <c r="BE190" s="29">
        <v>2.49159216881</v>
      </c>
      <c r="BF190" s="29" t="str">
        <f>IF(BE190&lt;0.5,"Depression",IF(BE190&lt;2,"Very gentle",IF(BE190&lt;5,"Gentle",IF(BE190&lt;9,"Moderate",IF(BE190&lt;15,"Strong",IF(BE190&lt;30,"Steep",IF(BE190&lt;1,"Very steep")))))))</f>
        <v>Gentle</v>
      </c>
      <c r="BG190" s="29" t="s">
        <v>2177</v>
      </c>
      <c r="BH190" s="29">
        <v>0.72514367103599997</v>
      </c>
      <c r="BI190" s="43">
        <v>7.96718549728</v>
      </c>
      <c r="BJ190" s="43">
        <f>VLOOKUP(D190,[1]SoilData!$G$15:$K$237,5,FALSE)</f>
        <v>239.72910281049883</v>
      </c>
      <c r="BK190" s="43">
        <f>VLOOKUP(D190,[1]SoilData!$G$245:$K$451,5,FALSE)</f>
        <v>287.4924254827373</v>
      </c>
      <c r="BL190" s="43">
        <f>VLOOKUP(D190,[1]SoilData!$G$15:$M$238,7,FALSE)</f>
        <v>1.9370000000000001</v>
      </c>
      <c r="BM190" s="43">
        <f>VLOOKUP(D190,[1]SoilData!$G$245:$M$454,7,FALSE)</f>
        <v>1.925</v>
      </c>
      <c r="BN190" s="60">
        <f>BL190-BM190</f>
        <v>1.2000000000000011E-2</v>
      </c>
      <c r="BO190" s="44">
        <f>AVERAGE(BB190:BC190)</f>
        <v>3.0495959595959592</v>
      </c>
      <c r="BP190" s="44">
        <f>AVERAGE(AZ190:BA190)</f>
        <v>3.595895424836602</v>
      </c>
      <c r="BQ190" s="43">
        <f>BP190-BO190</f>
        <v>0.54629946524064277</v>
      </c>
      <c r="BR190" s="64">
        <f>IF(W190&gt;0.000001,W190*352,0)</f>
        <v>1520.64</v>
      </c>
      <c r="BS190" s="64">
        <f>IF(AE190&gt;0.0001,AE190*682,0)</f>
        <v>0</v>
      </c>
      <c r="BT190" s="64">
        <f>AA190*795</f>
        <v>47.699999999999996</v>
      </c>
      <c r="BU190" s="64">
        <f>BR190+BS190+BT190</f>
        <v>1568.3400000000001</v>
      </c>
      <c r="BV190" s="64">
        <f>IF(G190="YES",3.5*18.2,0)</f>
        <v>0</v>
      </c>
      <c r="BW190" s="64">
        <f>BU190-BV190</f>
        <v>1568.3400000000001</v>
      </c>
    </row>
    <row r="191" spans="1:75" x14ac:dyDescent="0.15">
      <c r="A191" s="29" t="s">
        <v>556</v>
      </c>
      <c r="B191" s="29">
        <v>150</v>
      </c>
      <c r="C191" s="29" t="s">
        <v>175</v>
      </c>
      <c r="D191" s="29" t="s">
        <v>175</v>
      </c>
      <c r="E191" s="29" t="str">
        <f>VLOOKUP(D191,Harvest_2017_Formulae!$C$2:$D$968,2,FALSE)</f>
        <v>HALLU</v>
      </c>
      <c r="F191" s="29" t="s">
        <v>938</v>
      </c>
      <c r="G191" s="61" t="s">
        <v>548</v>
      </c>
      <c r="H191" s="29" t="s">
        <v>568</v>
      </c>
      <c r="I191" s="29" t="s">
        <v>548</v>
      </c>
      <c r="J191" s="29" t="s">
        <v>546</v>
      </c>
      <c r="K191" s="29" t="s">
        <v>548</v>
      </c>
      <c r="L191" s="29" t="s">
        <v>2221</v>
      </c>
      <c r="M191" s="29" t="s">
        <v>546</v>
      </c>
      <c r="N191" s="29" t="s">
        <v>546</v>
      </c>
      <c r="O191" s="29" t="s">
        <v>547</v>
      </c>
      <c r="P191" s="29">
        <v>0.5</v>
      </c>
      <c r="Q191" s="29">
        <v>0.5</v>
      </c>
      <c r="S191" s="29" t="s">
        <v>548</v>
      </c>
      <c r="T191" s="29">
        <v>1</v>
      </c>
      <c r="U191" s="29">
        <v>25</v>
      </c>
      <c r="V191" s="29" t="s">
        <v>551</v>
      </c>
      <c r="W191" s="30">
        <v>6</v>
      </c>
      <c r="Y191" s="29">
        <v>999</v>
      </c>
      <c r="Z191" s="29" t="s">
        <v>551</v>
      </c>
      <c r="AA191" s="62"/>
      <c r="AB191" s="29">
        <v>3</v>
      </c>
      <c r="AC191" s="29">
        <v>4</v>
      </c>
      <c r="AD191" s="29" t="s">
        <v>551</v>
      </c>
      <c r="AE191" s="62">
        <v>0.32</v>
      </c>
      <c r="AF191" s="29" t="s">
        <v>548</v>
      </c>
      <c r="AG191" s="29" t="s">
        <v>548</v>
      </c>
      <c r="AH191" s="29" t="s">
        <v>548</v>
      </c>
      <c r="AI191" s="29" t="s">
        <v>548</v>
      </c>
      <c r="AJ191" s="29" t="s">
        <v>548</v>
      </c>
      <c r="AK191" s="29">
        <v>5</v>
      </c>
      <c r="AL191" s="29">
        <v>4</v>
      </c>
      <c r="AM191" s="29" t="s">
        <v>953</v>
      </c>
      <c r="AN191" s="29" t="s">
        <v>954</v>
      </c>
      <c r="AO191" s="29">
        <v>-4.3047881126403809</v>
      </c>
      <c r="AP191" s="29">
        <v>35.890499114990234</v>
      </c>
      <c r="AQ191" s="29">
        <v>1218.4000244140625</v>
      </c>
      <c r="AR191" s="29">
        <v>5</v>
      </c>
      <c r="AS191" s="29">
        <v>1706031849</v>
      </c>
      <c r="AT191" s="29" t="s">
        <v>955</v>
      </c>
      <c r="AU191" s="31">
        <v>42913.638611111106</v>
      </c>
      <c r="AV191" s="31">
        <v>42909.598946759259</v>
      </c>
      <c r="AW191" s="31">
        <v>42909.613310185188</v>
      </c>
      <c r="AX191" s="32">
        <v>42770</v>
      </c>
      <c r="AZ191" s="44">
        <v>6.8981069958847732</v>
      </c>
      <c r="BA191" s="44">
        <v>6.6179423868312757</v>
      </c>
      <c r="BB191" s="44">
        <v>6.0869642857142852</v>
      </c>
      <c r="BC191" s="44">
        <v>5.5322222222222219</v>
      </c>
      <c r="BD191" s="29" t="s">
        <v>2171</v>
      </c>
      <c r="BE191" s="29">
        <v>1.4196667671200001</v>
      </c>
      <c r="BF191" s="29" t="str">
        <f>IF(BE191&lt;0.5,"Depression",IF(BE191&lt;2,"Very gentle",IF(BE191&lt;5,"Gentle",IF(BE191&lt;9,"Moderate",IF(BE191&lt;15,"Strong",IF(BE191&lt;30,"Steep",IF(BE191&lt;1,"Very steep")))))))</f>
        <v>Very gentle</v>
      </c>
      <c r="BG191" s="29" t="s">
        <v>2173</v>
      </c>
      <c r="BH191" s="29">
        <v>-0.18127532303300001</v>
      </c>
      <c r="BI191" s="43">
        <v>9.1224098205599997</v>
      </c>
      <c r="BJ191" s="43">
        <f>VLOOKUP(D191,[1]SoilData!$G$15:$K$237,5,FALSE)</f>
        <v>509.28001623321745</v>
      </c>
      <c r="BK191" s="43">
        <f>VLOOKUP(D191,[1]SoilData!$G$245:$K$451,5,FALSE)</f>
        <v>441.00846156447648</v>
      </c>
      <c r="BL191" s="43">
        <f>VLOOKUP(D191,[1]SoilData!$G$15:$M$238,7,FALSE)</f>
        <v>1.9259999999999999</v>
      </c>
      <c r="BM191" s="43">
        <f>VLOOKUP(D191,[1]SoilData!$G$245:$M$454,7,FALSE)</f>
        <v>1.9810000000000001</v>
      </c>
      <c r="BN191" s="60">
        <f>BL191-BM191</f>
        <v>-5.500000000000016E-2</v>
      </c>
      <c r="BO191" s="44">
        <f>AVERAGE(BB191:BC191)</f>
        <v>5.809593253968254</v>
      </c>
      <c r="BP191" s="44">
        <f>AVERAGE(AZ191:BA191)</f>
        <v>6.758024691358024</v>
      </c>
      <c r="BQ191" s="43">
        <f>BP191-BO191</f>
        <v>0.94843143738976998</v>
      </c>
      <c r="BR191" s="64">
        <f>IF(W191&gt;0.000001,W191*352,0)</f>
        <v>2112</v>
      </c>
      <c r="BS191" s="64">
        <f>IF(AE191&gt;0.0001,AE191*682,0)</f>
        <v>218.24</v>
      </c>
      <c r="BT191" s="64">
        <f>AA191*795</f>
        <v>0</v>
      </c>
      <c r="BU191" s="64">
        <f>BR191+BS191+BT191</f>
        <v>2330.2399999999998</v>
      </c>
      <c r="BV191" s="64">
        <f>IF(G191="YES",3.5*18.2,0)</f>
        <v>63.699999999999996</v>
      </c>
      <c r="BW191" s="64">
        <f>BU191-BV191</f>
        <v>2266.54</v>
      </c>
    </row>
    <row r="192" spans="1:75" s="34" customFormat="1" x14ac:dyDescent="0.15">
      <c r="A192" s="29" t="s">
        <v>789</v>
      </c>
      <c r="B192" s="29">
        <v>54</v>
      </c>
      <c r="C192" s="29" t="s">
        <v>193</v>
      </c>
      <c r="D192" s="29" t="s">
        <v>193</v>
      </c>
      <c r="E192" s="29" t="str">
        <f>VLOOKUP(D192,Harvest_2017_Formulae!$C$2:$D$968,2,FALSE)</f>
        <v>MANDI</v>
      </c>
      <c r="F192" s="29" t="s">
        <v>1014</v>
      </c>
      <c r="G192" s="61" t="s">
        <v>548</v>
      </c>
      <c r="H192" s="29" t="s">
        <v>568</v>
      </c>
      <c r="I192" s="29" t="s">
        <v>548</v>
      </c>
      <c r="J192" s="29" t="s">
        <v>546</v>
      </c>
      <c r="K192" s="29" t="s">
        <v>548</v>
      </c>
      <c r="L192" s="29" t="s">
        <v>2221</v>
      </c>
      <c r="M192" s="29" t="s">
        <v>548</v>
      </c>
      <c r="N192" s="29" t="s">
        <v>548</v>
      </c>
      <c r="O192" s="29" t="s">
        <v>793</v>
      </c>
      <c r="P192" s="29">
        <v>0.25</v>
      </c>
      <c r="Q192" s="29">
        <v>6.75</v>
      </c>
      <c r="R192" s="29">
        <v>0</v>
      </c>
      <c r="S192" s="29" t="s">
        <v>548</v>
      </c>
      <c r="T192" s="29">
        <v>1</v>
      </c>
      <c r="U192" s="29">
        <v>9</v>
      </c>
      <c r="V192" s="29" t="s">
        <v>551</v>
      </c>
      <c r="W192" s="30">
        <v>2.16</v>
      </c>
      <c r="X192" s="29">
        <v>1</v>
      </c>
      <c r="Y192" s="29">
        <v>2</v>
      </c>
      <c r="Z192" s="29" t="s">
        <v>551</v>
      </c>
      <c r="AA192" s="62">
        <v>0.48</v>
      </c>
      <c r="AB192" s="29"/>
      <c r="AC192" s="29">
        <v>999</v>
      </c>
      <c r="AD192" s="29" t="s">
        <v>551</v>
      </c>
      <c r="AE192" s="62"/>
      <c r="AF192" s="29" t="s">
        <v>546</v>
      </c>
      <c r="AG192" s="29" t="s">
        <v>548</v>
      </c>
      <c r="AH192" s="29" t="s">
        <v>546</v>
      </c>
      <c r="AI192" s="29" t="s">
        <v>548</v>
      </c>
      <c r="AJ192" s="29" t="s">
        <v>546</v>
      </c>
      <c r="AK192" s="29">
        <v>2</v>
      </c>
      <c r="AL192" s="29">
        <v>2</v>
      </c>
      <c r="AM192" s="29" t="s">
        <v>1016</v>
      </c>
      <c r="AN192" s="29" t="s">
        <v>1017</v>
      </c>
      <c r="AO192" s="29">
        <v>-4.3519630432128906</v>
      </c>
      <c r="AP192" s="29">
        <v>35.427867889404297</v>
      </c>
      <c r="AQ192" s="29">
        <v>1650.4000244140625</v>
      </c>
      <c r="AR192" s="29">
        <v>5</v>
      </c>
      <c r="AS192" s="29">
        <v>1705231439</v>
      </c>
      <c r="AT192" s="29" t="s">
        <v>1018</v>
      </c>
      <c r="AU192" s="31">
        <v>42923.381770833337</v>
      </c>
      <c r="AV192" s="31">
        <v>42908.495706018519</v>
      </c>
      <c r="AW192" s="31">
        <v>42908.511087962965</v>
      </c>
      <c r="AX192" s="32">
        <v>42791</v>
      </c>
      <c r="AY192" s="29"/>
      <c r="AZ192" s="44">
        <v>2.3600000000000003</v>
      </c>
      <c r="BA192" s="44">
        <v>2.3272222222222219</v>
      </c>
      <c r="BB192" s="44">
        <v>1.4639682539682541</v>
      </c>
      <c r="BC192" s="44">
        <v>1.9286190476190479</v>
      </c>
      <c r="BD192" s="29" t="s">
        <v>2171</v>
      </c>
      <c r="BE192" s="29">
        <v>4.8935842514000001</v>
      </c>
      <c r="BF192" s="29" t="str">
        <f>IF(BE192&lt;0.5,"Depression",IF(BE192&lt;2,"Very gentle",IF(BE192&lt;5,"Gentle",IF(BE192&lt;9,"Moderate",IF(BE192&lt;15,"Strong",IF(BE192&lt;30,"Steep",IF(BE192&lt;1,"Very steep")))))))</f>
        <v>Gentle</v>
      </c>
      <c r="BG192" s="29" t="s">
        <v>2177</v>
      </c>
      <c r="BH192" s="29">
        <v>0.63450175523800001</v>
      </c>
      <c r="BI192" s="43">
        <v>7.66307353973</v>
      </c>
      <c r="BJ192" s="43">
        <f>VLOOKUP(D192,[1]SoilData!$G$15:$K$237,5,FALSE)</f>
        <v>209.60793566716438</v>
      </c>
      <c r="BK192" s="43">
        <f>VLOOKUP(D192,[1]SoilData!$G$245:$K$451,5,FALSE)</f>
        <v>461.1365339240142</v>
      </c>
      <c r="BL192" s="43">
        <f>VLOOKUP(D192,[1]SoilData!$G$15:$M$238,7,FALSE)</f>
        <v>1.5620000000000001</v>
      </c>
      <c r="BM192" s="43">
        <f>VLOOKUP(D192,[1]SoilData!$G$245:$M$454,7,FALSE)</f>
        <v>2.3849999999999998</v>
      </c>
      <c r="BN192" s="60">
        <f>BL192-BM192</f>
        <v>-0.82299999999999973</v>
      </c>
      <c r="BO192" s="44">
        <f>AVERAGE(BB192:BC192)</f>
        <v>1.696293650793651</v>
      </c>
      <c r="BP192" s="44">
        <f>AVERAGE(AZ192:BA192)</f>
        <v>2.3436111111111111</v>
      </c>
      <c r="BQ192" s="43">
        <f>BP192-BO192</f>
        <v>0.64731746031746007</v>
      </c>
      <c r="BR192" s="64">
        <f>IF(W192&gt;0.000001,W192*352,0)</f>
        <v>760.32</v>
      </c>
      <c r="BS192" s="64">
        <f>IF(AE192&gt;0.0001,AE192*682,0)</f>
        <v>0</v>
      </c>
      <c r="BT192" s="64">
        <f>AA192*795</f>
        <v>381.59999999999997</v>
      </c>
      <c r="BU192" s="64">
        <f>BR192+BS192+BT192</f>
        <v>1141.92</v>
      </c>
      <c r="BV192" s="64">
        <f>IF(G192="YES",3.5*18.2,0)</f>
        <v>63.699999999999996</v>
      </c>
      <c r="BW192" s="64">
        <f>BU192-BV192</f>
        <v>1078.22</v>
      </c>
    </row>
    <row r="193" spans="1:75" s="34" customFormat="1" x14ac:dyDescent="0.15">
      <c r="A193" s="29" t="s">
        <v>789</v>
      </c>
      <c r="B193" s="29">
        <v>16</v>
      </c>
      <c r="C193" s="29" t="s">
        <v>1440</v>
      </c>
      <c r="D193" s="29" t="s">
        <v>1440</v>
      </c>
      <c r="E193" s="29" t="e">
        <f>VLOOKUP(D193,Harvest_2017_Formulae!$C$2:$D$968,2,FALSE)</f>
        <v>#N/A</v>
      </c>
      <c r="F193" s="29" t="s">
        <v>1175</v>
      </c>
      <c r="G193" s="61" t="s">
        <v>548</v>
      </c>
      <c r="H193" s="29" t="s">
        <v>568</v>
      </c>
      <c r="I193" s="29" t="s">
        <v>548</v>
      </c>
      <c r="J193" s="29" t="s">
        <v>546</v>
      </c>
      <c r="K193" s="29" t="s">
        <v>548</v>
      </c>
      <c r="L193" s="29" t="s">
        <v>2221</v>
      </c>
      <c r="M193" s="29" t="s">
        <v>548</v>
      </c>
      <c r="N193" s="29" t="s">
        <v>548</v>
      </c>
      <c r="O193" s="29" t="s">
        <v>550</v>
      </c>
      <c r="P193" s="29">
        <v>10.36185302</v>
      </c>
      <c r="Q193" s="29">
        <v>6.5046325600000001</v>
      </c>
      <c r="R193" s="29">
        <v>0</v>
      </c>
      <c r="S193" s="29" t="s">
        <v>548</v>
      </c>
      <c r="T193" s="29">
        <v>1</v>
      </c>
      <c r="U193" s="29">
        <v>10.600000381469727</v>
      </c>
      <c r="V193" s="29" t="s">
        <v>551</v>
      </c>
      <c r="W193" s="30">
        <v>2.5440000915527343</v>
      </c>
      <c r="X193" s="29">
        <v>1</v>
      </c>
      <c r="Y193" s="29">
        <v>1.2999999523162842</v>
      </c>
      <c r="Z193" s="29" t="s">
        <v>551</v>
      </c>
      <c r="AA193" s="62">
        <v>0.31199998855590821</v>
      </c>
      <c r="AB193" s="29">
        <v>1</v>
      </c>
      <c r="AC193" s="29">
        <v>0.67000001668930054</v>
      </c>
      <c r="AD193" s="29" t="s">
        <v>551</v>
      </c>
      <c r="AE193" s="62">
        <v>0.16080000400543212</v>
      </c>
      <c r="AF193" s="29" t="s">
        <v>546</v>
      </c>
      <c r="AG193" s="29" t="s">
        <v>546</v>
      </c>
      <c r="AH193" s="29" t="s">
        <v>548</v>
      </c>
      <c r="AI193" s="29" t="s">
        <v>548</v>
      </c>
      <c r="AJ193" s="29" t="s">
        <v>546</v>
      </c>
      <c r="AK193" s="29">
        <v>2</v>
      </c>
      <c r="AL193" s="29">
        <v>3</v>
      </c>
      <c r="AM193" s="29" t="s">
        <v>1441</v>
      </c>
      <c r="AN193" s="29" t="s">
        <v>1442</v>
      </c>
      <c r="AO193" s="29">
        <v>-4.351494312286377</v>
      </c>
      <c r="AP193" s="29">
        <v>35.499122619628906</v>
      </c>
      <c r="AQ193" s="29">
        <v>1629.300048828125</v>
      </c>
      <c r="AR193" s="29">
        <v>15</v>
      </c>
      <c r="AS193" s="29">
        <v>1705231439</v>
      </c>
      <c r="AT193" s="29" t="s">
        <v>1443</v>
      </c>
      <c r="AU193" s="31">
        <v>42908.292511574073</v>
      </c>
      <c r="AV193" s="31">
        <v>42893.628148148149</v>
      </c>
      <c r="AW193" s="31">
        <v>42908.287326388891</v>
      </c>
      <c r="AX193" s="32">
        <v>42800</v>
      </c>
      <c r="AY193" s="29"/>
      <c r="AZ193" s="29"/>
      <c r="BA193" s="29"/>
      <c r="BB193" s="29"/>
      <c r="BC193" s="29"/>
      <c r="BD193" s="29" t="s">
        <v>2171</v>
      </c>
      <c r="BE193" s="29">
        <v>3.2750730514500002</v>
      </c>
      <c r="BF193" s="29" t="str">
        <f>IF(BE193&lt;0.5,"Depression",IF(BE193&lt;2,"Very gentle",IF(BE193&lt;5,"Gentle",IF(BE193&lt;9,"Moderate",IF(BE193&lt;15,"Strong",IF(BE193&lt;30,"Steep",IF(BE193&lt;1,"Very steep")))))))</f>
        <v>Gentle</v>
      </c>
      <c r="BG193" s="29" t="s">
        <v>2173</v>
      </c>
      <c r="BH193" s="29">
        <v>-0.27191722393000001</v>
      </c>
      <c r="BI193" s="43">
        <v>10.296551704400001</v>
      </c>
      <c r="BJ193" s="43"/>
      <c r="BK193" s="43"/>
      <c r="BL193" s="43"/>
      <c r="BM193" s="43"/>
      <c r="BN193" s="60"/>
      <c r="BO193" s="43"/>
      <c r="BP193" s="43"/>
      <c r="BQ193" s="43"/>
      <c r="BR193" s="64">
        <f>IF(W193&gt;0.000001,W193*352,0)</f>
        <v>895.4880322265625</v>
      </c>
      <c r="BS193" s="64">
        <f>IF(AE193&gt;0.0001,AE193*682,0)</f>
        <v>109.66560273170471</v>
      </c>
      <c r="BT193" s="64">
        <f>AA193*795</f>
        <v>248.03999090194702</v>
      </c>
      <c r="BU193" s="64">
        <f>BR193+BS193+BT193</f>
        <v>1253.1936258602141</v>
      </c>
      <c r="BV193" s="64">
        <f>IF(G193="YES",3.5*18.2,0)</f>
        <v>63.699999999999996</v>
      </c>
      <c r="BW193" s="64">
        <f>BU193-BV193</f>
        <v>1189.493625860214</v>
      </c>
    </row>
    <row r="194" spans="1:75" x14ac:dyDescent="0.15">
      <c r="A194" s="29" t="s">
        <v>789</v>
      </c>
      <c r="B194" s="29">
        <v>42</v>
      </c>
      <c r="C194" s="29" t="s">
        <v>261</v>
      </c>
      <c r="D194" s="29" t="s">
        <v>261</v>
      </c>
      <c r="E194" s="29" t="str">
        <f>VLOOKUP(D194,Harvest_2017_Formulae!$C$2:$D$968,2,FALSE)</f>
        <v>Sangara</v>
      </c>
      <c r="F194" s="29" t="s">
        <v>1014</v>
      </c>
      <c r="G194" s="61" t="s">
        <v>548</v>
      </c>
      <c r="H194" s="29" t="s">
        <v>568</v>
      </c>
      <c r="I194" s="29" t="s">
        <v>548</v>
      </c>
      <c r="J194" s="29" t="s">
        <v>546</v>
      </c>
      <c r="K194" s="29" t="s">
        <v>548</v>
      </c>
      <c r="L194" s="29" t="s">
        <v>2221</v>
      </c>
      <c r="M194" s="29" t="s">
        <v>546</v>
      </c>
      <c r="N194" s="29" t="s">
        <v>548</v>
      </c>
      <c r="O194" s="29" t="s">
        <v>550</v>
      </c>
      <c r="P194" s="29">
        <v>0.25</v>
      </c>
      <c r="Q194" s="29">
        <v>3.5</v>
      </c>
      <c r="R194" s="29">
        <v>0</v>
      </c>
      <c r="S194" s="29" t="s">
        <v>546</v>
      </c>
      <c r="T194" s="29">
        <v>1</v>
      </c>
      <c r="U194" s="29">
        <v>8</v>
      </c>
      <c r="V194" s="29" t="s">
        <v>551</v>
      </c>
      <c r="W194" s="30">
        <v>1.92</v>
      </c>
      <c r="Y194" s="29">
        <v>999</v>
      </c>
      <c r="Z194" s="29" t="s">
        <v>551</v>
      </c>
      <c r="AA194" s="62"/>
      <c r="AB194" s="29">
        <v>1</v>
      </c>
      <c r="AC194" s="29">
        <v>1.5</v>
      </c>
      <c r="AD194" s="29" t="s">
        <v>551</v>
      </c>
      <c r="AE194" s="62">
        <v>0.36</v>
      </c>
      <c r="AF194" s="29" t="s">
        <v>546</v>
      </c>
      <c r="AG194" s="29" t="s">
        <v>548</v>
      </c>
      <c r="AH194" s="29" t="s">
        <v>546</v>
      </c>
      <c r="AI194" s="29" t="s">
        <v>546</v>
      </c>
      <c r="AJ194" s="29" t="s">
        <v>546</v>
      </c>
      <c r="AK194" s="29">
        <v>1</v>
      </c>
      <c r="AL194" s="29">
        <v>3</v>
      </c>
      <c r="AM194" s="29" t="s">
        <v>1258</v>
      </c>
      <c r="AN194" s="29" t="s">
        <v>1259</v>
      </c>
      <c r="AO194" s="29">
        <v>-4.2916507720947266</v>
      </c>
      <c r="AP194" s="29">
        <v>35.629604339599609</v>
      </c>
      <c r="AQ194" s="29">
        <v>1460.5999755859375</v>
      </c>
      <c r="AR194" s="29">
        <v>10</v>
      </c>
      <c r="AS194" s="29">
        <v>1705231439</v>
      </c>
      <c r="AT194" s="29" t="s">
        <v>1260</v>
      </c>
      <c r="AU194" s="31">
        <v>42908.292685185181</v>
      </c>
      <c r="AV194" s="31">
        <v>42899.670277777783</v>
      </c>
      <c r="AW194" s="31">
        <v>42908.290104166663</v>
      </c>
      <c r="AX194" s="32">
        <v>42744</v>
      </c>
      <c r="AZ194" s="44">
        <v>2.2297297297297303</v>
      </c>
      <c r="BA194" s="44">
        <v>1.8618618618618619</v>
      </c>
      <c r="BB194" s="44">
        <v>5.1101754385964924</v>
      </c>
      <c r="BC194" s="44">
        <v>5.0021052631578957</v>
      </c>
      <c r="BD194" s="29" t="s">
        <v>2184</v>
      </c>
      <c r="BE194" s="29">
        <v>9.4852285385100004</v>
      </c>
      <c r="BF194" s="29" t="str">
        <f>IF(BE194&lt;0.5,"Depression",IF(BE194&lt;2,"Very gentle",IF(BE194&lt;5,"Gentle",IF(BE194&lt;9,"Moderate",IF(BE194&lt;15,"Strong",IF(BE194&lt;30,"Steep",IF(BE194&lt;1,"Very steep")))))))</f>
        <v>Strong</v>
      </c>
      <c r="BG194" s="29" t="s">
        <v>2176</v>
      </c>
      <c r="BH194" s="29">
        <v>-1.2689781189</v>
      </c>
      <c r="BI194" s="43">
        <v>9.6982078552199997</v>
      </c>
      <c r="BJ194" s="43">
        <f>VLOOKUP(D194,[1]SoilData!$G$15:$K$237,5,FALSE)</f>
        <v>133.02335568728293</v>
      </c>
      <c r="BK194" s="43">
        <f>VLOOKUP(D194,[1]SoilData!$G$245:$K$451,5,FALSE)</f>
        <v>49.446330665519206</v>
      </c>
      <c r="BL194" s="43">
        <f>VLOOKUP(D194,[1]SoilData!$G$15:$M$238,7,FALSE)</f>
        <v>0.55100000000000005</v>
      </c>
      <c r="BM194" s="43">
        <f>VLOOKUP(D194,[1]SoilData!$G$245:$M$454,7,FALSE)</f>
        <v>0.48499999999999999</v>
      </c>
      <c r="BN194" s="60">
        <f>BL194-BM194</f>
        <v>6.6000000000000059E-2</v>
      </c>
      <c r="BO194" s="44">
        <f>AVERAGE(BB194:BC194)</f>
        <v>5.056140350877194</v>
      </c>
      <c r="BP194" s="44">
        <f>AVERAGE(AZ194:BA194)</f>
        <v>2.045795795795796</v>
      </c>
      <c r="BQ194" s="43">
        <f>BP194-BO194</f>
        <v>-3.0103445550813981</v>
      </c>
      <c r="BR194" s="64">
        <f>IF(W194&gt;0.000001,W194*352,0)</f>
        <v>675.83999999999992</v>
      </c>
      <c r="BS194" s="64">
        <f>IF(AE194&gt;0.0001,AE194*682,0)</f>
        <v>245.51999999999998</v>
      </c>
      <c r="BT194" s="64">
        <f>AA194*795</f>
        <v>0</v>
      </c>
      <c r="BU194" s="64">
        <f>BR194+BS194+BT194</f>
        <v>921.3599999999999</v>
      </c>
      <c r="BV194" s="64">
        <f>IF(G194="YES",3.5*18.2,0)</f>
        <v>63.699999999999996</v>
      </c>
      <c r="BW194" s="64">
        <f>BU194-BV194</f>
        <v>857.65999999999985</v>
      </c>
    </row>
    <row r="195" spans="1:75" x14ac:dyDescent="0.15">
      <c r="A195" s="29" t="s">
        <v>789</v>
      </c>
      <c r="B195" s="29">
        <v>79</v>
      </c>
      <c r="C195" s="29" t="s">
        <v>203</v>
      </c>
      <c r="D195" s="29" t="s">
        <v>203</v>
      </c>
      <c r="E195" s="29" t="str">
        <f>VLOOKUP(D195,Harvest_2017_Formulae!$C$2:$D$968,2,FALSE)</f>
        <v>MANDI</v>
      </c>
      <c r="F195" s="29" t="s">
        <v>1014</v>
      </c>
      <c r="G195" s="61" t="s">
        <v>548</v>
      </c>
      <c r="H195" s="29" t="s">
        <v>568</v>
      </c>
      <c r="I195" s="29" t="s">
        <v>548</v>
      </c>
      <c r="J195" s="29" t="s">
        <v>546</v>
      </c>
      <c r="K195" s="29" t="s">
        <v>548</v>
      </c>
      <c r="L195" s="29" t="s">
        <v>2221</v>
      </c>
      <c r="M195" s="29" t="s">
        <v>548</v>
      </c>
      <c r="N195" s="29" t="s">
        <v>548</v>
      </c>
      <c r="O195" s="29" t="s">
        <v>550</v>
      </c>
      <c r="P195" s="29">
        <v>0.25</v>
      </c>
      <c r="Q195" s="29">
        <v>5.25</v>
      </c>
      <c r="R195" s="29">
        <v>0</v>
      </c>
      <c r="S195" s="29" t="s">
        <v>548</v>
      </c>
      <c r="U195" s="29">
        <v>999</v>
      </c>
      <c r="V195" s="29" t="s">
        <v>551</v>
      </c>
      <c r="Y195" s="29">
        <v>999</v>
      </c>
      <c r="Z195" s="29" t="s">
        <v>551</v>
      </c>
      <c r="AA195" s="62"/>
      <c r="AC195" s="29">
        <v>999</v>
      </c>
      <c r="AD195" s="29" t="s">
        <v>551</v>
      </c>
      <c r="AE195" s="62"/>
      <c r="AF195" s="29" t="s">
        <v>546</v>
      </c>
      <c r="AG195" s="29" t="s">
        <v>548</v>
      </c>
      <c r="AH195" s="29" t="s">
        <v>546</v>
      </c>
      <c r="AI195" s="29" t="s">
        <v>548</v>
      </c>
      <c r="AJ195" s="29" t="s">
        <v>546</v>
      </c>
      <c r="AK195" s="29">
        <v>2</v>
      </c>
      <c r="AL195" s="29">
        <v>4</v>
      </c>
      <c r="AM195" s="29" t="s">
        <v>1047</v>
      </c>
      <c r="AN195" s="29" t="s">
        <v>1048</v>
      </c>
      <c r="AO195" s="29">
        <v>-4.3285355567932129</v>
      </c>
      <c r="AP195" s="29">
        <v>35.444652557373047</v>
      </c>
      <c r="AQ195" s="29">
        <v>1545.4000244140625</v>
      </c>
      <c r="AR195" s="29">
        <v>5</v>
      </c>
      <c r="AS195" s="29">
        <v>1705231439</v>
      </c>
      <c r="AT195" s="29" t="s">
        <v>1049</v>
      </c>
      <c r="AU195" s="31">
        <v>42923.387141203704</v>
      </c>
      <c r="AV195" s="31">
        <v>42907.485937500001</v>
      </c>
      <c r="AW195" s="31">
        <v>42923.382789351846</v>
      </c>
      <c r="AX195" s="32">
        <v>42761</v>
      </c>
      <c r="AZ195" s="44">
        <v>2.5609356725146202</v>
      </c>
      <c r="BA195" s="44">
        <v>2.7001169590643275</v>
      </c>
      <c r="BB195" s="44">
        <v>2.9149999999999996</v>
      </c>
      <c r="BC195" s="44">
        <v>3.1799999999999997</v>
      </c>
      <c r="BD195" s="29" t="s">
        <v>2171</v>
      </c>
      <c r="BE195" s="29">
        <v>0</v>
      </c>
      <c r="BF195" s="29" t="str">
        <f>IF(BE195&lt;0.5,"Depression",IF(BE195&lt;2,"Very gentle",IF(BE195&lt;5,"Gentle",IF(BE195&lt;9,"Moderate",IF(BE195&lt;15,"Strong",IF(BE195&lt;30,"Steep",IF(BE195&lt;1,"Very steep")))))))</f>
        <v>Depression</v>
      </c>
      <c r="BG195" s="29" t="s">
        <v>2173</v>
      </c>
      <c r="BH195" s="29">
        <v>8.4776775111099995E-6</v>
      </c>
      <c r="BI195" s="43">
        <v>11.4374370575</v>
      </c>
      <c r="BJ195" s="43">
        <f>VLOOKUP(D195,[1]SoilData!$G$15:$K$237,5,FALSE)</f>
        <v>119.26212524697208</v>
      </c>
      <c r="BK195" s="43">
        <f>VLOOKUP(D195,[1]SoilData!$G$245:$K$451,5,FALSE)</f>
        <v>438.15422545384513</v>
      </c>
      <c r="BL195" s="43">
        <f>VLOOKUP(D195,[1]SoilData!$G$15:$M$238,7,FALSE)</f>
        <v>1.712</v>
      </c>
      <c r="BM195" s="43">
        <f>VLOOKUP(D195,[1]SoilData!$G$245:$M$454,7,FALSE)</f>
        <v>2.774</v>
      </c>
      <c r="BN195" s="60">
        <f>BL195-BM195</f>
        <v>-1.0620000000000001</v>
      </c>
      <c r="BO195" s="44">
        <f>AVERAGE(BB195:BC195)</f>
        <v>3.0474999999999994</v>
      </c>
      <c r="BP195" s="44">
        <f>AVERAGE(AZ195:BA195)</f>
        <v>2.6305263157894738</v>
      </c>
      <c r="BQ195" s="43">
        <f>BP195-BO195</f>
        <v>-0.41697368421052561</v>
      </c>
      <c r="BR195" s="64">
        <f>IF(W195&gt;0.000001,W195*352,0)</f>
        <v>0</v>
      </c>
      <c r="BS195" s="64">
        <f>IF(AE195&gt;0.0001,AE195*682,0)</f>
        <v>0</v>
      </c>
      <c r="BT195" s="64">
        <f>AA195*795</f>
        <v>0</v>
      </c>
      <c r="BU195" s="64">
        <f>BR195+BS195+BT195</f>
        <v>0</v>
      </c>
      <c r="BV195" s="64">
        <f>IF(G195="YES",3.5*18.2,0)</f>
        <v>63.699999999999996</v>
      </c>
      <c r="BW195" s="64">
        <f>BU195-BV195</f>
        <v>-63.699999999999996</v>
      </c>
    </row>
    <row r="196" spans="1:75" x14ac:dyDescent="0.15">
      <c r="A196" s="29" t="s">
        <v>556</v>
      </c>
      <c r="B196" s="29">
        <v>139</v>
      </c>
      <c r="C196" s="29" t="s">
        <v>415</v>
      </c>
      <c r="D196" s="29" t="s">
        <v>415</v>
      </c>
      <c r="E196" s="29" t="str">
        <f>VLOOKUP(D196,Harvest_2017_Formulae!$C$2:$D$968,2,FALSE)</f>
        <v>AYAMANGO</v>
      </c>
      <c r="F196" s="29" t="s">
        <v>196</v>
      </c>
      <c r="G196" s="61" t="s">
        <v>546</v>
      </c>
      <c r="H196" s="29" t="s">
        <v>547</v>
      </c>
      <c r="I196" s="29" t="s">
        <v>548</v>
      </c>
      <c r="J196" s="29" t="s">
        <v>546</v>
      </c>
      <c r="K196" s="29" t="s">
        <v>548</v>
      </c>
      <c r="L196" s="29" t="s">
        <v>2221</v>
      </c>
      <c r="M196" s="29" t="s">
        <v>548</v>
      </c>
      <c r="N196" s="29" t="s">
        <v>548</v>
      </c>
      <c r="O196" s="29" t="s">
        <v>550</v>
      </c>
      <c r="P196" s="29">
        <v>0.25</v>
      </c>
      <c r="Q196" s="29">
        <v>1</v>
      </c>
      <c r="S196" s="29" t="s">
        <v>548</v>
      </c>
      <c r="T196" s="29">
        <v>3</v>
      </c>
      <c r="U196" s="29">
        <v>14</v>
      </c>
      <c r="V196" s="29" t="s">
        <v>551</v>
      </c>
      <c r="W196" s="30">
        <v>1.1200000000000001</v>
      </c>
      <c r="Y196" s="29">
        <v>999</v>
      </c>
      <c r="Z196" s="29" t="s">
        <v>551</v>
      </c>
      <c r="AA196" s="62"/>
      <c r="AB196" s="29">
        <v>3</v>
      </c>
      <c r="AC196" s="29">
        <v>6</v>
      </c>
      <c r="AD196" s="29" t="s">
        <v>551</v>
      </c>
      <c r="AE196" s="62">
        <v>0.48</v>
      </c>
      <c r="AF196" s="29" t="s">
        <v>546</v>
      </c>
      <c r="AG196" s="29" t="s">
        <v>546</v>
      </c>
      <c r="AH196" s="29" t="s">
        <v>546</v>
      </c>
      <c r="AI196" s="29" t="s">
        <v>546</v>
      </c>
      <c r="AJ196" s="29" t="s">
        <v>546</v>
      </c>
      <c r="AK196" s="29">
        <v>0</v>
      </c>
      <c r="AL196" s="29">
        <v>4</v>
      </c>
      <c r="AM196" s="29" t="s">
        <v>564</v>
      </c>
      <c r="AN196" s="29" t="s">
        <v>565</v>
      </c>
      <c r="AO196" s="29">
        <v>-4.2229156494140625</v>
      </c>
      <c r="AP196" s="29">
        <v>35.878105163574219</v>
      </c>
      <c r="AQ196" s="29">
        <v>1278.300048828125</v>
      </c>
      <c r="AR196" s="29">
        <v>5</v>
      </c>
      <c r="AS196" s="29">
        <v>1706031849</v>
      </c>
      <c r="AT196" s="29" t="s">
        <v>566</v>
      </c>
      <c r="AU196" s="31">
        <v>42908.460543981477</v>
      </c>
      <c r="AV196" s="31">
        <v>42907.526377314818</v>
      </c>
      <c r="AW196" s="31">
        <v>42908.459293981483</v>
      </c>
      <c r="AX196" s="32">
        <v>42778</v>
      </c>
      <c r="AZ196" s="44"/>
      <c r="BA196" s="44">
        <v>7.5716569200779738</v>
      </c>
      <c r="BB196" s="44">
        <v>4.6220272904483437</v>
      </c>
      <c r="BC196" s="44">
        <v>4.1774658869395722</v>
      </c>
      <c r="BD196" s="29" t="s">
        <v>2171</v>
      </c>
      <c r="BE196" s="29">
        <v>2.0308978557600001</v>
      </c>
      <c r="BF196" s="29" t="str">
        <f>IF(BE196&lt;0.5,"Depression",IF(BE196&lt;2,"Very gentle",IF(BE196&lt;5,"Gentle",IF(BE196&lt;9,"Moderate",IF(BE196&lt;15,"Strong",IF(BE196&lt;30,"Steep",IF(BE196&lt;1,"Very steep")))))))</f>
        <v>Gentle</v>
      </c>
      <c r="BG196" s="29" t="s">
        <v>2173</v>
      </c>
      <c r="BH196" s="29">
        <v>-0.45320102572400001</v>
      </c>
      <c r="BI196" s="43">
        <v>9.1417102813700009</v>
      </c>
      <c r="BJ196" s="43">
        <f>VLOOKUP(D196,[1]SoilData!$G$15:$K$237,5,FALSE)</f>
        <v>179.88372217450674</v>
      </c>
      <c r="BK196" s="43">
        <f>VLOOKUP(D196,[1]SoilData!$G$245:$K$451,5,FALSE)</f>
        <v>397.27937468948687</v>
      </c>
      <c r="BL196" s="43">
        <f>VLOOKUP(D196,[1]SoilData!$G$15:$M$238,7,FALSE)</f>
        <v>1.085</v>
      </c>
      <c r="BM196" s="43">
        <f>VLOOKUP(D196,[1]SoilData!$G$245:$M$454,7,FALSE)</f>
        <v>1.669</v>
      </c>
      <c r="BN196" s="60">
        <f>BL196-BM196</f>
        <v>-0.58400000000000007</v>
      </c>
      <c r="BO196" s="44">
        <f>AVERAGE(BB196:BC196)</f>
        <v>4.399746588693958</v>
      </c>
      <c r="BP196" s="44">
        <f>AVERAGE(AZ196:BA196)</f>
        <v>7.5716569200779738</v>
      </c>
      <c r="BQ196" s="43">
        <f>BP196-BO196</f>
        <v>3.1719103313840158</v>
      </c>
      <c r="BR196" s="64">
        <f>IF(W196&gt;0.000001,W196*352,0)</f>
        <v>394.24</v>
      </c>
      <c r="BS196" s="64">
        <f>IF(AE196&gt;0.0001,AE196*682,0)</f>
        <v>327.36</v>
      </c>
      <c r="BT196" s="64">
        <f>AA196*795</f>
        <v>0</v>
      </c>
      <c r="BU196" s="64">
        <f>BR196+BS196+BT196</f>
        <v>721.6</v>
      </c>
      <c r="BV196" s="64">
        <f>IF(G196="YES",3.5*18.2,0)</f>
        <v>0</v>
      </c>
      <c r="BW196" s="64">
        <f>BU196-BV196</f>
        <v>721.6</v>
      </c>
    </row>
    <row r="197" spans="1:75" x14ac:dyDescent="0.15">
      <c r="A197" s="29" t="s">
        <v>789</v>
      </c>
      <c r="B197" s="29">
        <v>22</v>
      </c>
      <c r="C197" s="29" t="s">
        <v>1213</v>
      </c>
      <c r="D197" s="29" t="s">
        <v>381</v>
      </c>
      <c r="E197" s="29" t="str">
        <f>VLOOKUP(D197,Harvest_2017_Formulae!$C$2:$D$968,2,FALSE)</f>
        <v>SABILO</v>
      </c>
      <c r="F197" s="29" t="s">
        <v>1175</v>
      </c>
      <c r="G197" s="61" t="s">
        <v>548</v>
      </c>
      <c r="H197" s="29" t="s">
        <v>568</v>
      </c>
      <c r="I197" s="29" t="s">
        <v>548</v>
      </c>
      <c r="J197" s="29" t="s">
        <v>546</v>
      </c>
      <c r="K197" s="29" t="s">
        <v>548</v>
      </c>
      <c r="L197" s="29" t="s">
        <v>2221</v>
      </c>
      <c r="M197" s="29" t="s">
        <v>548</v>
      </c>
      <c r="N197" s="29" t="s">
        <v>548</v>
      </c>
      <c r="O197" s="29" t="s">
        <v>793</v>
      </c>
      <c r="P197" s="29">
        <v>1</v>
      </c>
      <c r="Q197" s="29">
        <v>2</v>
      </c>
      <c r="R197" s="29">
        <v>0</v>
      </c>
      <c r="S197" s="29" t="s">
        <v>548</v>
      </c>
      <c r="T197" s="29">
        <v>1</v>
      </c>
      <c r="U197" s="29">
        <v>17</v>
      </c>
      <c r="V197" s="29" t="s">
        <v>551</v>
      </c>
      <c r="W197" s="30">
        <v>4.08</v>
      </c>
      <c r="X197" s="29">
        <v>1</v>
      </c>
      <c r="Y197" s="29">
        <v>1</v>
      </c>
      <c r="Z197" s="29" t="s">
        <v>551</v>
      </c>
      <c r="AA197" s="62">
        <v>0.24</v>
      </c>
      <c r="AB197" s="29">
        <v>1</v>
      </c>
      <c r="AC197" s="29">
        <v>0</v>
      </c>
      <c r="AD197" s="29" t="s">
        <v>551</v>
      </c>
      <c r="AE197" s="62">
        <v>0</v>
      </c>
      <c r="AF197" s="29" t="s">
        <v>546</v>
      </c>
      <c r="AG197" s="29" t="s">
        <v>548</v>
      </c>
      <c r="AH197" s="29" t="s">
        <v>546</v>
      </c>
      <c r="AI197" s="29" t="s">
        <v>546</v>
      </c>
      <c r="AJ197" s="29" t="s">
        <v>546</v>
      </c>
      <c r="AK197" s="29">
        <v>1</v>
      </c>
      <c r="AL197" s="29">
        <v>2</v>
      </c>
      <c r="AM197" s="29" t="s">
        <v>1214</v>
      </c>
      <c r="AN197" s="29" t="s">
        <v>1215</v>
      </c>
      <c r="AO197" s="29">
        <v>-4.3578367233276367</v>
      </c>
      <c r="AP197" s="29">
        <v>35.476325988769531</v>
      </c>
      <c r="AQ197" s="29">
        <v>1663.9000244140625</v>
      </c>
      <c r="AR197" s="29">
        <v>15</v>
      </c>
      <c r="AS197" s="29">
        <v>1705231439</v>
      </c>
      <c r="AT197" s="29" t="s">
        <v>1216</v>
      </c>
      <c r="AU197" s="31">
        <v>42908.292557870373</v>
      </c>
      <c r="AV197" s="31">
        <v>42894.617743055554</v>
      </c>
      <c r="AW197" s="31">
        <v>42908.28701388889</v>
      </c>
      <c r="AX197" s="32">
        <v>42765</v>
      </c>
      <c r="AZ197" s="44">
        <v>3.5077777777777785</v>
      </c>
      <c r="BA197" s="44">
        <v>2.046203703703704</v>
      </c>
      <c r="BB197" s="44">
        <v>1.6939682539682539</v>
      </c>
      <c r="BC197" s="44">
        <v>1.4895238095238095</v>
      </c>
      <c r="BD197" s="29" t="s">
        <v>2171</v>
      </c>
      <c r="BE197" s="29">
        <v>3.36980676651</v>
      </c>
      <c r="BF197" s="29" t="str">
        <f>IF(BE197&lt;0.5,"Depression",IF(BE197&lt;2,"Very gentle",IF(BE197&lt;5,"Gentle",IF(BE197&lt;9,"Moderate",IF(BE197&lt;15,"Strong",IF(BE197&lt;30,"Steep",IF(BE197&lt;1,"Very steep")))))))</f>
        <v>Gentle</v>
      </c>
      <c r="BG197" s="29" t="s">
        <v>2173</v>
      </c>
      <c r="BH197" s="29">
        <v>-0.45320102572400001</v>
      </c>
      <c r="BI197" s="43">
        <v>10.7425298691</v>
      </c>
      <c r="BJ197" s="43"/>
      <c r="BK197" s="43">
        <f>VLOOKUP(D197,[1]SoilData!$G$245:$K$451,5,FALSE)</f>
        <v>39.794211970915427</v>
      </c>
      <c r="BL197" s="43"/>
      <c r="BM197" s="43">
        <f>VLOOKUP(D197,[1]SoilData!$G$245:$M$454,7,FALSE)</f>
        <v>1.3720000000000001</v>
      </c>
      <c r="BN197" s="60"/>
      <c r="BO197" s="44">
        <f>AVERAGE(BB197:BC197)</f>
        <v>1.5917460317460317</v>
      </c>
      <c r="BP197" s="44">
        <f>AVERAGE(AZ197:BA197)</f>
        <v>2.7769907407407413</v>
      </c>
      <c r="BQ197" s="43">
        <f>BP197-BO197</f>
        <v>1.1852447089947096</v>
      </c>
      <c r="BR197" s="64">
        <f>IF(W197&gt;0.000001,W197*352,0)</f>
        <v>1436.16</v>
      </c>
      <c r="BS197" s="64">
        <f>IF(AE197&gt;0.0001,AE197*682,0)</f>
        <v>0</v>
      </c>
      <c r="BT197" s="64">
        <f>AA197*795</f>
        <v>190.79999999999998</v>
      </c>
      <c r="BU197" s="64">
        <f>BR197+BS197+BT197</f>
        <v>1626.96</v>
      </c>
      <c r="BV197" s="64">
        <f>IF(G197="YES",3.5*18.2,0)</f>
        <v>63.699999999999996</v>
      </c>
      <c r="BW197" s="64">
        <f>BU197-BV197</f>
        <v>1563.26</v>
      </c>
    </row>
    <row r="198" spans="1:75" x14ac:dyDescent="0.15">
      <c r="A198" s="29" t="s">
        <v>789</v>
      </c>
      <c r="B198" s="29">
        <v>70</v>
      </c>
      <c r="C198" s="29" t="s">
        <v>346</v>
      </c>
      <c r="D198" s="29" t="s">
        <v>346</v>
      </c>
      <c r="E198" s="29" t="str">
        <f>VLOOKUP(D198,Harvest_2017_Formulae!$C$2:$D$968,2,FALSE)</f>
        <v>Endanachan</v>
      </c>
      <c r="F198" s="29" t="s">
        <v>777</v>
      </c>
      <c r="G198" s="61" t="s">
        <v>548</v>
      </c>
      <c r="H198" s="29" t="s">
        <v>568</v>
      </c>
      <c r="I198" s="29" t="s">
        <v>548</v>
      </c>
      <c r="J198" s="29" t="s">
        <v>546</v>
      </c>
      <c r="K198" s="29" t="s">
        <v>548</v>
      </c>
      <c r="L198" s="29" t="s">
        <v>2221</v>
      </c>
      <c r="M198" s="29" t="s">
        <v>548</v>
      </c>
      <c r="N198" s="29" t="s">
        <v>548</v>
      </c>
      <c r="O198" s="29" t="s">
        <v>550</v>
      </c>
      <c r="P198" s="29">
        <v>0.25</v>
      </c>
      <c r="Q198" s="29">
        <v>5.75</v>
      </c>
      <c r="R198" s="29">
        <v>0</v>
      </c>
      <c r="S198" s="29" t="s">
        <v>548</v>
      </c>
      <c r="U198" s="29">
        <v>999</v>
      </c>
      <c r="V198" s="29" t="s">
        <v>551</v>
      </c>
      <c r="X198" s="29">
        <v>1</v>
      </c>
      <c r="Y198" s="29">
        <v>4</v>
      </c>
      <c r="Z198" s="29" t="s">
        <v>551</v>
      </c>
      <c r="AA198" s="62">
        <v>0.96</v>
      </c>
      <c r="AC198" s="29">
        <v>999</v>
      </c>
      <c r="AD198" s="29" t="s">
        <v>551</v>
      </c>
      <c r="AE198" s="62"/>
      <c r="AF198" s="29" t="s">
        <v>546</v>
      </c>
      <c r="AG198" s="29" t="s">
        <v>548</v>
      </c>
      <c r="AH198" s="29" t="s">
        <v>546</v>
      </c>
      <c r="AI198" s="29" t="s">
        <v>548</v>
      </c>
      <c r="AJ198" s="29" t="s">
        <v>546</v>
      </c>
      <c r="AK198" s="29">
        <v>2</v>
      </c>
      <c r="AL198" s="29">
        <v>3</v>
      </c>
      <c r="AM198" s="29" t="s">
        <v>798</v>
      </c>
      <c r="AN198" s="29" t="s">
        <v>799</v>
      </c>
      <c r="AO198" s="29">
        <v>-4.3501195907592773</v>
      </c>
      <c r="AP198" s="29">
        <v>35.712425231933594</v>
      </c>
      <c r="AQ198" s="29">
        <v>1373.4000244140625</v>
      </c>
      <c r="AR198" s="29">
        <v>15</v>
      </c>
      <c r="AS198" s="29">
        <v>1705231439</v>
      </c>
      <c r="AT198" s="29" t="s">
        <v>800</v>
      </c>
      <c r="AU198" s="31">
        <v>42923.387094907404</v>
      </c>
      <c r="AV198" s="31">
        <v>42903.430335648147</v>
      </c>
      <c r="AW198" s="31">
        <v>42923.384930555556</v>
      </c>
      <c r="AX198" s="32">
        <v>42776</v>
      </c>
      <c r="AZ198" s="44">
        <v>6.4555555555555566</v>
      </c>
      <c r="BA198" s="44">
        <v>6.7417624521072801</v>
      </c>
      <c r="BB198" s="44">
        <v>4.5600000000000005</v>
      </c>
      <c r="BC198" s="44">
        <v>5.7949999999999999</v>
      </c>
      <c r="BD198" s="29" t="s">
        <v>2171</v>
      </c>
      <c r="BE198" s="29">
        <v>1.62334883213</v>
      </c>
      <c r="BF198" s="29" t="str">
        <f>IF(BE198&lt;0.5,"Depression",IF(BE198&lt;2,"Very gentle",IF(BE198&lt;5,"Gentle",IF(BE198&lt;9,"Moderate",IF(BE198&lt;15,"Strong",IF(BE198&lt;30,"Steep",IF(BE198&lt;1,"Very steep")))))))</f>
        <v>Very gentle</v>
      </c>
      <c r="BG198" s="29" t="s">
        <v>2173</v>
      </c>
      <c r="BH198" s="29">
        <v>-9.0633422136300004E-2</v>
      </c>
      <c r="BI198" s="43">
        <v>9.0073556900000007</v>
      </c>
      <c r="BJ198" s="43">
        <f>VLOOKUP(D198,[1]SoilData!$G$15:$K$237,5,FALSE)</f>
        <v>386.66987723629484</v>
      </c>
      <c r="BK198" s="43"/>
      <c r="BL198" s="43">
        <f>VLOOKUP(D198,[1]SoilData!$G$15:$M$238,7,FALSE)</f>
        <v>1.1639999999999999</v>
      </c>
      <c r="BM198" s="43"/>
      <c r="BN198" s="60"/>
      <c r="BO198" s="44">
        <f>AVERAGE(BB198:BC198)</f>
        <v>5.1775000000000002</v>
      </c>
      <c r="BP198" s="44">
        <f>AVERAGE(AZ198:BA198)</f>
        <v>6.5986590038314183</v>
      </c>
      <c r="BQ198" s="43">
        <f>BP198-BO198</f>
        <v>1.4211590038314181</v>
      </c>
      <c r="BR198" s="64">
        <f>IF(W198&gt;0.000001,W198*352,0)</f>
        <v>0</v>
      </c>
      <c r="BS198" s="64">
        <f>IF(AE198&gt;0.0001,AE198*682,0)</f>
        <v>0</v>
      </c>
      <c r="BT198" s="64">
        <f>AA198*795</f>
        <v>763.19999999999993</v>
      </c>
      <c r="BU198" s="64">
        <f>BR198+BS198+BT198</f>
        <v>763.19999999999993</v>
      </c>
      <c r="BV198" s="64">
        <f>IF(G198="YES",3.5*18.2,0)</f>
        <v>63.699999999999996</v>
      </c>
      <c r="BW198" s="64">
        <f>BU198-BV198</f>
        <v>699.49999999999989</v>
      </c>
    </row>
    <row r="199" spans="1:75" x14ac:dyDescent="0.15">
      <c r="A199" s="29" t="s">
        <v>556</v>
      </c>
      <c r="B199" s="29">
        <v>100</v>
      </c>
      <c r="C199" s="29" t="s">
        <v>1523</v>
      </c>
      <c r="D199" s="29" t="s">
        <v>547</v>
      </c>
      <c r="E199" s="29" t="e">
        <f>VLOOKUP(D199,Harvest_2017_Formulae!$C$2:$D$968,2,FALSE)</f>
        <v>#N/A</v>
      </c>
      <c r="F199" s="29" t="s">
        <v>777</v>
      </c>
      <c r="G199" s="61" t="s">
        <v>548</v>
      </c>
      <c r="H199" s="29" t="s">
        <v>568</v>
      </c>
      <c r="I199" s="29" t="s">
        <v>548</v>
      </c>
      <c r="J199" s="29" t="s">
        <v>546</v>
      </c>
      <c r="K199" s="29" t="s">
        <v>548</v>
      </c>
      <c r="L199" s="29" t="s">
        <v>2220</v>
      </c>
      <c r="M199" s="29" t="s">
        <v>546</v>
      </c>
      <c r="N199" s="29" t="s">
        <v>548</v>
      </c>
      <c r="O199" s="29" t="s">
        <v>550</v>
      </c>
      <c r="P199" s="29">
        <v>0.25</v>
      </c>
      <c r="Q199" s="29">
        <v>0.75</v>
      </c>
      <c r="R199" s="29">
        <v>0</v>
      </c>
      <c r="S199" s="29" t="s">
        <v>548</v>
      </c>
      <c r="T199" s="29">
        <v>1</v>
      </c>
      <c r="U199" s="29">
        <v>13</v>
      </c>
      <c r="V199" s="29" t="s">
        <v>551</v>
      </c>
      <c r="W199" s="30">
        <v>3.12</v>
      </c>
      <c r="Y199" s="29">
        <v>999</v>
      </c>
      <c r="Z199" s="29" t="s">
        <v>551</v>
      </c>
      <c r="AA199" s="62"/>
      <c r="AB199" s="29">
        <v>1</v>
      </c>
      <c r="AC199" s="29">
        <v>3</v>
      </c>
      <c r="AD199" s="29" t="s">
        <v>551</v>
      </c>
      <c r="AE199" s="62">
        <v>0.72</v>
      </c>
      <c r="AF199" s="29" t="s">
        <v>548</v>
      </c>
      <c r="AG199" s="29" t="s">
        <v>546</v>
      </c>
      <c r="AH199" s="29" t="s">
        <v>546</v>
      </c>
      <c r="AI199" s="29" t="s">
        <v>546</v>
      </c>
      <c r="AJ199" s="29" t="s">
        <v>546</v>
      </c>
      <c r="AK199" s="29">
        <v>1</v>
      </c>
      <c r="AL199" s="29">
        <v>3</v>
      </c>
      <c r="AM199" s="29" t="s">
        <v>1524</v>
      </c>
      <c r="AN199" s="29" t="s">
        <v>1525</v>
      </c>
      <c r="AO199" s="29">
        <v>-4.2963933944702148</v>
      </c>
      <c r="AP199" s="29">
        <v>35.861850738525391</v>
      </c>
      <c r="AQ199" s="29">
        <v>1264.300048828125</v>
      </c>
      <c r="AR199" s="29">
        <v>5</v>
      </c>
      <c r="AS199" s="29">
        <v>1705231439</v>
      </c>
      <c r="AT199" s="29" t="s">
        <v>1526</v>
      </c>
      <c r="AU199" s="31">
        <v>42950.965173611112</v>
      </c>
      <c r="AV199" s="31">
        <v>42892.672291666662</v>
      </c>
      <c r="AW199" s="31">
        <v>42950.920983796299</v>
      </c>
      <c r="AX199" s="32">
        <v>42776</v>
      </c>
      <c r="BD199" s="29" t="s">
        <v>2171</v>
      </c>
      <c r="BE199" s="29">
        <v>1.00692403316</v>
      </c>
      <c r="BF199" s="29" t="str">
        <f>IF(BE199&lt;0.5,"Depression",IF(BE199&lt;2,"Very gentle",IF(BE199&lt;5,"Gentle",IF(BE199&lt;9,"Moderate",IF(BE199&lt;15,"Strong",IF(BE199&lt;30,"Steep",IF(BE199&lt;1,"Very steep")))))))</f>
        <v>Very gentle</v>
      </c>
      <c r="BG199" s="29" t="s">
        <v>2172</v>
      </c>
      <c r="BH199" s="29">
        <v>-0.63448482751799995</v>
      </c>
      <c r="BI199" s="43">
        <v>12.447251319899999</v>
      </c>
      <c r="BJ199" s="43"/>
      <c r="BK199" s="43"/>
      <c r="BL199" s="43"/>
      <c r="BM199" s="43"/>
      <c r="BN199" s="60"/>
      <c r="BO199" s="43"/>
      <c r="BP199" s="43"/>
      <c r="BQ199" s="43"/>
      <c r="BR199" s="64">
        <f>IF(W199&gt;0.000001,W199*352,0)</f>
        <v>1098.24</v>
      </c>
      <c r="BS199" s="64">
        <f>IF(AE199&gt;0.0001,AE199*682,0)</f>
        <v>491.03999999999996</v>
      </c>
      <c r="BT199" s="64">
        <f>AA199*795</f>
        <v>0</v>
      </c>
      <c r="BU199" s="64">
        <f>BR199+BS199+BT199</f>
        <v>1589.28</v>
      </c>
      <c r="BV199" s="64">
        <f>IF(G199="YES",3.5*18.2,0)</f>
        <v>63.699999999999996</v>
      </c>
      <c r="BW199" s="64">
        <f>BU199-BV199</f>
        <v>1525.58</v>
      </c>
    </row>
    <row r="200" spans="1:75" x14ac:dyDescent="0.15">
      <c r="A200" s="29" t="s">
        <v>789</v>
      </c>
      <c r="B200" s="29">
        <v>23</v>
      </c>
      <c r="C200" s="29" t="s">
        <v>383</v>
      </c>
      <c r="D200" s="29" t="s">
        <v>383</v>
      </c>
      <c r="E200" s="29" t="str">
        <f>VLOOKUP(D200,Harvest_2017_Formulae!$C$2:$D$968,2,FALSE)</f>
        <v>SABILO</v>
      </c>
      <c r="F200" s="29" t="s">
        <v>1175</v>
      </c>
      <c r="G200" s="61" t="s">
        <v>548</v>
      </c>
      <c r="H200" s="29" t="s">
        <v>568</v>
      </c>
      <c r="I200" s="29" t="s">
        <v>548</v>
      </c>
      <c r="J200" s="29" t="s">
        <v>546</v>
      </c>
      <c r="K200" s="29" t="s">
        <v>548</v>
      </c>
      <c r="L200" s="29" t="s">
        <v>2221</v>
      </c>
      <c r="M200" s="29" t="s">
        <v>548</v>
      </c>
      <c r="N200" s="29" t="s">
        <v>548</v>
      </c>
      <c r="O200" s="29" t="s">
        <v>793</v>
      </c>
      <c r="P200" s="29">
        <v>0.25</v>
      </c>
      <c r="Q200" s="29">
        <v>4.75</v>
      </c>
      <c r="R200" s="29">
        <v>0</v>
      </c>
      <c r="S200" s="29" t="s">
        <v>548</v>
      </c>
      <c r="U200" s="29">
        <v>999</v>
      </c>
      <c r="V200" s="29" t="s">
        <v>551</v>
      </c>
      <c r="Y200" s="29">
        <v>999</v>
      </c>
      <c r="Z200" s="29" t="s">
        <v>551</v>
      </c>
      <c r="AA200" s="62"/>
      <c r="AC200" s="29">
        <v>999</v>
      </c>
      <c r="AD200" s="29" t="s">
        <v>551</v>
      </c>
      <c r="AE200" s="62"/>
      <c r="AF200" s="29" t="s">
        <v>548</v>
      </c>
      <c r="AG200" s="29" t="s">
        <v>548</v>
      </c>
      <c r="AH200" s="29" t="s">
        <v>548</v>
      </c>
      <c r="AI200" s="29" t="s">
        <v>548</v>
      </c>
      <c r="AJ200" s="29" t="s">
        <v>548</v>
      </c>
      <c r="AK200" s="29">
        <v>5</v>
      </c>
      <c r="AL200" s="29">
        <v>3</v>
      </c>
      <c r="AM200" s="29" t="s">
        <v>1227</v>
      </c>
      <c r="AN200" s="29" t="s">
        <v>1228</v>
      </c>
      <c r="AO200" s="29">
        <v>-4.3527083396911621</v>
      </c>
      <c r="AP200" s="29">
        <v>35.471397399902344</v>
      </c>
      <c r="AQ200" s="29">
        <v>1654.9000244140625</v>
      </c>
      <c r="AR200" s="29">
        <v>15</v>
      </c>
      <c r="AS200" s="29">
        <v>1705231439</v>
      </c>
      <c r="AT200" s="29" t="s">
        <v>1229</v>
      </c>
      <c r="AU200" s="31">
        <v>42908.292546296296</v>
      </c>
      <c r="AV200" s="31">
        <v>42894.505798611106</v>
      </c>
      <c r="AW200" s="31">
        <v>42908.286851851852</v>
      </c>
      <c r="AX200" s="32">
        <v>42772</v>
      </c>
      <c r="AZ200" s="44">
        <v>8.67686274509804</v>
      </c>
      <c r="BA200" s="44">
        <v>8.0635294117647067</v>
      </c>
      <c r="BB200" s="44">
        <v>2.125</v>
      </c>
      <c r="BC200" s="44">
        <v>5.1416666666666666</v>
      </c>
      <c r="BD200" s="29" t="s">
        <v>2171</v>
      </c>
      <c r="BE200" s="29">
        <v>3.93959927559</v>
      </c>
      <c r="BF200" s="29" t="str">
        <f>IF(BE200&lt;0.5,"Depression",IF(BE200&lt;2,"Very gentle",IF(BE200&lt;5,"Gentle",IF(BE200&lt;9,"Moderate",IF(BE200&lt;15,"Strong",IF(BE200&lt;30,"Steep",IF(BE200&lt;1,"Very steep")))))))</f>
        <v>Gentle</v>
      </c>
      <c r="BG200" s="29" t="s">
        <v>2172</v>
      </c>
      <c r="BH200" s="29">
        <v>-0.725126743317</v>
      </c>
      <c r="BI200" s="43">
        <v>9.2705640792799997</v>
      </c>
      <c r="BJ200" s="43">
        <f>VLOOKUP(D200,[1]SoilData!$G$15:$K$237,5,FALSE)</f>
        <v>344.32939073946693</v>
      </c>
      <c r="BK200" s="43">
        <f>VLOOKUP(D200,[1]SoilData!$G$245:$K$451,5,FALSE)</f>
        <v>188.70457211344129</v>
      </c>
      <c r="BL200" s="43">
        <f>VLOOKUP(D200,[1]SoilData!$G$15:$M$238,7,FALSE)</f>
        <v>2</v>
      </c>
      <c r="BM200" s="43">
        <f>VLOOKUP(D200,[1]SoilData!$G$245:$M$454,7,FALSE)</f>
        <v>1.8620000000000001</v>
      </c>
      <c r="BN200" s="60">
        <f>BL200-BM200</f>
        <v>0.1379999999999999</v>
      </c>
      <c r="BO200" s="44">
        <f>AVERAGE(BB200:BC200)</f>
        <v>3.6333333333333333</v>
      </c>
      <c r="BP200" s="44">
        <f>AVERAGE(AZ200:BA200)</f>
        <v>8.3701960784313734</v>
      </c>
      <c r="BQ200" s="43">
        <f>BP200-BO200</f>
        <v>4.7368627450980405</v>
      </c>
      <c r="BR200" s="64">
        <f>IF(W200&gt;0.000001,W200*352,0)</f>
        <v>0</v>
      </c>
      <c r="BS200" s="64">
        <f>IF(AE200&gt;0.0001,AE200*682,0)</f>
        <v>0</v>
      </c>
      <c r="BT200" s="64">
        <f>AA200*795</f>
        <v>0</v>
      </c>
      <c r="BU200" s="64">
        <f>BR200+BS200+BT200</f>
        <v>0</v>
      </c>
      <c r="BV200" s="64">
        <f>IF(G200="YES",3.5*18.2,0)</f>
        <v>63.699999999999996</v>
      </c>
      <c r="BW200" s="64">
        <f>BU200-BV200</f>
        <v>-63.699999999999996</v>
      </c>
    </row>
    <row r="201" spans="1:75" x14ac:dyDescent="0.15">
      <c r="A201" s="29" t="s">
        <v>556</v>
      </c>
      <c r="B201" s="29">
        <v>118</v>
      </c>
      <c r="C201" s="29" t="s">
        <v>313</v>
      </c>
      <c r="D201" s="29" t="s">
        <v>313</v>
      </c>
      <c r="E201" s="29" t="str">
        <f>VLOOKUP(D201,Harvest_2017_Formulae!$C$2:$D$968,2,FALSE)</f>
        <v>AYAMANGO</v>
      </c>
      <c r="F201" s="29" t="s">
        <v>196</v>
      </c>
      <c r="G201" s="61" t="s">
        <v>548</v>
      </c>
      <c r="H201" s="29" t="s">
        <v>568</v>
      </c>
      <c r="I201" s="29" t="s">
        <v>546</v>
      </c>
      <c r="J201" s="29" t="s">
        <v>546</v>
      </c>
      <c r="K201" s="29" t="s">
        <v>548</v>
      </c>
      <c r="L201" s="29" t="s">
        <v>2220</v>
      </c>
      <c r="M201" s="29" t="s">
        <v>548</v>
      </c>
      <c r="N201" s="29" t="s">
        <v>548</v>
      </c>
      <c r="O201" s="29" t="s">
        <v>550</v>
      </c>
      <c r="P201" s="29">
        <v>0.25</v>
      </c>
      <c r="R201" s="29">
        <v>0.5</v>
      </c>
      <c r="S201" s="29" t="s">
        <v>548</v>
      </c>
      <c r="T201" s="29">
        <v>0.25</v>
      </c>
      <c r="U201" s="29">
        <v>1.5</v>
      </c>
      <c r="V201" s="29" t="s">
        <v>551</v>
      </c>
      <c r="W201" s="30">
        <v>1.4400000000000002</v>
      </c>
      <c r="Y201" s="29">
        <v>999</v>
      </c>
      <c r="Z201" s="29" t="s">
        <v>551</v>
      </c>
      <c r="AA201" s="62"/>
      <c r="AB201" s="29">
        <v>0.25</v>
      </c>
      <c r="AC201" s="29">
        <v>2.5</v>
      </c>
      <c r="AD201" s="29" t="s">
        <v>552</v>
      </c>
      <c r="AE201" s="62">
        <v>0.40079999999999999</v>
      </c>
      <c r="AF201" s="29" t="s">
        <v>548</v>
      </c>
      <c r="AG201" s="29" t="s">
        <v>548</v>
      </c>
      <c r="AH201" s="29" t="s">
        <v>548</v>
      </c>
      <c r="AI201" s="29" t="s">
        <v>548</v>
      </c>
      <c r="AJ201" s="29" t="s">
        <v>548</v>
      </c>
      <c r="AK201" s="29">
        <v>5</v>
      </c>
      <c r="AL201" s="29">
        <v>3</v>
      </c>
      <c r="AM201" s="29" t="s">
        <v>570</v>
      </c>
      <c r="AN201" s="29" t="s">
        <v>571</v>
      </c>
      <c r="AO201" s="29">
        <v>-4.2385525703430176</v>
      </c>
      <c r="AP201" s="29">
        <v>35.887550354003906</v>
      </c>
      <c r="AQ201" s="29">
        <v>1242.9000244140625</v>
      </c>
      <c r="AR201" s="29">
        <v>5</v>
      </c>
      <c r="AS201" s="29">
        <v>1706031849</v>
      </c>
      <c r="AT201" s="29" t="s">
        <v>572</v>
      </c>
      <c r="AU201" s="31">
        <v>42906.498981481476</v>
      </c>
      <c r="AV201" s="31">
        <v>42905.507858796293</v>
      </c>
      <c r="AW201" s="31">
        <v>42905.518831018519</v>
      </c>
      <c r="AX201" s="32">
        <v>42769</v>
      </c>
      <c r="AZ201" s="44">
        <v>8.8350997150997159</v>
      </c>
      <c r="BA201" s="44">
        <v>7.7997364672364675</v>
      </c>
      <c r="BB201" s="44">
        <v>7.3412186379928315</v>
      </c>
      <c r="BC201" s="44">
        <v>6.5032258064516126</v>
      </c>
      <c r="BD201" s="29" t="s">
        <v>2174</v>
      </c>
      <c r="BE201" s="29">
        <v>9.2816181182899999</v>
      </c>
      <c r="BF201" s="29" t="str">
        <f>IF(BE201&lt;0.5,"Depression",IF(BE201&lt;2,"Very gentle",IF(BE201&lt;5,"Gentle",IF(BE201&lt;9,"Moderate",IF(BE201&lt;15,"Strong",IF(BE201&lt;30,"Steep",IF(BE201&lt;1,"Very steep")))))))</f>
        <v>Strong</v>
      </c>
      <c r="BG201" s="29" t="s">
        <v>2172</v>
      </c>
      <c r="BH201" s="29">
        <v>-0.725126743317</v>
      </c>
      <c r="BI201" s="43">
        <v>6.8796205520599996</v>
      </c>
      <c r="BJ201" s="43">
        <f>VLOOKUP(D201,[1]SoilData!$G$15:$K$237,5,FALSE)</f>
        <v>305.83218609577881</v>
      </c>
      <c r="BK201" s="43">
        <f>VLOOKUP(D201,[1]SoilData!$G$245:$K$451,5,FALSE)</f>
        <v>570.58508573167853</v>
      </c>
      <c r="BL201" s="43">
        <f>VLOOKUP(D201,[1]SoilData!$G$15:$M$238,7,FALSE)</f>
        <v>1.181</v>
      </c>
      <c r="BM201" s="43">
        <f>VLOOKUP(D201,[1]SoilData!$G$245:$M$454,7,FALSE)</f>
        <v>1.784</v>
      </c>
      <c r="BN201" s="60">
        <f>BL201-BM201</f>
        <v>-0.60299999999999998</v>
      </c>
      <c r="BO201" s="44">
        <f>AVERAGE(BB201:BC201)</f>
        <v>6.9222222222222225</v>
      </c>
      <c r="BP201" s="44">
        <f>AVERAGE(AZ201:BA201)</f>
        <v>8.3174180911680917</v>
      </c>
      <c r="BQ201" s="43">
        <f>BP201-BO201</f>
        <v>1.3951958689458692</v>
      </c>
      <c r="BR201" s="64">
        <f>IF(W201&gt;0.000001,W201*352,0)</f>
        <v>506.88000000000005</v>
      </c>
      <c r="BS201" s="64">
        <f>IF(AE201&gt;0.0001,AE201*682,0)</f>
        <v>273.34559999999999</v>
      </c>
      <c r="BT201" s="64">
        <f>AA201*795</f>
        <v>0</v>
      </c>
      <c r="BU201" s="64">
        <f>BR201+BS201+BT201</f>
        <v>780.22559999999999</v>
      </c>
      <c r="BV201" s="64">
        <f>IF(G201="YES",3.5*18.2,0)</f>
        <v>63.699999999999996</v>
      </c>
      <c r="BW201" s="64">
        <f>BU201-BV201</f>
        <v>716.52559999999994</v>
      </c>
    </row>
    <row r="202" spans="1:75" x14ac:dyDescent="0.15">
      <c r="A202" s="29" t="s">
        <v>789</v>
      </c>
      <c r="B202" s="29">
        <v>68</v>
      </c>
      <c r="C202" s="29" t="s">
        <v>281</v>
      </c>
      <c r="D202" s="29" t="s">
        <v>281</v>
      </c>
      <c r="E202" s="29" t="str">
        <f>VLOOKUP(D202,Harvest_2017_Formulae!$C$2:$D$968,2,FALSE)</f>
        <v>SOLETO</v>
      </c>
      <c r="F202" s="29" t="s">
        <v>1310</v>
      </c>
      <c r="G202" s="61" t="s">
        <v>548</v>
      </c>
      <c r="H202" s="29" t="s">
        <v>568</v>
      </c>
      <c r="I202" s="29" t="s">
        <v>548</v>
      </c>
      <c r="J202" s="29" t="s">
        <v>546</v>
      </c>
      <c r="K202" s="29" t="s">
        <v>548</v>
      </c>
      <c r="L202" s="29" t="s">
        <v>2221</v>
      </c>
      <c r="M202" s="29" t="s">
        <v>546</v>
      </c>
      <c r="N202" s="29" t="s">
        <v>548</v>
      </c>
      <c r="O202" s="29" t="s">
        <v>793</v>
      </c>
      <c r="P202" s="29">
        <v>0.75</v>
      </c>
      <c r="Q202" s="29">
        <v>8.5</v>
      </c>
      <c r="R202" s="29">
        <v>0</v>
      </c>
      <c r="S202" s="29" t="s">
        <v>546</v>
      </c>
      <c r="T202" s="29">
        <v>1</v>
      </c>
      <c r="U202" s="29">
        <v>8</v>
      </c>
      <c r="V202" s="29" t="s">
        <v>551</v>
      </c>
      <c r="W202" s="30">
        <v>1.92</v>
      </c>
      <c r="X202" s="29">
        <v>1</v>
      </c>
      <c r="Y202" s="29">
        <v>0</v>
      </c>
      <c r="Z202" s="29" t="s">
        <v>551</v>
      </c>
      <c r="AA202" s="62">
        <v>0</v>
      </c>
      <c r="AB202" s="29">
        <v>1</v>
      </c>
      <c r="AC202" s="29">
        <v>1</v>
      </c>
      <c r="AD202" s="29" t="s">
        <v>551</v>
      </c>
      <c r="AE202" s="62">
        <v>0.24</v>
      </c>
      <c r="AF202" s="29" t="s">
        <v>548</v>
      </c>
      <c r="AG202" s="29" t="s">
        <v>546</v>
      </c>
      <c r="AH202" s="29" t="s">
        <v>546</v>
      </c>
      <c r="AI202" s="29" t="s">
        <v>546</v>
      </c>
      <c r="AJ202" s="29" t="s">
        <v>548</v>
      </c>
      <c r="AK202" s="29">
        <v>2</v>
      </c>
      <c r="AL202" s="29">
        <v>3</v>
      </c>
      <c r="AM202" s="29" t="s">
        <v>1330</v>
      </c>
      <c r="AN202" s="29" t="s">
        <v>1331</v>
      </c>
      <c r="AO202" s="29">
        <v>-4.2564525604248047</v>
      </c>
      <c r="AP202" s="29">
        <v>35.521675109863281</v>
      </c>
      <c r="AQ202" s="29">
        <v>1622.199951171875</v>
      </c>
      <c r="AR202" s="29">
        <v>10</v>
      </c>
      <c r="AS202" s="29">
        <v>1705231439</v>
      </c>
      <c r="AT202" s="29" t="s">
        <v>1332</v>
      </c>
      <c r="AU202" s="31">
        <v>42923.387083333335</v>
      </c>
      <c r="AV202" s="31">
        <v>42902.460983796293</v>
      </c>
      <c r="AW202" s="31">
        <v>42923.385358796295</v>
      </c>
      <c r="AX202" s="32">
        <v>42753</v>
      </c>
      <c r="AZ202" s="44">
        <v>5.6288888888888886</v>
      </c>
      <c r="BA202" s="44">
        <v>6.0066666666666668</v>
      </c>
      <c r="BB202" s="44">
        <v>4.6545777777777779</v>
      </c>
      <c r="BC202" s="44">
        <v>4.4284444444444446</v>
      </c>
      <c r="BD202" s="29" t="s">
        <v>2171</v>
      </c>
      <c r="BE202" s="29">
        <v>1.7775242328600001</v>
      </c>
      <c r="BF202" s="29" t="str">
        <f>IF(BE202&lt;0.5,"Depression",IF(BE202&lt;2,"Very gentle",IF(BE202&lt;5,"Gentle",IF(BE202&lt;9,"Moderate",IF(BE202&lt;15,"Strong",IF(BE202&lt;30,"Steep",IF(BE202&lt;1,"Very steep")))))))</f>
        <v>Very gentle</v>
      </c>
      <c r="BG202" s="29" t="s">
        <v>2173</v>
      </c>
      <c r="BH202" s="29">
        <v>-0.45320102572400001</v>
      </c>
      <c r="BI202" s="43">
        <v>11.0366611481</v>
      </c>
      <c r="BJ202" s="43">
        <f>VLOOKUP(D202,[1]SoilData!$G$15:$K$237,5,FALSE)</f>
        <v>444.63520316124055</v>
      </c>
      <c r="BK202" s="43">
        <f>VLOOKUP(D202,[1]SoilData!$G$245:$K$451,5,FALSE)</f>
        <v>593.92402714543437</v>
      </c>
      <c r="BL202" s="43">
        <f>VLOOKUP(D202,[1]SoilData!$G$15:$M$238,7,FALSE)</f>
        <v>1.8720000000000001</v>
      </c>
      <c r="BM202" s="43">
        <f>VLOOKUP(D202,[1]SoilData!$G$245:$M$454,7,FALSE)</f>
        <v>2.4180000000000001</v>
      </c>
      <c r="BN202" s="60">
        <f>BL202-BM202</f>
        <v>-0.54600000000000004</v>
      </c>
      <c r="BO202" s="44">
        <f>AVERAGE(BB202:BC202)</f>
        <v>4.5415111111111113</v>
      </c>
      <c r="BP202" s="44">
        <f>AVERAGE(AZ202:BA202)</f>
        <v>5.8177777777777777</v>
      </c>
      <c r="BQ202" s="43">
        <f>BP202-BO202</f>
        <v>1.2762666666666664</v>
      </c>
      <c r="BR202" s="64">
        <f>IF(W202&gt;0.000001,W202*352,0)</f>
        <v>675.83999999999992</v>
      </c>
      <c r="BS202" s="64">
        <f>IF(AE202&gt;0.0001,AE202*682,0)</f>
        <v>163.68</v>
      </c>
      <c r="BT202" s="64">
        <f>AA202*795</f>
        <v>0</v>
      </c>
      <c r="BU202" s="64">
        <f>BR202+BS202+BT202</f>
        <v>839.52</v>
      </c>
      <c r="BV202" s="64">
        <f>IF(G202="YES",3.5*18.2,0)</f>
        <v>63.699999999999996</v>
      </c>
      <c r="BW202" s="64">
        <f>BU202-BV202</f>
        <v>775.81999999999994</v>
      </c>
    </row>
    <row r="203" spans="1:75" x14ac:dyDescent="0.15">
      <c r="A203" s="29" t="s">
        <v>789</v>
      </c>
      <c r="B203" s="29">
        <v>17</v>
      </c>
      <c r="C203" s="29" t="s">
        <v>427</v>
      </c>
      <c r="D203" s="29" t="s">
        <v>427</v>
      </c>
      <c r="E203" s="29" t="str">
        <f>VLOOKUP(D203,Harvest_2017_Formulae!$C$2:$D$968,2,FALSE)</f>
        <v>SABILO</v>
      </c>
      <c r="F203" s="29" t="s">
        <v>1175</v>
      </c>
      <c r="G203" s="61" t="s">
        <v>548</v>
      </c>
      <c r="H203" s="29" t="s">
        <v>568</v>
      </c>
      <c r="I203" s="29" t="s">
        <v>548</v>
      </c>
      <c r="J203" s="29" t="s">
        <v>546</v>
      </c>
      <c r="K203" s="29" t="s">
        <v>548</v>
      </c>
      <c r="L203" s="29" t="s">
        <v>2221</v>
      </c>
      <c r="M203" s="29" t="s">
        <v>546</v>
      </c>
      <c r="N203" s="29" t="s">
        <v>546</v>
      </c>
      <c r="O203" s="29" t="s">
        <v>547</v>
      </c>
      <c r="P203" s="29">
        <v>0.75</v>
      </c>
      <c r="Q203" s="29">
        <v>2.5</v>
      </c>
      <c r="R203" s="29">
        <v>0</v>
      </c>
      <c r="S203" s="29" t="s">
        <v>548</v>
      </c>
      <c r="T203" s="29">
        <v>1</v>
      </c>
      <c r="U203" s="29">
        <v>16</v>
      </c>
      <c r="V203" s="29" t="s">
        <v>551</v>
      </c>
      <c r="W203" s="30">
        <v>3.84</v>
      </c>
      <c r="X203" s="29">
        <v>1</v>
      </c>
      <c r="Y203" s="29">
        <v>0</v>
      </c>
      <c r="Z203" s="29" t="s">
        <v>551</v>
      </c>
      <c r="AA203" s="62">
        <v>0</v>
      </c>
      <c r="AB203" s="29">
        <v>1</v>
      </c>
      <c r="AC203" s="29">
        <v>0</v>
      </c>
      <c r="AD203" s="29" t="s">
        <v>551</v>
      </c>
      <c r="AE203" s="62">
        <v>0</v>
      </c>
      <c r="AF203" s="29" t="s">
        <v>548</v>
      </c>
      <c r="AG203" s="29" t="s">
        <v>546</v>
      </c>
      <c r="AH203" s="29" t="s">
        <v>546</v>
      </c>
      <c r="AI203" s="29" t="s">
        <v>546</v>
      </c>
      <c r="AJ203" s="29" t="s">
        <v>546</v>
      </c>
      <c r="AK203" s="29">
        <v>1</v>
      </c>
      <c r="AL203" s="29">
        <v>1</v>
      </c>
      <c r="AM203" s="29" t="s">
        <v>1210</v>
      </c>
      <c r="AN203" s="29" t="s">
        <v>1211</v>
      </c>
      <c r="AO203" s="29">
        <v>-4.3426685333251953</v>
      </c>
      <c r="AP203" s="29">
        <v>35.492160797119141</v>
      </c>
      <c r="AQ203" s="29">
        <v>1616.0999755859375</v>
      </c>
      <c r="AR203" s="29">
        <v>15</v>
      </c>
      <c r="AS203" s="29">
        <v>1705231439</v>
      </c>
      <c r="AT203" s="29" t="s">
        <v>1212</v>
      </c>
      <c r="AU203" s="31">
        <v>42908.292499999996</v>
      </c>
      <c r="AV203" s="31">
        <v>42893.533888888887</v>
      </c>
      <c r="AW203" s="31">
        <v>42908.286296296297</v>
      </c>
      <c r="AX203" s="32">
        <v>42770</v>
      </c>
      <c r="AZ203" s="44">
        <v>2.7817777777777781</v>
      </c>
      <c r="BA203" s="44">
        <v>4.9313333333333329</v>
      </c>
      <c r="BB203" s="44">
        <v>3.0338333333333338</v>
      </c>
      <c r="BC203" s="44">
        <v>3.0338333333333338</v>
      </c>
      <c r="BD203" s="29" t="s">
        <v>2183</v>
      </c>
      <c r="BE203" s="29">
        <v>3.07292437553</v>
      </c>
      <c r="BF203" s="29" t="str">
        <f>IF(BE203&lt;0.5,"Depression",IF(BE203&lt;2,"Very gentle",IF(BE203&lt;5,"Gentle",IF(BE203&lt;9,"Moderate",IF(BE203&lt;15,"Strong",IF(BE203&lt;30,"Steep",IF(BE203&lt;1,"Very steep")))))))</f>
        <v>Gentle</v>
      </c>
      <c r="BG203" s="29" t="s">
        <v>2182</v>
      </c>
      <c r="BH203" s="29">
        <v>1.26899504662</v>
      </c>
      <c r="BI203" s="43">
        <v>7.5729436874399996</v>
      </c>
      <c r="BJ203" s="43">
        <f>VLOOKUP(D203,[1]SoilData!$G$15:$K$237,5,FALSE)</f>
        <v>425.96863985475915</v>
      </c>
      <c r="BK203" s="43">
        <f>VLOOKUP(D203,[1]SoilData!$G$245:$K$451,5,FALSE)</f>
        <v>122.37268220726635</v>
      </c>
      <c r="BL203" s="43">
        <f>VLOOKUP(D203,[1]SoilData!$G$15:$M$238,7,FALSE)</f>
        <v>1.462</v>
      </c>
      <c r="BM203" s="43">
        <f>VLOOKUP(D203,[1]SoilData!$G$245:$M$454,7,FALSE)</f>
        <v>1.8169999999999999</v>
      </c>
      <c r="BN203" s="60">
        <f>BL203-BM203</f>
        <v>-0.35499999999999998</v>
      </c>
      <c r="BO203" s="44">
        <f>AVERAGE(BB203:BC203)</f>
        <v>3.0338333333333338</v>
      </c>
      <c r="BP203" s="44">
        <f>AVERAGE(AZ203:BA203)</f>
        <v>3.8565555555555555</v>
      </c>
      <c r="BQ203" s="43">
        <f>BP203-BO203</f>
        <v>0.82272222222222169</v>
      </c>
      <c r="BR203" s="64">
        <f>IF(W203&gt;0.000001,W203*352,0)</f>
        <v>1351.6799999999998</v>
      </c>
      <c r="BS203" s="64">
        <f>IF(AE203&gt;0.0001,AE203*682,0)</f>
        <v>0</v>
      </c>
      <c r="BT203" s="64">
        <f>AA203*795</f>
        <v>0</v>
      </c>
      <c r="BU203" s="64">
        <f>BR203+BS203+BT203</f>
        <v>1351.6799999999998</v>
      </c>
      <c r="BV203" s="64">
        <f>IF(G203="YES",3.5*18.2,0)</f>
        <v>63.699999999999996</v>
      </c>
      <c r="BW203" s="64">
        <f>BU203-BV203</f>
        <v>1287.9799999999998</v>
      </c>
    </row>
    <row r="204" spans="1:75" x14ac:dyDescent="0.15">
      <c r="A204" s="29" t="s">
        <v>556</v>
      </c>
      <c r="B204" s="29">
        <v>5</v>
      </c>
      <c r="C204" s="29" t="s">
        <v>1458</v>
      </c>
      <c r="D204" s="29" t="s">
        <v>547</v>
      </c>
      <c r="E204" s="29" t="e">
        <f>VLOOKUP(D204,Harvest_2017_Formulae!$C$2:$D$968,2,FALSE)</f>
        <v>#N/A</v>
      </c>
      <c r="F204" s="29" t="s">
        <v>777</v>
      </c>
      <c r="G204" s="61" t="s">
        <v>548</v>
      </c>
      <c r="H204" s="29" t="s">
        <v>568</v>
      </c>
      <c r="I204" s="29" t="s">
        <v>546</v>
      </c>
      <c r="J204" s="29" t="s">
        <v>546</v>
      </c>
      <c r="K204" s="29" t="s">
        <v>548</v>
      </c>
      <c r="L204" s="29" t="s">
        <v>2221</v>
      </c>
      <c r="M204" s="29" t="s">
        <v>546</v>
      </c>
      <c r="N204" s="29" t="s">
        <v>548</v>
      </c>
      <c r="O204" s="29" t="s">
        <v>550</v>
      </c>
      <c r="P204" s="29">
        <v>0.25</v>
      </c>
      <c r="R204" s="29">
        <v>0.25</v>
      </c>
      <c r="S204" s="29" t="s">
        <v>546</v>
      </c>
      <c r="T204" s="29">
        <v>1</v>
      </c>
      <c r="U204" s="29">
        <v>15</v>
      </c>
      <c r="V204" s="29" t="s">
        <v>551</v>
      </c>
      <c r="W204" s="30">
        <v>3.5999999999999996</v>
      </c>
      <c r="Y204" s="29">
        <v>999</v>
      </c>
      <c r="Z204" s="29" t="s">
        <v>551</v>
      </c>
      <c r="AA204" s="62"/>
      <c r="AB204" s="29">
        <v>1</v>
      </c>
      <c r="AC204" s="29">
        <v>4</v>
      </c>
      <c r="AD204" s="29" t="s">
        <v>551</v>
      </c>
      <c r="AE204" s="62">
        <v>0.96</v>
      </c>
      <c r="AF204" s="29" t="s">
        <v>546</v>
      </c>
      <c r="AG204" s="29" t="s">
        <v>546</v>
      </c>
      <c r="AH204" s="29" t="s">
        <v>546</v>
      </c>
      <c r="AI204" s="29" t="s">
        <v>546</v>
      </c>
      <c r="AJ204" s="29" t="s">
        <v>546</v>
      </c>
      <c r="AK204" s="29">
        <v>0</v>
      </c>
      <c r="AL204" s="29">
        <v>3</v>
      </c>
      <c r="AM204" s="29" t="s">
        <v>1459</v>
      </c>
      <c r="AN204" s="29" t="s">
        <v>1460</v>
      </c>
      <c r="AO204" s="29">
        <v>-4.2934598922729492</v>
      </c>
      <c r="AP204" s="29">
        <v>35.852897644042969</v>
      </c>
      <c r="AQ204" s="29">
        <v>1280.0999755859375</v>
      </c>
      <c r="AR204" s="29">
        <v>5</v>
      </c>
      <c r="AS204" s="29">
        <v>1705231439</v>
      </c>
      <c r="AT204" s="29" t="s">
        <v>1461</v>
      </c>
      <c r="AU204" s="31">
        <v>42893.595266203702</v>
      </c>
      <c r="AV204" s="31">
        <v>42892.499247685184</v>
      </c>
      <c r="AW204" s="31">
        <v>42892.714907407411</v>
      </c>
      <c r="AX204" s="32">
        <v>41723</v>
      </c>
      <c r="BD204" s="29" t="s">
        <v>2171</v>
      </c>
      <c r="BE204" s="29">
        <v>1.3508191108700001</v>
      </c>
      <c r="BF204" s="29" t="str">
        <f>IF(BE204&lt;0.5,"Depression",IF(BE204&lt;2,"Very gentle",IF(BE204&lt;5,"Gentle",IF(BE204&lt;9,"Moderate",IF(BE204&lt;15,"Strong",IF(BE204&lt;30,"Steep",IF(BE204&lt;1,"Very steep")))))))</f>
        <v>Very gentle</v>
      </c>
      <c r="BG204" s="29" t="s">
        <v>2173</v>
      </c>
      <c r="BH204" s="29">
        <v>0.45321798324599999</v>
      </c>
      <c r="BI204" s="43">
        <v>8.6629858016999997</v>
      </c>
      <c r="BJ204" s="43"/>
      <c r="BK204" s="43"/>
      <c r="BL204" s="43"/>
      <c r="BM204" s="43"/>
      <c r="BN204" s="60"/>
      <c r="BO204" s="43"/>
      <c r="BP204" s="43"/>
      <c r="BQ204" s="43"/>
      <c r="BR204" s="64">
        <f>IF(W204&gt;0.000001,W204*352,0)</f>
        <v>1267.1999999999998</v>
      </c>
      <c r="BS204" s="64">
        <f>IF(AE204&gt;0.0001,AE204*682,0)</f>
        <v>654.72</v>
      </c>
      <c r="BT204" s="64">
        <f>AA204*795</f>
        <v>0</v>
      </c>
      <c r="BU204" s="64">
        <f>BR204+BS204+BT204</f>
        <v>1921.9199999999998</v>
      </c>
      <c r="BV204" s="64">
        <f>IF(G204="YES",3.5*18.2,0)</f>
        <v>63.699999999999996</v>
      </c>
      <c r="BW204" s="64">
        <f>BU204-BV204</f>
        <v>1858.2199999999998</v>
      </c>
    </row>
    <row r="205" spans="1:75" x14ac:dyDescent="0.15">
      <c r="A205" s="29" t="s">
        <v>789</v>
      </c>
      <c r="B205" s="29">
        <v>50</v>
      </c>
      <c r="C205" s="29" t="s">
        <v>1019</v>
      </c>
      <c r="D205" s="29" t="s">
        <v>195</v>
      </c>
      <c r="E205" s="29" t="str">
        <f>VLOOKUP(D205,Harvest_2017_Formulae!$C$2:$D$968,2,FALSE)</f>
        <v>MANDI</v>
      </c>
      <c r="F205" s="29" t="s">
        <v>1014</v>
      </c>
      <c r="G205" s="61" t="s">
        <v>548</v>
      </c>
      <c r="H205" s="29" t="s">
        <v>568</v>
      </c>
      <c r="I205" s="29" t="s">
        <v>548</v>
      </c>
      <c r="J205" s="29" t="s">
        <v>546</v>
      </c>
      <c r="K205" s="29" t="s">
        <v>548</v>
      </c>
      <c r="L205" s="29" t="s">
        <v>2221</v>
      </c>
      <c r="M205" s="29" t="s">
        <v>548</v>
      </c>
      <c r="N205" s="29" t="s">
        <v>548</v>
      </c>
      <c r="O205" s="29" t="s">
        <v>793</v>
      </c>
      <c r="P205" s="29">
        <v>0.25</v>
      </c>
      <c r="Q205" s="29">
        <v>8.25</v>
      </c>
      <c r="R205" s="29">
        <v>0</v>
      </c>
      <c r="S205" s="29" t="s">
        <v>548</v>
      </c>
      <c r="T205" s="29">
        <v>1</v>
      </c>
      <c r="U205" s="29">
        <v>9</v>
      </c>
      <c r="V205" s="29" t="s">
        <v>551</v>
      </c>
      <c r="W205" s="30">
        <v>2.16</v>
      </c>
      <c r="X205" s="29">
        <v>1</v>
      </c>
      <c r="Y205" s="29">
        <v>0.75</v>
      </c>
      <c r="Z205" s="29" t="s">
        <v>551</v>
      </c>
      <c r="AA205" s="62">
        <v>0.18</v>
      </c>
      <c r="AC205" s="29">
        <v>999</v>
      </c>
      <c r="AD205" s="29" t="s">
        <v>551</v>
      </c>
      <c r="AE205" s="62"/>
      <c r="AF205" s="29" t="s">
        <v>548</v>
      </c>
      <c r="AG205" s="29" t="s">
        <v>546</v>
      </c>
      <c r="AH205" s="29" t="s">
        <v>548</v>
      </c>
      <c r="AI205" s="29" t="s">
        <v>546</v>
      </c>
      <c r="AJ205" s="29" t="s">
        <v>548</v>
      </c>
      <c r="AK205" s="29">
        <v>3</v>
      </c>
      <c r="AL205" s="29">
        <v>2</v>
      </c>
      <c r="AM205" s="29" t="s">
        <v>1020</v>
      </c>
      <c r="AN205" s="29" t="s">
        <v>1021</v>
      </c>
      <c r="AO205" s="29">
        <v>-4.3397197723388672</v>
      </c>
      <c r="AP205" s="29">
        <v>35.431865692138672</v>
      </c>
      <c r="AQ205" s="29">
        <v>1596</v>
      </c>
      <c r="AR205" s="29">
        <v>5</v>
      </c>
      <c r="AS205" s="29">
        <v>1705231439</v>
      </c>
      <c r="AT205" s="29" t="s">
        <v>1022</v>
      </c>
      <c r="AU205" s="31">
        <v>42923.381712962961</v>
      </c>
      <c r="AV205" s="31">
        <v>42908.398136574076</v>
      </c>
      <c r="AW205" s="31">
        <v>42908.431435185186</v>
      </c>
      <c r="AX205" s="32">
        <v>42794</v>
      </c>
      <c r="AZ205" s="44">
        <v>3.604285714285715</v>
      </c>
      <c r="BA205" s="44">
        <v>2.5697222222222225</v>
      </c>
      <c r="BB205" s="44">
        <v>3.9713888888888893</v>
      </c>
      <c r="BC205" s="44">
        <v>2.6030952380952384</v>
      </c>
      <c r="BD205" s="29" t="s">
        <v>2171</v>
      </c>
      <c r="BE205" s="29">
        <v>2.5459241867100002</v>
      </c>
      <c r="BF205" s="29" t="str">
        <f>IF(BE205&lt;0.5,"Depression",IF(BE205&lt;2,"Very gentle",IF(BE205&lt;5,"Gentle",IF(BE205&lt;9,"Moderate",IF(BE205&lt;15,"Strong",IF(BE205&lt;30,"Steep",IF(BE205&lt;1,"Very steep")))))))</f>
        <v>Gentle</v>
      </c>
      <c r="BG205" s="29" t="s">
        <v>2173</v>
      </c>
      <c r="BH205" s="29">
        <v>-0.27191722393000001</v>
      </c>
      <c r="BI205" s="43">
        <v>11.442844390899999</v>
      </c>
      <c r="BJ205" s="43">
        <f>VLOOKUP(D205,[1]SoilData!$G$15:$K$237,5,FALSE)</f>
        <v>588.81602542495318</v>
      </c>
      <c r="BK205" s="43">
        <f>VLOOKUP(D205,[1]SoilData!$G$245:$K$451,5,FALSE)</f>
        <v>213.43832041219258</v>
      </c>
      <c r="BL205" s="43">
        <f>VLOOKUP(D205,[1]SoilData!$G$15:$M$238,7,FALSE)</f>
        <v>1.3049999999999999</v>
      </c>
      <c r="BM205" s="43">
        <f>VLOOKUP(D205,[1]SoilData!$G$245:$M$454,7,FALSE)</f>
        <v>0.95499999999999996</v>
      </c>
      <c r="BN205" s="60">
        <f>BL205-BM205</f>
        <v>0.35</v>
      </c>
      <c r="BO205" s="44">
        <f>AVERAGE(BB205:BC205)</f>
        <v>3.287242063492064</v>
      </c>
      <c r="BP205" s="44">
        <f>AVERAGE(AZ205:BA205)</f>
        <v>3.0870039682539687</v>
      </c>
      <c r="BQ205" s="43">
        <f>BP205-BO205</f>
        <v>-0.20023809523809533</v>
      </c>
      <c r="BR205" s="64">
        <f>IF(W205&gt;0.000001,W205*352,0)</f>
        <v>760.32</v>
      </c>
      <c r="BS205" s="64">
        <f>IF(AE205&gt;0.0001,AE205*682,0)</f>
        <v>0</v>
      </c>
      <c r="BT205" s="64">
        <f>AA205*795</f>
        <v>143.1</v>
      </c>
      <c r="BU205" s="64">
        <f>BR205+BS205+BT205</f>
        <v>903.42000000000007</v>
      </c>
      <c r="BV205" s="64">
        <f>IF(G205="YES",3.5*18.2,0)</f>
        <v>63.699999999999996</v>
      </c>
      <c r="BW205" s="64">
        <f>BU205-BV205</f>
        <v>839.72</v>
      </c>
    </row>
    <row r="206" spans="1:75" x14ac:dyDescent="0.15">
      <c r="A206" s="29" t="s">
        <v>556</v>
      </c>
      <c r="B206" s="29">
        <v>12</v>
      </c>
      <c r="C206" s="29" t="s">
        <v>870</v>
      </c>
      <c r="D206" s="29" t="s">
        <v>348</v>
      </c>
      <c r="E206" s="29" t="str">
        <f>VLOOKUP(D206,Harvest_2017_Formulae!$C$2:$D$968,2,FALSE)</f>
        <v>ENDANOGA</v>
      </c>
      <c r="F206" s="29" t="s">
        <v>843</v>
      </c>
      <c r="G206" s="61" t="s">
        <v>546</v>
      </c>
      <c r="H206" s="29" t="s">
        <v>547</v>
      </c>
      <c r="I206" s="29" t="s">
        <v>546</v>
      </c>
      <c r="J206" s="29" t="s">
        <v>546</v>
      </c>
      <c r="K206" s="29" t="s">
        <v>548</v>
      </c>
      <c r="L206" s="29" t="s">
        <v>2221</v>
      </c>
      <c r="M206" s="29" t="s">
        <v>548</v>
      </c>
      <c r="N206" s="29" t="s">
        <v>546</v>
      </c>
      <c r="O206" s="29" t="s">
        <v>547</v>
      </c>
      <c r="P206" s="29">
        <v>0.25</v>
      </c>
      <c r="Q206" s="29">
        <v>2</v>
      </c>
      <c r="R206" s="29">
        <v>0</v>
      </c>
      <c r="S206" s="29" t="s">
        <v>548</v>
      </c>
      <c r="T206" s="29">
        <v>1</v>
      </c>
      <c r="U206" s="29">
        <v>3.5</v>
      </c>
      <c r="V206" s="29" t="s">
        <v>551</v>
      </c>
      <c r="W206" s="30">
        <v>0.84000000000000008</v>
      </c>
      <c r="Y206" s="29">
        <v>999</v>
      </c>
      <c r="Z206" s="29" t="s">
        <v>551</v>
      </c>
      <c r="AA206" s="62"/>
      <c r="AB206" s="29">
        <v>1</v>
      </c>
      <c r="AC206" s="29">
        <v>3</v>
      </c>
      <c r="AD206" s="29" t="s">
        <v>551</v>
      </c>
      <c r="AE206" s="62">
        <v>0.72</v>
      </c>
      <c r="AF206" s="29" t="s">
        <v>546</v>
      </c>
      <c r="AG206" s="29" t="s">
        <v>546</v>
      </c>
      <c r="AH206" s="29" t="s">
        <v>548</v>
      </c>
      <c r="AI206" s="29" t="s">
        <v>546</v>
      </c>
      <c r="AJ206" s="29" t="s">
        <v>546</v>
      </c>
      <c r="AK206" s="29">
        <v>1</v>
      </c>
      <c r="AL206" s="29">
        <v>5</v>
      </c>
      <c r="AM206" s="29" t="s">
        <v>872</v>
      </c>
      <c r="AN206" s="29" t="s">
        <v>873</v>
      </c>
      <c r="AO206" s="29">
        <v>-4.2597823143005371</v>
      </c>
      <c r="AP206" s="29">
        <v>35.859699249267578</v>
      </c>
      <c r="AQ206" s="29">
        <v>1312.5</v>
      </c>
      <c r="AR206" s="29">
        <v>5</v>
      </c>
      <c r="AS206" s="29">
        <v>1705231439</v>
      </c>
      <c r="AT206" s="29" t="s">
        <v>874</v>
      </c>
      <c r="AU206" s="31">
        <v>42893.622523148151</v>
      </c>
      <c r="AV206" s="31">
        <v>42893.560995370368</v>
      </c>
      <c r="AW206" s="31">
        <v>42893.622037037036</v>
      </c>
      <c r="AX206" s="32">
        <v>42794</v>
      </c>
      <c r="AZ206" s="44">
        <v>3.6173429951690821</v>
      </c>
      <c r="BA206" s="44">
        <v>3.9817971014492755</v>
      </c>
      <c r="BB206" s="44">
        <v>2.0398550724637681</v>
      </c>
      <c r="BC206" s="44"/>
      <c r="BD206" s="29" t="s">
        <v>2171</v>
      </c>
      <c r="BE206" s="29">
        <v>2.3941514491999998</v>
      </c>
      <c r="BF206" s="29" t="str">
        <f>IF(BE206&lt;0.5,"Depression",IF(BE206&lt;2,"Very gentle",IF(BE206&lt;5,"Gentle",IF(BE206&lt;9,"Moderate",IF(BE206&lt;15,"Strong",IF(BE206&lt;30,"Steep",IF(BE206&lt;1,"Very steep")))))))</f>
        <v>Gentle</v>
      </c>
      <c r="BG206" s="29" t="s">
        <v>2173</v>
      </c>
      <c r="BH206" s="29">
        <v>-0.362559139729</v>
      </c>
      <c r="BI206" s="43">
        <v>10.828481674200001</v>
      </c>
      <c r="BJ206" s="43"/>
      <c r="BK206" s="43">
        <f>VLOOKUP(D206,[1]SoilData!$G$245:$K$451,5,FALSE)</f>
        <v>270.93539991438399</v>
      </c>
      <c r="BL206" s="43"/>
      <c r="BM206" s="43">
        <f>VLOOKUP(D206,[1]SoilData!$G$245:$M$454,7,FALSE)</f>
        <v>1.2869999999999999</v>
      </c>
      <c r="BN206" s="60"/>
      <c r="BO206" s="44">
        <f>AVERAGE(BB206:BC206)</f>
        <v>2.0398550724637681</v>
      </c>
      <c r="BP206" s="44">
        <f>AVERAGE(AZ206:BA206)</f>
        <v>3.799570048309179</v>
      </c>
      <c r="BQ206" s="43">
        <f>BP206-BO206</f>
        <v>1.7597149758454109</v>
      </c>
      <c r="BR206" s="64">
        <f>IF(W206&gt;0.000001,W206*352,0)</f>
        <v>295.68</v>
      </c>
      <c r="BS206" s="64">
        <f>IF(AE206&gt;0.0001,AE206*682,0)</f>
        <v>491.03999999999996</v>
      </c>
      <c r="BT206" s="64">
        <f>AA206*795</f>
        <v>0</v>
      </c>
      <c r="BU206" s="64">
        <f>BR206+BS206+BT206</f>
        <v>786.72</v>
      </c>
      <c r="BV206" s="64">
        <f>IF(G206="YES",3.5*18.2,0)</f>
        <v>0</v>
      </c>
      <c r="BW206" s="64">
        <f>BU206-BV206</f>
        <v>786.72</v>
      </c>
    </row>
    <row r="207" spans="1:75" x14ac:dyDescent="0.15">
      <c r="A207" s="29" t="s">
        <v>789</v>
      </c>
      <c r="B207" s="29">
        <v>53</v>
      </c>
      <c r="C207" s="29" t="s">
        <v>213</v>
      </c>
      <c r="D207" s="29" t="s">
        <v>213</v>
      </c>
      <c r="E207" s="29" t="str">
        <f>VLOOKUP(D207,Harvest_2017_Formulae!$C$2:$D$968,2,FALSE)</f>
        <v>MANDI</v>
      </c>
      <c r="F207" s="29" t="s">
        <v>1014</v>
      </c>
      <c r="G207" s="61" t="s">
        <v>548</v>
      </c>
      <c r="H207" s="29" t="s">
        <v>568</v>
      </c>
      <c r="I207" s="29" t="s">
        <v>548</v>
      </c>
      <c r="J207" s="29" t="s">
        <v>546</v>
      </c>
      <c r="K207" s="29" t="s">
        <v>548</v>
      </c>
      <c r="L207" s="29" t="s">
        <v>2221</v>
      </c>
      <c r="M207" s="29" t="s">
        <v>548</v>
      </c>
      <c r="N207" s="29" t="s">
        <v>548</v>
      </c>
      <c r="O207" s="29" t="s">
        <v>550</v>
      </c>
      <c r="P207" s="29">
        <v>0.25</v>
      </c>
      <c r="Q207" s="29">
        <v>5</v>
      </c>
      <c r="R207" s="29">
        <v>0</v>
      </c>
      <c r="S207" s="29" t="s">
        <v>548</v>
      </c>
      <c r="T207" s="29">
        <v>1</v>
      </c>
      <c r="U207" s="29">
        <v>5</v>
      </c>
      <c r="V207" s="29" t="s">
        <v>551</v>
      </c>
      <c r="W207" s="30">
        <v>1.2</v>
      </c>
      <c r="X207" s="29">
        <v>1</v>
      </c>
      <c r="Y207" s="29">
        <v>0</v>
      </c>
      <c r="Z207" s="29" t="s">
        <v>551</v>
      </c>
      <c r="AA207" s="62">
        <v>0</v>
      </c>
      <c r="AC207" s="29">
        <v>999</v>
      </c>
      <c r="AD207" s="29" t="s">
        <v>551</v>
      </c>
      <c r="AE207" s="62"/>
      <c r="AF207" s="29" t="s">
        <v>546</v>
      </c>
      <c r="AG207" s="29" t="s">
        <v>548</v>
      </c>
      <c r="AH207" s="29" t="s">
        <v>546</v>
      </c>
      <c r="AI207" s="29" t="s">
        <v>546</v>
      </c>
      <c r="AJ207" s="29" t="s">
        <v>548</v>
      </c>
      <c r="AK207" s="29">
        <v>2</v>
      </c>
      <c r="AL207" s="29">
        <v>4</v>
      </c>
      <c r="AM207" s="29" t="s">
        <v>1085</v>
      </c>
      <c r="AN207" s="29" t="s">
        <v>1086</v>
      </c>
      <c r="AO207" s="29">
        <v>-4.341313362121582</v>
      </c>
      <c r="AP207" s="29">
        <v>35.419746398925781</v>
      </c>
      <c r="AQ207" s="29">
        <v>1642.9000244140625</v>
      </c>
      <c r="AR207" s="29">
        <v>5</v>
      </c>
      <c r="AS207" s="29">
        <v>1705231439</v>
      </c>
      <c r="AT207" s="29" t="s">
        <v>1087</v>
      </c>
      <c r="AU207" s="31">
        <v>42923.381782407407</v>
      </c>
      <c r="AV207" s="31">
        <v>42908.527870370366</v>
      </c>
      <c r="AW207" s="31">
        <v>42908.558483796296</v>
      </c>
      <c r="AX207" s="32">
        <v>42768</v>
      </c>
      <c r="AZ207" s="44">
        <v>5.0933874239350914</v>
      </c>
      <c r="BA207" s="44">
        <v>3.3317647058823532</v>
      </c>
      <c r="BB207" s="44">
        <v>5.4970833333333324</v>
      </c>
      <c r="BC207" s="44">
        <v>3.3915517241379307</v>
      </c>
      <c r="BD207" s="29" t="s">
        <v>2171</v>
      </c>
      <c r="BE207" s="29">
        <v>2.0972545146899999</v>
      </c>
      <c r="BF207" s="29" t="str">
        <f>IF(BE207&lt;0.5,"Depression",IF(BE207&lt;2,"Very gentle",IF(BE207&lt;5,"Gentle",IF(BE207&lt;9,"Moderate",IF(BE207&lt;15,"Strong",IF(BE207&lt;30,"Steep",IF(BE207&lt;1,"Very steep")))))))</f>
        <v>Gentle</v>
      </c>
      <c r="BG207" s="29" t="s">
        <v>2173</v>
      </c>
      <c r="BH207" s="29">
        <v>9.0650379657699995E-2</v>
      </c>
      <c r="BI207" s="43">
        <v>8.3043279647800006</v>
      </c>
      <c r="BJ207" s="43">
        <f>VLOOKUP(D207,[1]SoilData!$G$15:$K$237,5,FALSE)</f>
        <v>253.01896277748352</v>
      </c>
      <c r="BK207" s="43">
        <f>VLOOKUP(D207,[1]SoilData!$G$245:$K$451,5,FALSE)</f>
        <v>176.41126787692033</v>
      </c>
      <c r="BL207" s="43">
        <f>VLOOKUP(D207,[1]SoilData!$G$15:$M$238,7,FALSE)</f>
        <v>1.343</v>
      </c>
      <c r="BM207" s="43">
        <f>VLOOKUP(D207,[1]SoilData!$G$245:$M$454,7,FALSE)</f>
        <v>1.06</v>
      </c>
      <c r="BN207" s="60">
        <f>BL207-BM207</f>
        <v>0.28299999999999992</v>
      </c>
      <c r="BO207" s="44">
        <f>AVERAGE(BB207:BC207)</f>
        <v>4.4443175287356311</v>
      </c>
      <c r="BP207" s="44">
        <f>AVERAGE(AZ207:BA207)</f>
        <v>4.2125760649087223</v>
      </c>
      <c r="BQ207" s="43">
        <f>BP207-BO207</f>
        <v>-0.23174146382690886</v>
      </c>
      <c r="BR207" s="64">
        <f>IF(W207&gt;0.000001,W207*352,0)</f>
        <v>422.4</v>
      </c>
      <c r="BS207" s="64">
        <f>IF(AE207&gt;0.0001,AE207*682,0)</f>
        <v>0</v>
      </c>
      <c r="BT207" s="64">
        <f>AA207*795</f>
        <v>0</v>
      </c>
      <c r="BU207" s="64">
        <f>BR207+BS207+BT207</f>
        <v>422.4</v>
      </c>
      <c r="BV207" s="64">
        <f>IF(G207="YES",3.5*18.2,0)</f>
        <v>63.699999999999996</v>
      </c>
      <c r="BW207" s="64">
        <f>BU207-BV207</f>
        <v>358.7</v>
      </c>
    </row>
    <row r="208" spans="1:75" s="57" customFormat="1" x14ac:dyDescent="0.15">
      <c r="A208" s="29" t="s">
        <v>556</v>
      </c>
      <c r="B208" s="29">
        <v>132</v>
      </c>
      <c r="C208" s="29" t="s">
        <v>588</v>
      </c>
      <c r="D208" s="29" t="s">
        <v>315</v>
      </c>
      <c r="E208" s="29" t="str">
        <f>VLOOKUP(D208,Harvest_2017_Formulae!$C$2:$D$968,2,FALSE)</f>
        <v>AYAMANGO</v>
      </c>
      <c r="F208" s="29" t="s">
        <v>196</v>
      </c>
      <c r="G208" s="61" t="s">
        <v>546</v>
      </c>
      <c r="H208" s="29" t="s">
        <v>547</v>
      </c>
      <c r="I208" s="29" t="s">
        <v>548</v>
      </c>
      <c r="J208" s="29" t="s">
        <v>546</v>
      </c>
      <c r="K208" s="29" t="s">
        <v>548</v>
      </c>
      <c r="L208" s="29" t="s">
        <v>2221</v>
      </c>
      <c r="M208" s="29" t="s">
        <v>548</v>
      </c>
      <c r="N208" s="29" t="s">
        <v>548</v>
      </c>
      <c r="O208" s="29" t="s">
        <v>550</v>
      </c>
      <c r="P208" s="29">
        <v>0.25</v>
      </c>
      <c r="Q208" s="29">
        <v>0.25</v>
      </c>
      <c r="R208" s="29"/>
      <c r="S208" s="29" t="s">
        <v>546</v>
      </c>
      <c r="T208" s="29">
        <v>1</v>
      </c>
      <c r="U208" s="29">
        <v>18</v>
      </c>
      <c r="V208" s="29" t="s">
        <v>551</v>
      </c>
      <c r="W208" s="30">
        <v>4.32</v>
      </c>
      <c r="X208" s="29"/>
      <c r="Y208" s="29">
        <v>999</v>
      </c>
      <c r="Z208" s="29" t="s">
        <v>551</v>
      </c>
      <c r="AA208" s="62"/>
      <c r="AB208" s="29">
        <v>2</v>
      </c>
      <c r="AC208" s="29">
        <v>12</v>
      </c>
      <c r="AD208" s="29" t="s">
        <v>551</v>
      </c>
      <c r="AE208" s="62">
        <v>1.44</v>
      </c>
      <c r="AF208" s="29" t="s">
        <v>546</v>
      </c>
      <c r="AG208" s="29" t="s">
        <v>546</v>
      </c>
      <c r="AH208" s="29" t="s">
        <v>546</v>
      </c>
      <c r="AI208" s="29" t="s">
        <v>546</v>
      </c>
      <c r="AJ208" s="29" t="s">
        <v>546</v>
      </c>
      <c r="AK208" s="29">
        <v>0</v>
      </c>
      <c r="AL208" s="29">
        <v>2</v>
      </c>
      <c r="AM208" s="29" t="s">
        <v>589</v>
      </c>
      <c r="AN208" s="29" t="s">
        <v>590</v>
      </c>
      <c r="AO208" s="29">
        <v>-4.2328548431396484</v>
      </c>
      <c r="AP208" s="29">
        <v>35.877830505371094</v>
      </c>
      <c r="AQ208" s="29">
        <v>1275.9000244140625</v>
      </c>
      <c r="AR208" s="29">
        <v>5</v>
      </c>
      <c r="AS208" s="29">
        <v>1706031849</v>
      </c>
      <c r="AT208" s="29" t="s">
        <v>591</v>
      </c>
      <c r="AU208" s="31">
        <v>42907.823993055557</v>
      </c>
      <c r="AV208" s="31">
        <v>42907.571909722217</v>
      </c>
      <c r="AW208" s="31">
        <v>42907.581388888888</v>
      </c>
      <c r="AX208" s="32">
        <v>42775</v>
      </c>
      <c r="AY208" s="29"/>
      <c r="AZ208" s="44">
        <v>5.3837398373983749</v>
      </c>
      <c r="BA208" s="44">
        <v>6.2647154471544715</v>
      </c>
      <c r="BB208" s="44">
        <v>9.188075396825397</v>
      </c>
      <c r="BC208" s="44">
        <v>9.0029563492063502</v>
      </c>
      <c r="BD208" s="29" t="s">
        <v>2171</v>
      </c>
      <c r="BE208" s="29">
        <v>2.2400188445999998</v>
      </c>
      <c r="BF208" s="29" t="str">
        <f>IF(BE208&lt;0.5,"Depression",IF(BE208&lt;2,"Very gentle",IF(BE208&lt;5,"Gentle",IF(BE208&lt;9,"Moderate",IF(BE208&lt;15,"Strong",IF(BE208&lt;30,"Steep",IF(BE208&lt;1,"Very steep")))))))</f>
        <v>Gentle</v>
      </c>
      <c r="BG208" s="29" t="s">
        <v>2173</v>
      </c>
      <c r="BH208" s="29">
        <v>0.18129228055499999</v>
      </c>
      <c r="BI208" s="43">
        <v>8.0240240096999997</v>
      </c>
      <c r="BJ208" s="43">
        <f>VLOOKUP(D208,[1]SoilData!$G$15:$K$237,5,FALSE)</f>
        <v>109.51937816509624</v>
      </c>
      <c r="BK208" s="43"/>
      <c r="BL208" s="43">
        <f>VLOOKUP(D208,[1]SoilData!$G$15:$M$238,7,FALSE)</f>
        <v>0.85299999999999998</v>
      </c>
      <c r="BM208" s="43"/>
      <c r="BN208" s="60"/>
      <c r="BO208" s="44">
        <f>AVERAGE(BB208:BC208)</f>
        <v>9.0955158730158736</v>
      </c>
      <c r="BP208" s="44">
        <f>AVERAGE(AZ208:BA208)</f>
        <v>5.8242276422764228</v>
      </c>
      <c r="BQ208" s="43">
        <f>BP208-BO208</f>
        <v>-3.2712882307394509</v>
      </c>
      <c r="BR208" s="64">
        <f>IF(W208&gt;0.000001,W208*352,0)</f>
        <v>1520.64</v>
      </c>
      <c r="BS208" s="64">
        <f>IF(AE208&gt;0.0001,AE208*682,0)</f>
        <v>982.07999999999993</v>
      </c>
      <c r="BT208" s="64">
        <f>AA208*795</f>
        <v>0</v>
      </c>
      <c r="BU208" s="64">
        <f>BR208+BS208+BT208</f>
        <v>2502.7200000000003</v>
      </c>
      <c r="BV208" s="64">
        <f>IF(G208="YES",3.5*18.2,0)</f>
        <v>0</v>
      </c>
      <c r="BW208" s="64">
        <f>BU208-BV208</f>
        <v>2502.7200000000003</v>
      </c>
    </row>
    <row r="209" spans="1:75" x14ac:dyDescent="0.15">
      <c r="A209" s="29" t="s">
        <v>556</v>
      </c>
      <c r="B209" s="29">
        <v>193</v>
      </c>
      <c r="C209" s="29" t="s">
        <v>349</v>
      </c>
      <c r="D209" s="29" t="s">
        <v>349</v>
      </c>
      <c r="E209" s="29" t="str">
        <f>VLOOKUP(D209,Harvest_2017_Formulae!$C$2:$D$968,2,FALSE)</f>
        <v>ENDANOGA</v>
      </c>
      <c r="F209" s="29" t="s">
        <v>843</v>
      </c>
      <c r="G209" s="61" t="s">
        <v>548</v>
      </c>
      <c r="H209" s="29" t="s">
        <v>568</v>
      </c>
      <c r="I209" s="29" t="s">
        <v>548</v>
      </c>
      <c r="J209" s="29" t="s">
        <v>546</v>
      </c>
      <c r="K209" s="29" t="s">
        <v>548</v>
      </c>
      <c r="L209" s="29" t="s">
        <v>2221</v>
      </c>
      <c r="M209" s="29" t="s">
        <v>546</v>
      </c>
      <c r="N209" s="29" t="s">
        <v>548</v>
      </c>
      <c r="O209" s="29" t="s">
        <v>550</v>
      </c>
      <c r="P209" s="29">
        <v>0.25</v>
      </c>
      <c r="Q209" s="29">
        <v>4.25</v>
      </c>
      <c r="S209" s="29" t="s">
        <v>548</v>
      </c>
      <c r="T209" s="29">
        <v>4.5</v>
      </c>
      <c r="U209" s="29">
        <v>32</v>
      </c>
      <c r="V209" s="29" t="s">
        <v>551</v>
      </c>
      <c r="W209" s="30">
        <v>1.7066666666666668</v>
      </c>
      <c r="Y209" s="29">
        <v>999</v>
      </c>
      <c r="Z209" s="29" t="s">
        <v>551</v>
      </c>
      <c r="AA209" s="62"/>
      <c r="AB209" s="29">
        <v>4.5</v>
      </c>
      <c r="AC209" s="29">
        <v>6</v>
      </c>
      <c r="AD209" s="29" t="s">
        <v>551</v>
      </c>
      <c r="AE209" s="62">
        <v>0.32</v>
      </c>
      <c r="AF209" s="29" t="s">
        <v>548</v>
      </c>
      <c r="AG209" s="29" t="s">
        <v>548</v>
      </c>
      <c r="AH209" s="29" t="s">
        <v>548</v>
      </c>
      <c r="AI209" s="29" t="s">
        <v>548</v>
      </c>
      <c r="AJ209" s="29" t="s">
        <v>548</v>
      </c>
      <c r="AK209" s="29">
        <v>5</v>
      </c>
      <c r="AL209" s="29">
        <v>3</v>
      </c>
      <c r="AM209" s="29" t="s">
        <v>875</v>
      </c>
      <c r="AN209" s="29" t="s">
        <v>876</v>
      </c>
      <c r="AO209" s="29">
        <v>-4.2804141044616699</v>
      </c>
      <c r="AP209" s="29">
        <v>35.863021850585938</v>
      </c>
      <c r="AQ209" s="29">
        <v>1295.300048828125</v>
      </c>
      <c r="AR209" s="29">
        <v>5</v>
      </c>
      <c r="AS209" s="29">
        <v>1706031849</v>
      </c>
      <c r="AT209" s="29" t="s">
        <v>877</v>
      </c>
      <c r="AU209" s="31">
        <v>42940.36010416667</v>
      </c>
      <c r="AV209" s="31">
        <v>42924.631782407407</v>
      </c>
      <c r="AW209" s="31">
        <v>42924.637835648144</v>
      </c>
      <c r="AX209" s="32">
        <v>42789</v>
      </c>
      <c r="AZ209" s="44">
        <v>5.3421280602636543</v>
      </c>
      <c r="BA209" s="44">
        <v>4.7811111111111115</v>
      </c>
      <c r="BB209" s="44">
        <v>3.7775111111111119</v>
      </c>
      <c r="BC209" s="44">
        <v>4.6106666666666669</v>
      </c>
      <c r="BD209" s="29" t="s">
        <v>2171</v>
      </c>
      <c r="BE209" s="29">
        <v>1.96835184097</v>
      </c>
      <c r="BF209" s="29" t="str">
        <f>IF(BE209&lt;0.5,"Depression",IF(BE209&lt;2,"Very gentle",IF(BE209&lt;5,"Gentle",IF(BE209&lt;9,"Moderate",IF(BE209&lt;15,"Strong",IF(BE209&lt;30,"Steep",IF(BE209&lt;1,"Very steep")))))))</f>
        <v>Very gentle</v>
      </c>
      <c r="BG209" s="29" t="s">
        <v>2173</v>
      </c>
      <c r="BH209" s="29">
        <v>-0.18127532303300001</v>
      </c>
      <c r="BI209" s="43">
        <v>11.303222656299999</v>
      </c>
      <c r="BJ209" s="43">
        <f>VLOOKUP(D209,[1]SoilData!$G$15:$K$237,5,FALSE)</f>
        <v>1042.9127802766411</v>
      </c>
      <c r="BK209" s="43">
        <f>VLOOKUP(D209,[1]SoilData!$G$245:$K$451,5,FALSE)</f>
        <v>1233.7944739423046</v>
      </c>
      <c r="BL209" s="43">
        <f>VLOOKUP(D209,[1]SoilData!$G$15:$M$238,7,FALSE)</f>
        <v>1.504</v>
      </c>
      <c r="BM209" s="43">
        <f>VLOOKUP(D209,[1]SoilData!$G$245:$M$454,7,FALSE)</f>
        <v>2.4780000000000002</v>
      </c>
      <c r="BN209" s="60">
        <f>BL209-BM209</f>
        <v>-0.9740000000000002</v>
      </c>
      <c r="BO209" s="44">
        <f>AVERAGE(BB209:BC209)</f>
        <v>4.1940888888888894</v>
      </c>
      <c r="BP209" s="44">
        <f>AVERAGE(AZ209:BA209)</f>
        <v>5.0616195856873833</v>
      </c>
      <c r="BQ209" s="43">
        <f>BP209-BO209</f>
        <v>0.86753069679849393</v>
      </c>
      <c r="BR209" s="64">
        <f>IF(W209&gt;0.000001,W209*352,0)</f>
        <v>600.74666666666667</v>
      </c>
      <c r="BS209" s="64">
        <f>IF(AE209&gt;0.0001,AE209*682,0)</f>
        <v>218.24</v>
      </c>
      <c r="BT209" s="64">
        <f>AA209*795</f>
        <v>0</v>
      </c>
      <c r="BU209" s="64">
        <f>BR209+BS209+BT209</f>
        <v>818.98666666666668</v>
      </c>
      <c r="BV209" s="64">
        <f>IF(G209="YES",3.5*18.2,0)</f>
        <v>63.699999999999996</v>
      </c>
      <c r="BW209" s="64">
        <f>BU209-BV209</f>
        <v>755.28666666666663</v>
      </c>
    </row>
    <row r="210" spans="1:75" x14ac:dyDescent="0.15">
      <c r="A210" s="29" t="s">
        <v>789</v>
      </c>
      <c r="B210" s="29">
        <v>80</v>
      </c>
      <c r="C210" s="29" t="s">
        <v>1088</v>
      </c>
      <c r="D210" s="29" t="s">
        <v>194</v>
      </c>
      <c r="E210" s="29" t="str">
        <f>VLOOKUP(D210,Harvest_2017_Formulae!$C$2:$D$968,2,FALSE)</f>
        <v>MANDI</v>
      </c>
      <c r="F210" s="29" t="s">
        <v>1014</v>
      </c>
      <c r="G210" s="61" t="s">
        <v>548</v>
      </c>
      <c r="H210" s="29" t="s">
        <v>568</v>
      </c>
      <c r="I210" s="29" t="s">
        <v>548</v>
      </c>
      <c r="J210" s="29" t="s">
        <v>546</v>
      </c>
      <c r="K210" s="29" t="s">
        <v>548</v>
      </c>
      <c r="L210" s="29" t="s">
        <v>2221</v>
      </c>
      <c r="M210" s="29" t="s">
        <v>548</v>
      </c>
      <c r="N210" s="29" t="s">
        <v>548</v>
      </c>
      <c r="O210" s="29" t="s">
        <v>793</v>
      </c>
      <c r="P210" s="29">
        <v>0.25</v>
      </c>
      <c r="Q210" s="29">
        <v>7.25</v>
      </c>
      <c r="R210" s="29">
        <v>0</v>
      </c>
      <c r="S210" s="29" t="s">
        <v>548</v>
      </c>
      <c r="T210" s="29">
        <v>1</v>
      </c>
      <c r="U210" s="29">
        <v>15</v>
      </c>
      <c r="V210" s="29" t="s">
        <v>551</v>
      </c>
      <c r="W210" s="30">
        <v>3.5999999999999996</v>
      </c>
      <c r="X210" s="29">
        <v>1</v>
      </c>
      <c r="Y210" s="29">
        <v>3</v>
      </c>
      <c r="Z210" s="29" t="s">
        <v>551</v>
      </c>
      <c r="AA210" s="62">
        <v>0.72</v>
      </c>
      <c r="AB210" s="29">
        <v>1</v>
      </c>
      <c r="AC210" s="29">
        <v>0</v>
      </c>
      <c r="AD210" s="29" t="s">
        <v>551</v>
      </c>
      <c r="AE210" s="62">
        <v>0</v>
      </c>
      <c r="AF210" s="29" t="s">
        <v>546</v>
      </c>
      <c r="AG210" s="29" t="s">
        <v>548</v>
      </c>
      <c r="AH210" s="29" t="s">
        <v>546</v>
      </c>
      <c r="AI210" s="29" t="s">
        <v>546</v>
      </c>
      <c r="AJ210" s="29" t="s">
        <v>546</v>
      </c>
      <c r="AK210" s="29">
        <v>1</v>
      </c>
      <c r="AL210" s="29">
        <v>4</v>
      </c>
      <c r="AM210" s="29" t="s">
        <v>1090</v>
      </c>
      <c r="AN210" s="29" t="s">
        <v>1091</v>
      </c>
      <c r="AO210" s="29">
        <v>-4.331390380859375</v>
      </c>
      <c r="AP210" s="29">
        <v>35.444061279296875</v>
      </c>
      <c r="AQ210" s="29">
        <v>1547.800048828125</v>
      </c>
      <c r="AR210" s="29">
        <v>10</v>
      </c>
      <c r="AS210" s="29">
        <v>1705231439</v>
      </c>
      <c r="AT210" s="29" t="s">
        <v>1092</v>
      </c>
      <c r="AU210" s="31">
        <v>42923.387129629627</v>
      </c>
      <c r="AV210" s="31">
        <v>42907.452303240745</v>
      </c>
      <c r="AW210" s="31">
        <v>42923.383032407408</v>
      </c>
      <c r="AX210" s="32">
        <v>42775</v>
      </c>
      <c r="AZ210" s="44">
        <v>3.4831746031746036</v>
      </c>
      <c r="BA210" s="44">
        <v>2.5119047619047619</v>
      </c>
      <c r="BB210" s="44">
        <v>2.3957142857142864</v>
      </c>
      <c r="BC210" s="44">
        <v>2.180714285714286</v>
      </c>
      <c r="BD210" s="29" t="s">
        <v>2171</v>
      </c>
      <c r="BE210" s="29">
        <v>0</v>
      </c>
      <c r="BF210" s="29" t="str">
        <f>IF(BE210&lt;0.5,"Depression",IF(BE210&lt;2,"Very gentle",IF(BE210&lt;5,"Gentle",IF(BE210&lt;9,"Moderate",IF(BE210&lt;15,"Strong",IF(BE210&lt;30,"Steep",IF(BE210&lt;1,"Very steep")))))))</f>
        <v>Depression</v>
      </c>
      <c r="BG210" s="29" t="s">
        <v>2173</v>
      </c>
      <c r="BH210" s="29">
        <v>8.4776775111099995E-6</v>
      </c>
      <c r="BI210" s="43">
        <v>11.4374370575</v>
      </c>
      <c r="BJ210" s="43">
        <f>VLOOKUP(D210,[1]SoilData!$G$15:$K$237,5,FALSE)</f>
        <v>306.64434920787807</v>
      </c>
      <c r="BK210" s="43"/>
      <c r="BL210" s="43">
        <f>VLOOKUP(D210,[1]SoilData!$G$15:$M$238,7,FALSE)</f>
        <v>1.712</v>
      </c>
      <c r="BM210" s="43"/>
      <c r="BN210" s="60"/>
      <c r="BO210" s="44">
        <f>AVERAGE(BB210:BC210)</f>
        <v>2.288214285714286</v>
      </c>
      <c r="BP210" s="44">
        <f>AVERAGE(AZ210:BA210)</f>
        <v>2.9975396825396827</v>
      </c>
      <c r="BQ210" s="43">
        <f>BP210-BO210</f>
        <v>0.70932539682539675</v>
      </c>
      <c r="BR210" s="64">
        <f>IF(W210&gt;0.000001,W210*352,0)</f>
        <v>1267.1999999999998</v>
      </c>
      <c r="BS210" s="64">
        <f>IF(AE210&gt;0.0001,AE210*682,0)</f>
        <v>0</v>
      </c>
      <c r="BT210" s="64">
        <f>AA210*795</f>
        <v>572.4</v>
      </c>
      <c r="BU210" s="64">
        <f>BR210+BS210+BT210</f>
        <v>1839.6</v>
      </c>
      <c r="BV210" s="64">
        <f>IF(G210="YES",3.5*18.2,0)</f>
        <v>63.699999999999996</v>
      </c>
      <c r="BW210" s="64">
        <f>BU210-BV210</f>
        <v>1775.8999999999999</v>
      </c>
    </row>
    <row r="211" spans="1:75" x14ac:dyDescent="0.15">
      <c r="A211" s="29" t="s">
        <v>789</v>
      </c>
      <c r="B211" s="29">
        <v>56</v>
      </c>
      <c r="C211" s="29" t="s">
        <v>365</v>
      </c>
      <c r="D211" s="29" t="s">
        <v>365</v>
      </c>
      <c r="E211" s="29" t="str">
        <f>VLOOKUP(D211,Harvest_2017_Formulae!$C$2:$D$968,2,FALSE)</f>
        <v>MANDI</v>
      </c>
      <c r="F211" s="29" t="s">
        <v>1014</v>
      </c>
      <c r="G211" s="61" t="s">
        <v>548</v>
      </c>
      <c r="H211" s="29" t="s">
        <v>568</v>
      </c>
      <c r="I211" s="29" t="s">
        <v>548</v>
      </c>
      <c r="J211" s="29" t="s">
        <v>546</v>
      </c>
      <c r="K211" s="29" t="s">
        <v>548</v>
      </c>
      <c r="L211" s="29" t="s">
        <v>2221</v>
      </c>
      <c r="M211" s="29" t="s">
        <v>548</v>
      </c>
      <c r="N211" s="29" t="s">
        <v>548</v>
      </c>
      <c r="O211" s="29" t="s">
        <v>550</v>
      </c>
      <c r="P211" s="29">
        <v>2.25</v>
      </c>
      <c r="Q211" s="29">
        <v>14.75</v>
      </c>
      <c r="R211" s="29">
        <v>0</v>
      </c>
      <c r="S211" s="29" t="s">
        <v>548</v>
      </c>
      <c r="T211" s="29">
        <v>1</v>
      </c>
      <c r="U211" s="29">
        <v>10</v>
      </c>
      <c r="V211" s="29" t="s">
        <v>551</v>
      </c>
      <c r="W211" s="30">
        <v>2.4</v>
      </c>
      <c r="X211" s="29">
        <v>1</v>
      </c>
      <c r="Y211" s="29">
        <v>1</v>
      </c>
      <c r="Z211" s="29" t="s">
        <v>551</v>
      </c>
      <c r="AA211" s="62">
        <v>0.24</v>
      </c>
      <c r="AB211" s="29">
        <v>1</v>
      </c>
      <c r="AC211" s="29">
        <v>0</v>
      </c>
      <c r="AD211" s="29" t="s">
        <v>551</v>
      </c>
      <c r="AE211" s="62">
        <v>0</v>
      </c>
      <c r="AF211" s="29" t="s">
        <v>548</v>
      </c>
      <c r="AG211" s="29" t="s">
        <v>548</v>
      </c>
      <c r="AH211" s="29" t="s">
        <v>548</v>
      </c>
      <c r="AI211" s="29" t="s">
        <v>548</v>
      </c>
      <c r="AJ211" s="29" t="s">
        <v>548</v>
      </c>
      <c r="AK211" s="29">
        <v>5</v>
      </c>
      <c r="AL211" s="29">
        <v>6</v>
      </c>
      <c r="AM211" s="29" t="s">
        <v>1059</v>
      </c>
      <c r="AN211" s="29" t="s">
        <v>1060</v>
      </c>
      <c r="AO211" s="29">
        <v>-4.3269343376159668</v>
      </c>
      <c r="AP211" s="29">
        <v>35.441261291503906</v>
      </c>
      <c r="AQ211" s="29">
        <v>1566</v>
      </c>
      <c r="AR211" s="29">
        <v>5</v>
      </c>
      <c r="AS211" s="29">
        <v>1705231439</v>
      </c>
      <c r="AT211" s="29" t="s">
        <v>1061</v>
      </c>
      <c r="AU211" s="31">
        <v>42923.38181712963</v>
      </c>
      <c r="AV211" s="31">
        <v>42908.611145833333</v>
      </c>
      <c r="AW211" s="31">
        <v>42908.625833333332</v>
      </c>
      <c r="AX211" s="32">
        <v>42759</v>
      </c>
      <c r="AZ211" s="44">
        <v>2.9527272727272726</v>
      </c>
      <c r="BA211" s="44">
        <v>4.6157575757575753</v>
      </c>
      <c r="BB211" s="44">
        <v>1.7051282051282051</v>
      </c>
      <c r="BC211" s="44">
        <v>1.6239316239316239</v>
      </c>
      <c r="BD211" s="29" t="s">
        <v>2171</v>
      </c>
      <c r="BE211" s="29">
        <v>0</v>
      </c>
      <c r="BF211" s="29" t="str">
        <f>IF(BE211&lt;0.5,"Depression",IF(BE211&lt;2,"Very gentle",IF(BE211&lt;5,"Gentle",IF(BE211&lt;9,"Moderate",IF(BE211&lt;15,"Strong",IF(BE211&lt;30,"Steep",IF(BE211&lt;1,"Very steep")))))))</f>
        <v>Depression</v>
      </c>
      <c r="BG211" s="29" t="s">
        <v>2173</v>
      </c>
      <c r="BH211" s="29">
        <v>8.4776775111099995E-6</v>
      </c>
      <c r="BI211" s="43">
        <v>11.4374370575</v>
      </c>
      <c r="BJ211" s="43">
        <f>VLOOKUP(D211,[1]SoilData!$G$15:$K$237,5,FALSE)</f>
        <v>311.75152886791551</v>
      </c>
      <c r="BK211" s="43">
        <f>VLOOKUP(D211,[1]SoilData!$G$245:$K$451,5,FALSE)</f>
        <v>187.90242211200467</v>
      </c>
      <c r="BL211" s="43">
        <f>VLOOKUP(D211,[1]SoilData!$G$15:$M$238,7,FALSE)</f>
        <v>1.323</v>
      </c>
      <c r="BM211" s="43">
        <f>VLOOKUP(D211,[1]SoilData!$G$245:$M$454,7,FALSE)</f>
        <v>1.554</v>
      </c>
      <c r="BN211" s="60">
        <f>BL211-BM211</f>
        <v>-0.23100000000000009</v>
      </c>
      <c r="BO211" s="44">
        <f>AVERAGE(BB211:BC211)</f>
        <v>1.6645299145299144</v>
      </c>
      <c r="BP211" s="44">
        <f>AVERAGE(AZ211:BA211)</f>
        <v>3.7842424242424242</v>
      </c>
      <c r="BQ211" s="43">
        <f>BP211-BO211</f>
        <v>2.1197125097125098</v>
      </c>
      <c r="BR211" s="64">
        <f>IF(W211&gt;0.000001,W211*352,0)</f>
        <v>844.8</v>
      </c>
      <c r="BS211" s="64">
        <f>IF(AE211&gt;0.0001,AE211*682,0)</f>
        <v>0</v>
      </c>
      <c r="BT211" s="64">
        <f>AA211*795</f>
        <v>190.79999999999998</v>
      </c>
      <c r="BU211" s="64">
        <f>BR211+BS211+BT211</f>
        <v>1035.5999999999999</v>
      </c>
      <c r="BV211" s="64">
        <f>IF(G211="YES",3.5*18.2,0)</f>
        <v>63.699999999999996</v>
      </c>
      <c r="BW211" s="64">
        <f>BU211-BV211</f>
        <v>971.89999999999986</v>
      </c>
    </row>
    <row r="212" spans="1:75" x14ac:dyDescent="0.15">
      <c r="A212" s="29" t="s">
        <v>556</v>
      </c>
      <c r="B212" s="29">
        <v>108</v>
      </c>
      <c r="C212" s="29" t="s">
        <v>1425</v>
      </c>
      <c r="D212" s="29" t="s">
        <v>1425</v>
      </c>
      <c r="E212" s="29" t="s">
        <v>1310</v>
      </c>
      <c r="F212" s="29" t="s">
        <v>1310</v>
      </c>
      <c r="G212" s="61" t="s">
        <v>546</v>
      </c>
      <c r="H212" s="29" t="s">
        <v>547</v>
      </c>
      <c r="I212" s="29" t="s">
        <v>548</v>
      </c>
      <c r="J212" s="29" t="s">
        <v>546</v>
      </c>
      <c r="K212" s="29" t="s">
        <v>548</v>
      </c>
      <c r="L212" s="29" t="s">
        <v>2221</v>
      </c>
      <c r="M212" s="29" t="s">
        <v>546</v>
      </c>
      <c r="N212" s="29" t="s">
        <v>548</v>
      </c>
      <c r="O212" s="29" t="s">
        <v>550</v>
      </c>
      <c r="P212" s="29">
        <v>0.25</v>
      </c>
      <c r="Q212" s="29">
        <v>2.75</v>
      </c>
      <c r="R212" s="29">
        <v>0</v>
      </c>
      <c r="S212" s="29" t="s">
        <v>548</v>
      </c>
      <c r="T212" s="29">
        <v>0.5</v>
      </c>
      <c r="U212" s="29">
        <v>4</v>
      </c>
      <c r="V212" s="29" t="s">
        <v>551</v>
      </c>
      <c r="W212" s="30">
        <v>1.92</v>
      </c>
      <c r="X212" s="29">
        <v>0.5</v>
      </c>
      <c r="Y212" s="29">
        <v>999</v>
      </c>
      <c r="Z212" s="29" t="s">
        <v>551</v>
      </c>
      <c r="AA212" s="62"/>
      <c r="AB212" s="29">
        <v>0.5</v>
      </c>
      <c r="AC212" s="29">
        <v>1</v>
      </c>
      <c r="AD212" s="29" t="s">
        <v>552</v>
      </c>
      <c r="AE212" s="62">
        <v>8.0159999999999995E-2</v>
      </c>
      <c r="AF212" s="29" t="s">
        <v>546</v>
      </c>
      <c r="AG212" s="29" t="s">
        <v>546</v>
      </c>
      <c r="AH212" s="29" t="s">
        <v>546</v>
      </c>
      <c r="AI212" s="29" t="s">
        <v>546</v>
      </c>
      <c r="AJ212" s="29" t="s">
        <v>546</v>
      </c>
      <c r="AK212" s="29">
        <v>0</v>
      </c>
      <c r="AL212" s="29">
        <v>3</v>
      </c>
      <c r="AM212" s="29" t="s">
        <v>1426</v>
      </c>
      <c r="AN212" s="29" t="s">
        <v>1427</v>
      </c>
      <c r="AO212" s="29">
        <v>-4.2652149200439453</v>
      </c>
      <c r="AP212" s="29">
        <v>35.521144866943359</v>
      </c>
      <c r="AQ212" s="29">
        <v>1631.0999755859375</v>
      </c>
      <c r="AR212" s="29">
        <v>5</v>
      </c>
      <c r="AS212" s="29">
        <v>1706031849</v>
      </c>
      <c r="AT212" s="29" t="s">
        <v>1428</v>
      </c>
      <c r="AU212" s="31">
        <v>42903.412916666668</v>
      </c>
      <c r="AV212" s="31">
        <v>42901.480324074073</v>
      </c>
      <c r="AW212" s="31">
        <v>42901.503229166672</v>
      </c>
      <c r="AX212" s="32">
        <v>42750</v>
      </c>
      <c r="BD212" s="29" t="s">
        <v>2171</v>
      </c>
      <c r="BE212" s="29">
        <v>3.20911693573</v>
      </c>
      <c r="BF212" s="29" t="str">
        <f>IF(BE212&lt;0.5,"Depression",IF(BE212&lt;2,"Very gentle",IF(BE212&lt;5,"Gentle",IF(BE212&lt;9,"Moderate",IF(BE212&lt;15,"Strong",IF(BE212&lt;30,"Steep",IF(BE212&lt;1,"Very steep")))))))</f>
        <v>Gentle</v>
      </c>
      <c r="BG212" s="29" t="s">
        <v>2173</v>
      </c>
      <c r="BH212" s="29">
        <v>-9.0633422136300004E-2</v>
      </c>
      <c r="BI212" s="43">
        <v>10.287559509299999</v>
      </c>
      <c r="BJ212" s="43">
        <f>VLOOKUP(D212,[1]SoilData!$G$15:$K$237,5,FALSE)</f>
        <v>241.00471607792554</v>
      </c>
      <c r="BK212" s="43"/>
      <c r="BL212" s="56"/>
      <c r="BM212" s="43"/>
      <c r="BN212" s="60"/>
      <c r="BO212" s="43"/>
      <c r="BP212" s="43"/>
      <c r="BQ212" s="43"/>
      <c r="BR212" s="64">
        <f>IF(W212&gt;0.000001,W212*352,0)</f>
        <v>675.83999999999992</v>
      </c>
      <c r="BS212" s="64">
        <f>IF(AE212&gt;0.0001,AE212*682,0)</f>
        <v>54.669119999999999</v>
      </c>
      <c r="BT212" s="64">
        <f>AA212*795</f>
        <v>0</v>
      </c>
      <c r="BU212" s="64">
        <f>BR212+BS212+BT212</f>
        <v>730.50911999999994</v>
      </c>
      <c r="BV212" s="64">
        <f>IF(G212="YES",3.5*18.2,0)</f>
        <v>0</v>
      </c>
      <c r="BW212" s="64">
        <f>BU212-BV212</f>
        <v>730.50911999999994</v>
      </c>
    </row>
    <row r="213" spans="1:75" x14ac:dyDescent="0.15">
      <c r="A213" s="29" t="s">
        <v>1182</v>
      </c>
      <c r="B213" s="29">
        <v>92</v>
      </c>
      <c r="C213" s="29" t="s">
        <v>412</v>
      </c>
      <c r="D213" s="29" t="s">
        <v>412</v>
      </c>
      <c r="E213" s="29" t="str">
        <f>VLOOKUP(D213,Harvest_2017_Formulae!$C$2:$D$968,2,FALSE)</f>
        <v>SABILO</v>
      </c>
      <c r="F213" s="29" t="s">
        <v>1175</v>
      </c>
      <c r="G213" s="61" t="s">
        <v>548</v>
      </c>
      <c r="H213" s="29" t="s">
        <v>568</v>
      </c>
      <c r="I213" s="29" t="s">
        <v>548</v>
      </c>
      <c r="J213" s="29" t="s">
        <v>546</v>
      </c>
      <c r="K213" s="29" t="s">
        <v>548</v>
      </c>
      <c r="L213" s="29" t="s">
        <v>2221</v>
      </c>
      <c r="M213" s="29" t="s">
        <v>548</v>
      </c>
      <c r="N213" s="29" t="s">
        <v>548</v>
      </c>
      <c r="O213" s="29" t="s">
        <v>550</v>
      </c>
      <c r="P213" s="29">
        <v>6.6700000762939453</v>
      </c>
      <c r="Q213" s="29">
        <v>106.66816894500001</v>
      </c>
      <c r="R213" s="29">
        <v>0</v>
      </c>
      <c r="S213" s="29" t="s">
        <v>548</v>
      </c>
      <c r="T213" s="29">
        <v>1</v>
      </c>
      <c r="U213" s="29">
        <v>6.6700000762939453</v>
      </c>
      <c r="V213" s="29" t="s">
        <v>551</v>
      </c>
      <c r="W213" s="30">
        <v>1.6008000183105471</v>
      </c>
      <c r="X213" s="29">
        <v>1</v>
      </c>
      <c r="Y213" s="29">
        <v>1.5</v>
      </c>
      <c r="Z213" s="29" t="s">
        <v>551</v>
      </c>
      <c r="AA213" s="62">
        <v>0.36</v>
      </c>
      <c r="AB213" s="29">
        <v>1</v>
      </c>
      <c r="AC213" s="29">
        <v>0</v>
      </c>
      <c r="AD213" s="29" t="s">
        <v>551</v>
      </c>
      <c r="AE213" s="62">
        <v>0</v>
      </c>
      <c r="AF213" s="29" t="s">
        <v>546</v>
      </c>
      <c r="AG213" s="29" t="s">
        <v>546</v>
      </c>
      <c r="AH213" s="29" t="s">
        <v>546</v>
      </c>
      <c r="AI213" s="29" t="s">
        <v>546</v>
      </c>
      <c r="AJ213" s="29" t="s">
        <v>548</v>
      </c>
      <c r="AK213" s="29">
        <v>1</v>
      </c>
      <c r="AL213" s="29">
        <v>4</v>
      </c>
      <c r="AM213" s="29" t="s">
        <v>1197</v>
      </c>
      <c r="AN213" s="29" t="s">
        <v>1198</v>
      </c>
      <c r="AO213" s="29">
        <v>-4.3602652549743652</v>
      </c>
      <c r="AP213" s="29">
        <v>35.487712860107422</v>
      </c>
      <c r="AQ213" s="29">
        <v>1703.699951171875</v>
      </c>
      <c r="AR213" s="29">
        <v>15</v>
      </c>
      <c r="AS213" s="29">
        <v>1705231439</v>
      </c>
      <c r="AT213" s="29" t="s">
        <v>1199</v>
      </c>
      <c r="AU213" s="31">
        <v>42927.345300925925</v>
      </c>
      <c r="AV213" s="31">
        <v>42895.53738425926</v>
      </c>
      <c r="AW213" s="31">
        <v>42923.465648148151</v>
      </c>
      <c r="AX213" s="32">
        <v>42772</v>
      </c>
      <c r="AZ213" s="44">
        <v>4.5277777777777786</v>
      </c>
      <c r="BA213" s="44">
        <v>3.6431196581196583</v>
      </c>
      <c r="BB213" s="44">
        <v>3.4035672514619888</v>
      </c>
      <c r="BC213" s="44">
        <v>4.0140350877192983</v>
      </c>
      <c r="BD213" s="29" t="s">
        <v>2171</v>
      </c>
      <c r="BE213" s="29">
        <v>1.79088056087</v>
      </c>
      <c r="BF213" s="29" t="str">
        <f>IF(BE213&lt;0.5,"Depression",IF(BE213&lt;2,"Very gentle",IF(BE213&lt;5,"Gentle",IF(BE213&lt;9,"Moderate",IF(BE213&lt;15,"Strong",IF(BE213&lt;30,"Steep",IF(BE213&lt;1,"Very steep")))))))</f>
        <v>Very gentle</v>
      </c>
      <c r="BG213" s="29" t="s">
        <v>2173</v>
      </c>
      <c r="BH213" s="29">
        <v>9.0650379657699995E-2</v>
      </c>
      <c r="BI213" s="43">
        <v>8.58259773254</v>
      </c>
      <c r="BJ213" s="43">
        <f>VLOOKUP(D213,[1]SoilData!$G$15:$K$237,5,FALSE)</f>
        <v>127.47513527697215</v>
      </c>
      <c r="BK213" s="43">
        <f>VLOOKUP(D213,[1]SoilData!$G$245:$K$451,5,FALSE)</f>
        <v>230.79980993851393</v>
      </c>
      <c r="BL213" s="43">
        <f>VLOOKUP(D213,[1]SoilData!$G$15:$M$238,7,FALSE)</f>
        <v>1.611</v>
      </c>
      <c r="BM213" s="43">
        <f>VLOOKUP(D213,[1]SoilData!$G$245:$M$454,7,FALSE)</f>
        <v>1.825</v>
      </c>
      <c r="BN213" s="60">
        <f>BL213-BM213</f>
        <v>-0.21399999999999997</v>
      </c>
      <c r="BO213" s="44">
        <f>AVERAGE(BB213:BC213)</f>
        <v>3.7088011695906435</v>
      </c>
      <c r="BP213" s="44">
        <f>AVERAGE(AZ213:BA213)</f>
        <v>4.0854487179487187</v>
      </c>
      <c r="BQ213" s="43">
        <f>BP213-BO213</f>
        <v>0.37664754835807512</v>
      </c>
      <c r="BR213" s="64">
        <f>IF(W213&gt;0.000001,W213*352,0)</f>
        <v>563.48160644531254</v>
      </c>
      <c r="BS213" s="64">
        <f>IF(AE213&gt;0.0001,AE213*682,0)</f>
        <v>0</v>
      </c>
      <c r="BT213" s="64">
        <f>AA213*795</f>
        <v>286.2</v>
      </c>
      <c r="BU213" s="64">
        <f>BR213+BS213+BT213</f>
        <v>849.68160644531258</v>
      </c>
      <c r="BV213" s="64">
        <f>IF(G213="YES",3.5*18.2,0)</f>
        <v>63.699999999999996</v>
      </c>
      <c r="BW213" s="64">
        <f>BU213-BV213</f>
        <v>785.98160644531254</v>
      </c>
    </row>
    <row r="214" spans="1:75" x14ac:dyDescent="0.15">
      <c r="A214" s="29" t="s">
        <v>556</v>
      </c>
      <c r="B214" s="29">
        <v>188</v>
      </c>
      <c r="C214" s="29" t="s">
        <v>353</v>
      </c>
      <c r="D214" s="29" t="s">
        <v>353</v>
      </c>
      <c r="E214" s="29" t="str">
        <f>VLOOKUP(D214,Harvest_2017_Formulae!$C$2:$D$968,2,FALSE)</f>
        <v>ENDANOGA</v>
      </c>
      <c r="F214" s="29" t="s">
        <v>843</v>
      </c>
      <c r="G214" s="61" t="s">
        <v>548</v>
      </c>
      <c r="H214" s="29" t="s">
        <v>568</v>
      </c>
      <c r="I214" s="29" t="s">
        <v>548</v>
      </c>
      <c r="J214" s="29" t="s">
        <v>546</v>
      </c>
      <c r="K214" s="29" t="s">
        <v>548</v>
      </c>
      <c r="L214" s="29" t="s">
        <v>2221</v>
      </c>
      <c r="M214" s="29" t="s">
        <v>546</v>
      </c>
      <c r="N214" s="29" t="s">
        <v>548</v>
      </c>
      <c r="O214" s="29" t="s">
        <v>550</v>
      </c>
      <c r="P214" s="29">
        <v>1.25</v>
      </c>
      <c r="Q214" s="29">
        <v>3</v>
      </c>
      <c r="S214" s="29" t="s">
        <v>548</v>
      </c>
      <c r="T214" s="29">
        <v>4.25</v>
      </c>
      <c r="U214" s="29">
        <v>28</v>
      </c>
      <c r="V214" s="29" t="s">
        <v>551</v>
      </c>
      <c r="W214" s="30">
        <v>1.5811764705882354</v>
      </c>
      <c r="Y214" s="29">
        <v>999</v>
      </c>
      <c r="Z214" s="29" t="s">
        <v>551</v>
      </c>
      <c r="AA214" s="62"/>
      <c r="AB214" s="29">
        <v>4.25</v>
      </c>
      <c r="AC214" s="29">
        <v>3</v>
      </c>
      <c r="AD214" s="29" t="s">
        <v>551</v>
      </c>
      <c r="AE214" s="62">
        <v>0.16941176470588235</v>
      </c>
      <c r="AF214" s="29" t="s">
        <v>548</v>
      </c>
      <c r="AG214" s="29" t="s">
        <v>548</v>
      </c>
      <c r="AH214" s="29" t="s">
        <v>548</v>
      </c>
      <c r="AI214" s="29" t="s">
        <v>548</v>
      </c>
      <c r="AJ214" s="29" t="s">
        <v>548</v>
      </c>
      <c r="AK214" s="29">
        <v>5</v>
      </c>
      <c r="AL214" s="29">
        <v>3</v>
      </c>
      <c r="AM214" s="29" t="s">
        <v>923</v>
      </c>
      <c r="AN214" s="29" t="s">
        <v>924</v>
      </c>
      <c r="AO214" s="29">
        <v>-4.2555704116821289</v>
      </c>
      <c r="AP214" s="29">
        <v>35.879535675048828</v>
      </c>
      <c r="AQ214" s="29">
        <v>1262</v>
      </c>
      <c r="AR214" s="29">
        <v>5</v>
      </c>
      <c r="AS214" s="29">
        <v>1706031849</v>
      </c>
      <c r="AT214" s="29" t="s">
        <v>925</v>
      </c>
      <c r="AU214" s="31">
        <v>42940.360034722224</v>
      </c>
      <c r="AV214" s="31">
        <v>42924.447013888886</v>
      </c>
      <c r="AW214" s="31">
        <v>42924.460104166668</v>
      </c>
      <c r="AX214" s="32">
        <v>42797</v>
      </c>
      <c r="AZ214" s="44">
        <v>4.8857142857142852</v>
      </c>
      <c r="BA214" s="44">
        <v>4.8428571428571434</v>
      </c>
      <c r="BB214" s="44">
        <v>2.0777777777777784</v>
      </c>
      <c r="BC214" s="44">
        <v>1.6730158730158731</v>
      </c>
      <c r="BD214" s="29" t="s">
        <v>2171</v>
      </c>
      <c r="BE214" s="29">
        <v>1.0975884199099999</v>
      </c>
      <c r="BF214" s="29" t="str">
        <f>IF(BE214&lt;0.5,"Depression",IF(BE214&lt;2,"Very gentle",IF(BE214&lt;5,"Gentle",IF(BE214&lt;9,"Moderate",IF(BE214&lt;15,"Strong",IF(BE214&lt;30,"Steep",IF(BE214&lt;1,"Very steep")))))))</f>
        <v>Very gentle</v>
      </c>
      <c r="BG214" s="29" t="s">
        <v>2173</v>
      </c>
      <c r="BH214" s="29">
        <v>9.0650379657699995E-2</v>
      </c>
      <c r="BI214" s="43">
        <v>9.8140182495099992</v>
      </c>
      <c r="BJ214" s="43">
        <f>VLOOKUP(D214,[1]SoilData!$G$15:$K$237,5,FALSE)</f>
        <v>224.66245065830302</v>
      </c>
      <c r="BK214" s="43">
        <f>VLOOKUP(D214,[1]SoilData!$G$245:$K$451,5,FALSE)</f>
        <v>247.34017383070125</v>
      </c>
      <c r="BL214" s="43">
        <f>VLOOKUP(D214,[1]SoilData!$G$15:$M$238,7,FALSE)</f>
        <v>1.3480000000000001</v>
      </c>
      <c r="BM214" s="43">
        <f>VLOOKUP(D214,[1]SoilData!$G$245:$M$454,7,FALSE)</f>
        <v>1.139</v>
      </c>
      <c r="BN214" s="60">
        <f>BL214-BM214</f>
        <v>0.20900000000000007</v>
      </c>
      <c r="BO214" s="44">
        <f>AVERAGE(BB214:BC214)</f>
        <v>1.8753968253968258</v>
      </c>
      <c r="BP214" s="44">
        <f>AVERAGE(AZ214:BA214)</f>
        <v>4.8642857142857139</v>
      </c>
      <c r="BQ214" s="43">
        <f>BP214-BO214</f>
        <v>2.988888888888888</v>
      </c>
      <c r="BR214" s="64">
        <f>IF(W214&gt;0.000001,W214*352,0)</f>
        <v>556.57411764705887</v>
      </c>
      <c r="BS214" s="64">
        <f>IF(AE214&gt;0.0001,AE214*682,0)</f>
        <v>115.53882352941176</v>
      </c>
      <c r="BT214" s="64">
        <f>AA214*795</f>
        <v>0</v>
      </c>
      <c r="BU214" s="64">
        <f>BR214+BS214+BT214</f>
        <v>672.1129411764706</v>
      </c>
      <c r="BV214" s="64">
        <f>IF(G214="YES",3.5*18.2,0)</f>
        <v>63.699999999999996</v>
      </c>
      <c r="BW214" s="64">
        <f>BU214-BV214</f>
        <v>608.41294117647055</v>
      </c>
    </row>
    <row r="215" spans="1:75" x14ac:dyDescent="0.15">
      <c r="A215" s="29" t="s">
        <v>544</v>
      </c>
      <c r="B215" s="29">
        <v>83</v>
      </c>
      <c r="C215" s="29" t="s">
        <v>1507</v>
      </c>
      <c r="D215" s="29" t="s">
        <v>1507</v>
      </c>
      <c r="E215" s="29" t="e">
        <f>VLOOKUP(D215,Harvest_2017_Formulae!$C$2:$D$968,2,FALSE)</f>
        <v>#N/A</v>
      </c>
      <c r="F215" s="29" t="s">
        <v>777</v>
      </c>
      <c r="G215" s="61" t="s">
        <v>548</v>
      </c>
      <c r="H215" s="29" t="s">
        <v>614</v>
      </c>
      <c r="I215" s="29" t="s">
        <v>546</v>
      </c>
      <c r="J215" s="29" t="s">
        <v>546</v>
      </c>
      <c r="K215" s="29" t="s">
        <v>548</v>
      </c>
      <c r="L215" s="29" t="s">
        <v>2220</v>
      </c>
      <c r="M215" s="29" t="s">
        <v>548</v>
      </c>
      <c r="N215" s="29" t="s">
        <v>546</v>
      </c>
      <c r="O215" s="29" t="s">
        <v>547</v>
      </c>
      <c r="P215" s="29">
        <v>0.25</v>
      </c>
      <c r="R215" s="29">
        <v>0.75</v>
      </c>
      <c r="S215" s="29" t="s">
        <v>546</v>
      </c>
      <c r="T215" s="29">
        <v>1</v>
      </c>
      <c r="U215" s="29">
        <v>16</v>
      </c>
      <c r="V215" s="29" t="s">
        <v>551</v>
      </c>
      <c r="W215" s="30">
        <v>3.84</v>
      </c>
      <c r="Y215" s="29">
        <v>999</v>
      </c>
      <c r="Z215" s="29" t="s">
        <v>551</v>
      </c>
      <c r="AA215" s="62"/>
      <c r="AB215" s="29">
        <v>1</v>
      </c>
      <c r="AC215" s="29">
        <v>5.1999998092651367</v>
      </c>
      <c r="AD215" s="29" t="s">
        <v>551</v>
      </c>
      <c r="AE215" s="62">
        <v>1.2479999542236329</v>
      </c>
      <c r="AF215" s="29" t="s">
        <v>546</v>
      </c>
      <c r="AG215" s="29" t="s">
        <v>546</v>
      </c>
      <c r="AH215" s="29" t="s">
        <v>546</v>
      </c>
      <c r="AI215" s="29" t="s">
        <v>546</v>
      </c>
      <c r="AJ215" s="29" t="s">
        <v>546</v>
      </c>
      <c r="AK215" s="29">
        <v>0</v>
      </c>
      <c r="AL215" s="29">
        <v>4</v>
      </c>
      <c r="AM215" s="29" t="s">
        <v>1510</v>
      </c>
      <c r="AN215" s="29" t="s">
        <v>1511</v>
      </c>
      <c r="AO215" s="29">
        <v>-4.3094668388366699</v>
      </c>
      <c r="AP215" s="29">
        <v>35.865596771240234</v>
      </c>
      <c r="AQ215" s="29">
        <v>1239.300048828125</v>
      </c>
      <c r="AR215" s="29">
        <v>5</v>
      </c>
      <c r="AS215" s="29">
        <v>1705231439</v>
      </c>
      <c r="AT215" s="29" t="s">
        <v>1512</v>
      </c>
      <c r="AU215" s="31">
        <v>42927.345231481479</v>
      </c>
      <c r="AV215" s="31">
        <v>42888.592824074076</v>
      </c>
      <c r="AW215" s="31">
        <v>42927.344814814816</v>
      </c>
      <c r="AX215" s="32">
        <v>42789</v>
      </c>
      <c r="BD215" s="29" t="s">
        <v>2171</v>
      </c>
      <c r="BE215" s="29">
        <v>0.85303092002900005</v>
      </c>
      <c r="BF215" s="29" t="str">
        <f>IF(BE215&lt;0.5,"Depression",IF(BE215&lt;2,"Very gentle",IF(BE215&lt;5,"Gentle",IF(BE215&lt;9,"Moderate",IF(BE215&lt;15,"Strong",IF(BE215&lt;30,"Steep",IF(BE215&lt;1,"Very steep")))))))</f>
        <v>Very gentle</v>
      </c>
      <c r="BG215" s="29" t="s">
        <v>2177</v>
      </c>
      <c r="BH215" s="29">
        <v>0.54385989904400001</v>
      </c>
      <c r="BI215" s="43">
        <v>8.6651210784899995</v>
      </c>
      <c r="BJ215" s="43"/>
      <c r="BK215" s="43"/>
      <c r="BL215" s="43"/>
      <c r="BM215" s="43"/>
      <c r="BN215" s="60"/>
      <c r="BO215" s="43"/>
      <c r="BP215" s="43"/>
      <c r="BQ215" s="43"/>
      <c r="BR215" s="64">
        <f>IF(W215&gt;0.000001,W215*352,0)</f>
        <v>1351.6799999999998</v>
      </c>
      <c r="BS215" s="64">
        <f>IF(AE215&gt;0.0001,AE215*682,0)</f>
        <v>851.1359687805176</v>
      </c>
      <c r="BT215" s="64">
        <f>AA215*795</f>
        <v>0</v>
      </c>
      <c r="BU215" s="64">
        <f>BR215+BS215+BT215</f>
        <v>2202.8159687805173</v>
      </c>
      <c r="BV215" s="64">
        <f>IF(G215="YES",3.5*18.2,0)</f>
        <v>63.699999999999996</v>
      </c>
      <c r="BW215" s="64">
        <f>BU215-BV215</f>
        <v>2139.1159687805175</v>
      </c>
    </row>
    <row r="216" spans="1:75" x14ac:dyDescent="0.15">
      <c r="A216" s="29" t="s">
        <v>789</v>
      </c>
      <c r="B216" s="29">
        <v>74</v>
      </c>
      <c r="C216" s="29" t="s">
        <v>142</v>
      </c>
      <c r="D216" s="29" t="s">
        <v>142</v>
      </c>
      <c r="E216" s="29" t="str">
        <f>VLOOKUP(D216,Harvest_2017_Formulae!$C$2:$D$968,2,FALSE)</f>
        <v>Endanachan</v>
      </c>
      <c r="F216" s="29" t="s">
        <v>777</v>
      </c>
      <c r="G216" s="61" t="s">
        <v>548</v>
      </c>
      <c r="H216" s="29" t="s">
        <v>568</v>
      </c>
      <c r="I216" s="29" t="s">
        <v>548</v>
      </c>
      <c r="J216" s="29" t="s">
        <v>546</v>
      </c>
      <c r="K216" s="29" t="s">
        <v>548</v>
      </c>
      <c r="L216" s="29" t="s">
        <v>2220</v>
      </c>
      <c r="M216" s="29" t="s">
        <v>548</v>
      </c>
      <c r="N216" s="29" t="s">
        <v>548</v>
      </c>
      <c r="O216" s="29" t="s">
        <v>827</v>
      </c>
      <c r="P216" s="29">
        <v>0.75</v>
      </c>
      <c r="Q216" s="29">
        <v>1.25</v>
      </c>
      <c r="R216" s="29">
        <v>0</v>
      </c>
      <c r="S216" s="29" t="s">
        <v>548</v>
      </c>
      <c r="T216" s="29">
        <v>1</v>
      </c>
      <c r="U216" s="29">
        <v>14</v>
      </c>
      <c r="V216" s="29" t="s">
        <v>551</v>
      </c>
      <c r="W216" s="30">
        <v>3.3600000000000003</v>
      </c>
      <c r="Y216" s="29">
        <v>999</v>
      </c>
      <c r="Z216" s="29" t="s">
        <v>551</v>
      </c>
      <c r="AA216" s="62"/>
      <c r="AB216" s="29">
        <v>1</v>
      </c>
      <c r="AC216" s="29">
        <v>1</v>
      </c>
      <c r="AD216" s="29" t="s">
        <v>551</v>
      </c>
      <c r="AE216" s="62">
        <v>0.24</v>
      </c>
      <c r="AF216" s="29" t="s">
        <v>548</v>
      </c>
      <c r="AG216" s="29" t="s">
        <v>546</v>
      </c>
      <c r="AH216" s="29" t="s">
        <v>548</v>
      </c>
      <c r="AI216" s="29" t="s">
        <v>546</v>
      </c>
      <c r="AJ216" s="29" t="s">
        <v>548</v>
      </c>
      <c r="AK216" s="29">
        <v>3</v>
      </c>
      <c r="AL216" s="29">
        <v>3</v>
      </c>
      <c r="AM216" s="29" t="s">
        <v>828</v>
      </c>
      <c r="AN216" s="29" t="s">
        <v>829</v>
      </c>
      <c r="AO216" s="29">
        <v>-4.3456454277038574</v>
      </c>
      <c r="AP216" s="29">
        <v>35.705318450927734</v>
      </c>
      <c r="AQ216" s="29">
        <v>1358</v>
      </c>
      <c r="AR216" s="29">
        <v>10</v>
      </c>
      <c r="AS216" s="29">
        <v>1705231439</v>
      </c>
      <c r="AT216" s="29" t="s">
        <v>830</v>
      </c>
      <c r="AU216" s="31">
        <v>42923.387118055558</v>
      </c>
      <c r="AV216" s="31">
        <v>42903.635358796295</v>
      </c>
      <c r="AW216" s="31">
        <v>42923.384085648147</v>
      </c>
      <c r="AX216" s="32">
        <v>43096</v>
      </c>
      <c r="AZ216" s="44">
        <v>5.9519323671497597</v>
      </c>
      <c r="BA216" s="44">
        <v>5.7777294685990341</v>
      </c>
      <c r="BB216" s="44">
        <v>3.2716666666666665</v>
      </c>
      <c r="BC216" s="44"/>
      <c r="BD216" s="29" t="s">
        <v>2171</v>
      </c>
      <c r="BE216" s="29">
        <v>1.7505050897600001</v>
      </c>
      <c r="BF216" s="29" t="str">
        <f>IF(BE216&lt;0.5,"Depression",IF(BE216&lt;2,"Very gentle",IF(BE216&lt;5,"Gentle",IF(BE216&lt;9,"Moderate",IF(BE216&lt;15,"Strong",IF(BE216&lt;30,"Steep",IF(BE216&lt;1,"Very steep")))))))</f>
        <v>Very gentle</v>
      </c>
      <c r="BG216" s="29" t="s">
        <v>2173</v>
      </c>
      <c r="BH216" s="29">
        <v>0.27193418145199999</v>
      </c>
      <c r="BI216" s="43">
        <v>8.9792985916100001</v>
      </c>
      <c r="BJ216" s="43">
        <f>VLOOKUP(D216,[1]SoilData!$G$15:$K$237,5,FALSE)</f>
        <v>369.95031282762386</v>
      </c>
      <c r="BK216" s="43">
        <f>VLOOKUP(D216,[1]SoilData!$G$245:$K$451,5,FALSE)</f>
        <v>272.41952044370817</v>
      </c>
      <c r="BL216" s="43">
        <f>VLOOKUP(D216,[1]SoilData!$G$15:$M$238,7,FALSE)</f>
        <v>1.171</v>
      </c>
      <c r="BM216" s="43">
        <f>VLOOKUP(D216,[1]SoilData!$G$245:$M$454,7,FALSE)</f>
        <v>0.97299999999999998</v>
      </c>
      <c r="BN216" s="60">
        <f>BL216-BM216</f>
        <v>0.19800000000000006</v>
      </c>
      <c r="BO216" s="44">
        <f>AVERAGE(BB216:BC216)</f>
        <v>3.2716666666666665</v>
      </c>
      <c r="BP216" s="44">
        <f>AVERAGE(AZ216:BA216)</f>
        <v>5.8648309178743965</v>
      </c>
      <c r="BQ216" s="43">
        <f>BP216-BO216</f>
        <v>2.59316425120773</v>
      </c>
      <c r="BR216" s="64">
        <f>IF(W216&gt;0.000001,W216*352,0)</f>
        <v>1182.72</v>
      </c>
      <c r="BS216" s="64">
        <f>IF(AE216&gt;0.0001,AE216*682,0)</f>
        <v>163.68</v>
      </c>
      <c r="BT216" s="64">
        <f>AA216*795</f>
        <v>0</v>
      </c>
      <c r="BU216" s="64">
        <f>BR216+BS216+BT216</f>
        <v>1346.4</v>
      </c>
      <c r="BV216" s="64">
        <f>IF(G216="YES",3.5*18.2,0)</f>
        <v>63.699999999999996</v>
      </c>
      <c r="BW216" s="64">
        <f>BU216-BV216</f>
        <v>1282.7</v>
      </c>
    </row>
    <row r="217" spans="1:75" x14ac:dyDescent="0.15">
      <c r="A217" s="29" t="s">
        <v>789</v>
      </c>
      <c r="B217" s="29">
        <v>76</v>
      </c>
      <c r="C217" s="29" t="s">
        <v>423</v>
      </c>
      <c r="D217" s="29" t="s">
        <v>423</v>
      </c>
      <c r="E217" s="29" t="str">
        <f>VLOOKUP(D217,Harvest_2017_Formulae!$C$2:$D$968,2,FALSE)</f>
        <v>Endanachan</v>
      </c>
      <c r="F217" s="29" t="s">
        <v>777</v>
      </c>
      <c r="G217" s="61" t="s">
        <v>548</v>
      </c>
      <c r="H217" s="29" t="s">
        <v>614</v>
      </c>
      <c r="I217" s="29" t="s">
        <v>548</v>
      </c>
      <c r="J217" s="29" t="s">
        <v>546</v>
      </c>
      <c r="K217" s="29" t="s">
        <v>548</v>
      </c>
      <c r="L217" s="29" t="s">
        <v>2221</v>
      </c>
      <c r="M217" s="29" t="s">
        <v>548</v>
      </c>
      <c r="N217" s="29" t="s">
        <v>548</v>
      </c>
      <c r="O217" s="29" t="s">
        <v>793</v>
      </c>
      <c r="P217" s="29">
        <v>6</v>
      </c>
      <c r="Q217" s="29">
        <v>9</v>
      </c>
      <c r="R217" s="29">
        <v>0</v>
      </c>
      <c r="S217" s="29" t="s">
        <v>546</v>
      </c>
      <c r="T217" s="29">
        <v>1</v>
      </c>
      <c r="U217" s="29">
        <v>16</v>
      </c>
      <c r="V217" s="29" t="s">
        <v>551</v>
      </c>
      <c r="W217" s="30">
        <v>3.84</v>
      </c>
      <c r="X217" s="29">
        <v>1</v>
      </c>
      <c r="Y217" s="29">
        <v>0.5</v>
      </c>
      <c r="Z217" s="29" t="s">
        <v>551</v>
      </c>
      <c r="AA217" s="62">
        <v>0.12</v>
      </c>
      <c r="AB217" s="29">
        <v>1</v>
      </c>
      <c r="AC217" s="29">
        <v>4</v>
      </c>
      <c r="AD217" s="29" t="s">
        <v>551</v>
      </c>
      <c r="AE217" s="62">
        <v>0.96</v>
      </c>
      <c r="AF217" s="29" t="s">
        <v>548</v>
      </c>
      <c r="AG217" s="29" t="s">
        <v>548</v>
      </c>
      <c r="AH217" s="29" t="s">
        <v>548</v>
      </c>
      <c r="AI217" s="29" t="s">
        <v>548</v>
      </c>
      <c r="AJ217" s="29" t="s">
        <v>548</v>
      </c>
      <c r="AK217" s="29">
        <v>5</v>
      </c>
      <c r="AL217" s="29">
        <v>5</v>
      </c>
      <c r="AM217" s="29" t="s">
        <v>807</v>
      </c>
      <c r="AN217" s="29" t="s">
        <v>808</v>
      </c>
      <c r="AO217" s="29">
        <v>-4.3533873558044434</v>
      </c>
      <c r="AP217" s="29">
        <v>35.696643829345703</v>
      </c>
      <c r="AQ217" s="29">
        <v>1402.5999755859375</v>
      </c>
      <c r="AR217" s="29">
        <v>10</v>
      </c>
      <c r="AS217" s="29">
        <v>1705231439</v>
      </c>
      <c r="AT217" s="29" t="s">
        <v>809</v>
      </c>
      <c r="AU217" s="31">
        <v>42923.387106481481</v>
      </c>
      <c r="AV217" s="31">
        <v>42903.589918981481</v>
      </c>
      <c r="AW217" s="31">
        <v>42923.384282407409</v>
      </c>
      <c r="AX217" s="32">
        <v>42738</v>
      </c>
      <c r="AZ217" s="44">
        <v>7.5034343434343445</v>
      </c>
      <c r="BA217" s="44">
        <v>7.2737373737373732</v>
      </c>
      <c r="BB217" s="44">
        <v>4.4421568627450982</v>
      </c>
      <c r="BC217" s="44">
        <v>4.6739215686274509</v>
      </c>
      <c r="BD217" s="29" t="s">
        <v>2179</v>
      </c>
      <c r="BE217" s="29">
        <v>6.8519463539099998</v>
      </c>
      <c r="BF217" s="29" t="str">
        <f>IF(BE217&lt;0.5,"Depression",IF(BE217&lt;2,"Very gentle",IF(BE217&lt;5,"Gentle",IF(BE217&lt;9,"Moderate",IF(BE217&lt;15,"Strong",IF(BE217&lt;30,"Steep",IF(BE217&lt;1,"Very steep")))))))</f>
        <v>Moderate</v>
      </c>
      <c r="BG217" s="29" t="s">
        <v>2178</v>
      </c>
      <c r="BH217" s="29">
        <v>8.4776775111099995E-6</v>
      </c>
      <c r="BI217" s="43">
        <v>8.0385475158700004</v>
      </c>
      <c r="BJ217" s="43">
        <f>VLOOKUP(D217,[1]SoilData!$G$15:$K$237,5,FALSE)</f>
        <v>504.54756103433351</v>
      </c>
      <c r="BK217" s="43">
        <f>VLOOKUP(D217,[1]SoilData!$G$245:$K$451,5,FALSE)</f>
        <v>577.32487118986876</v>
      </c>
      <c r="BL217" s="43">
        <f>VLOOKUP(D217,[1]SoilData!$G$15:$M$238,7,FALSE)</f>
        <v>1.2410000000000001</v>
      </c>
      <c r="BM217" s="43">
        <f>VLOOKUP(D217,[1]SoilData!$G$245:$M$454,7,FALSE)</f>
        <v>1.405</v>
      </c>
      <c r="BN217" s="60">
        <f>BL217-BM217</f>
        <v>-0.16399999999999992</v>
      </c>
      <c r="BO217" s="44">
        <f>AVERAGE(BB217:BC217)</f>
        <v>4.558039215686275</v>
      </c>
      <c r="BP217" s="44">
        <f>AVERAGE(AZ217:BA217)</f>
        <v>7.3885858585858593</v>
      </c>
      <c r="BQ217" s="43">
        <f>BP217-BO217</f>
        <v>2.8305466428995842</v>
      </c>
      <c r="BR217" s="64">
        <f>IF(W217&gt;0.000001,W217*352,0)</f>
        <v>1351.6799999999998</v>
      </c>
      <c r="BS217" s="64">
        <f>IF(AE217&gt;0.0001,AE217*682,0)</f>
        <v>654.72</v>
      </c>
      <c r="BT217" s="64">
        <f>AA217*795</f>
        <v>95.399999999999991</v>
      </c>
      <c r="BU217" s="64">
        <f>BR217+BS217+BT217</f>
        <v>2101.7999999999997</v>
      </c>
      <c r="BV217" s="64">
        <f>IF(G217="YES",3.5*18.2,0)</f>
        <v>63.699999999999996</v>
      </c>
      <c r="BW217" s="64">
        <f>BU217-BV217</f>
        <v>2038.0999999999997</v>
      </c>
    </row>
    <row r="218" spans="1:75" x14ac:dyDescent="0.15">
      <c r="A218" s="29" t="s">
        <v>556</v>
      </c>
      <c r="B218" s="29">
        <v>199</v>
      </c>
      <c r="C218" s="29" t="s">
        <v>1361</v>
      </c>
      <c r="D218" s="29" t="s">
        <v>402</v>
      </c>
      <c r="E218" s="29" t="str">
        <f>VLOOKUP(D218,Harvest_2017_Formulae!$C$2:$D$968,2,FALSE)</f>
        <v>TSAMASI</v>
      </c>
      <c r="F218" s="29" t="s">
        <v>1014</v>
      </c>
      <c r="G218" s="61" t="s">
        <v>548</v>
      </c>
      <c r="H218" s="29" t="s">
        <v>614</v>
      </c>
      <c r="I218" s="29" t="s">
        <v>546</v>
      </c>
      <c r="J218" s="29" t="s">
        <v>546</v>
      </c>
      <c r="K218" s="29" t="s">
        <v>546</v>
      </c>
      <c r="L218" s="29" t="s">
        <v>2220</v>
      </c>
      <c r="M218" s="29" t="s">
        <v>546</v>
      </c>
      <c r="N218" s="29" t="s">
        <v>546</v>
      </c>
      <c r="O218" s="29" t="s">
        <v>547</v>
      </c>
      <c r="P218" s="29">
        <v>0.25</v>
      </c>
      <c r="Q218" s="29">
        <v>0.75</v>
      </c>
      <c r="S218" s="29" t="s">
        <v>546</v>
      </c>
      <c r="T218" s="29">
        <v>1</v>
      </c>
      <c r="U218" s="29">
        <v>1</v>
      </c>
      <c r="V218" s="29" t="s">
        <v>551</v>
      </c>
      <c r="W218" s="30">
        <v>0.24</v>
      </c>
      <c r="Y218" s="29">
        <v>999</v>
      </c>
      <c r="Z218" s="29" t="s">
        <v>551</v>
      </c>
      <c r="AA218" s="62"/>
      <c r="AB218" s="29">
        <v>1</v>
      </c>
      <c r="AC218" s="29">
        <v>3</v>
      </c>
      <c r="AD218" s="29" t="s">
        <v>552</v>
      </c>
      <c r="AE218" s="62">
        <v>0.12023999999999997</v>
      </c>
      <c r="AF218" s="29" t="s">
        <v>548</v>
      </c>
      <c r="AG218" s="29" t="s">
        <v>546</v>
      </c>
      <c r="AH218" s="29" t="s">
        <v>546</v>
      </c>
      <c r="AI218" s="29" t="s">
        <v>546</v>
      </c>
      <c r="AJ218" s="29" t="s">
        <v>546</v>
      </c>
      <c r="AK218" s="29">
        <v>1</v>
      </c>
      <c r="AL218" s="29">
        <v>2</v>
      </c>
      <c r="AM218" s="29" t="s">
        <v>1362</v>
      </c>
      <c r="AN218" s="29" t="s">
        <v>1363</v>
      </c>
      <c r="AO218" s="29">
        <v>-4.2895827293395996</v>
      </c>
      <c r="AP218" s="29">
        <v>35.82958984375</v>
      </c>
      <c r="AQ218" s="29">
        <v>1256.199951171875</v>
      </c>
      <c r="AR218" s="29">
        <v>5</v>
      </c>
      <c r="AS218" s="29">
        <v>1706031849</v>
      </c>
      <c r="AT218" s="29" t="s">
        <v>1364</v>
      </c>
      <c r="AU218" s="31">
        <v>42948.908437499995</v>
      </c>
      <c r="AV218" s="31">
        <v>42938.438159722224</v>
      </c>
      <c r="AW218" s="31">
        <v>42938.449363425927</v>
      </c>
      <c r="AX218" s="32">
        <v>42772</v>
      </c>
      <c r="AZ218" s="44">
        <v>4.1560286738351246</v>
      </c>
      <c r="BA218" s="44">
        <v>2.9449318996415772</v>
      </c>
      <c r="BB218" s="44">
        <v>4.7574603174603176</v>
      </c>
      <c r="BC218" s="44">
        <v>5.4317460317460311</v>
      </c>
      <c r="BD218" s="29" t="s">
        <v>2179</v>
      </c>
      <c r="BE218" s="29">
        <v>3.9993274211899998</v>
      </c>
      <c r="BF218" s="29" t="str">
        <f>IF(BE218&lt;0.5,"Depression",IF(BE218&lt;2,"Very gentle",IF(BE218&lt;5,"Gentle",IF(BE218&lt;9,"Moderate",IF(BE218&lt;15,"Strong",IF(BE218&lt;30,"Steep",IF(BE218&lt;1,"Very steep")))))))</f>
        <v>Gentle</v>
      </c>
      <c r="BG218" s="29" t="s">
        <v>2173</v>
      </c>
      <c r="BH218" s="29">
        <v>8.4776775111099995E-6</v>
      </c>
      <c r="BI218" s="43">
        <v>9.0250988006600004</v>
      </c>
      <c r="BJ218" s="43">
        <f>VLOOKUP(D218,[1]SoilData!$G$15:$K$237,5,FALSE)</f>
        <v>1026.1932158679701</v>
      </c>
      <c r="BK218" s="43">
        <f>VLOOKUP(D218,[1]SoilData!$G$245:$K$451,5,FALSE)</f>
        <v>1020.6200277317463</v>
      </c>
      <c r="BL218" s="43">
        <f>VLOOKUP(D218,[1]SoilData!$G$15:$M$238,7,FALSE)</f>
        <v>1.722</v>
      </c>
      <c r="BM218" s="43">
        <f>VLOOKUP(D218,[1]SoilData!$G$245:$M$454,7,FALSE)</f>
        <v>1.748</v>
      </c>
      <c r="BN218" s="60">
        <f>BL218-BM218</f>
        <v>-2.6000000000000023E-2</v>
      </c>
      <c r="BO218" s="44">
        <f>AVERAGE(BB218:BC218)</f>
        <v>5.0946031746031739</v>
      </c>
      <c r="BP218" s="44">
        <f>AVERAGE(AZ218:BA218)</f>
        <v>3.5504802867383507</v>
      </c>
      <c r="BQ218" s="43">
        <f>BP218-BO218</f>
        <v>-1.5441228878648232</v>
      </c>
      <c r="BR218" s="64">
        <f>IF(W218&gt;0.000001,W218*352,0)</f>
        <v>84.47999999999999</v>
      </c>
      <c r="BS218" s="64">
        <f>IF(AE218&gt;0.0001,AE218*682,0)</f>
        <v>82.003679999999974</v>
      </c>
      <c r="BT218" s="64">
        <f>AA218*795</f>
        <v>0</v>
      </c>
      <c r="BU218" s="64">
        <f>BR218+BS218+BT218</f>
        <v>166.48367999999996</v>
      </c>
      <c r="BV218" s="64">
        <f>IF(G218="YES",3.5*18.2,0)</f>
        <v>63.699999999999996</v>
      </c>
      <c r="BW218" s="64">
        <f>BU218-BV218</f>
        <v>102.78367999999998</v>
      </c>
    </row>
    <row r="219" spans="1:75" x14ac:dyDescent="0.15">
      <c r="A219" s="29" t="s">
        <v>841</v>
      </c>
      <c r="B219" s="29">
        <v>243</v>
      </c>
      <c r="C219" s="29" t="s">
        <v>906</v>
      </c>
      <c r="D219" s="33" t="s">
        <v>161</v>
      </c>
      <c r="E219" s="29" t="str">
        <f>VLOOKUP(D219,Harvest_2017_Formulae!$C$2:$D$968,2,FALSE)</f>
        <v>ENDANOGA</v>
      </c>
      <c r="F219" s="29" t="s">
        <v>843</v>
      </c>
      <c r="G219" s="61" t="s">
        <v>548</v>
      </c>
      <c r="H219" s="29" t="s">
        <v>568</v>
      </c>
      <c r="I219" s="29" t="s">
        <v>548</v>
      </c>
      <c r="J219" s="29" t="s">
        <v>546</v>
      </c>
      <c r="K219" s="29" t="s">
        <v>546</v>
      </c>
      <c r="L219" s="29" t="s">
        <v>2219</v>
      </c>
      <c r="M219" s="29" t="s">
        <v>548</v>
      </c>
      <c r="N219" s="29" t="s">
        <v>548</v>
      </c>
      <c r="O219" s="29" t="s">
        <v>550</v>
      </c>
      <c r="P219" s="29">
        <v>0.5</v>
      </c>
      <c r="Q219" s="29">
        <v>0</v>
      </c>
      <c r="R219" s="29">
        <v>1</v>
      </c>
      <c r="S219" s="29" t="s">
        <v>546</v>
      </c>
      <c r="T219" s="29">
        <v>0.5</v>
      </c>
      <c r="U219" s="29">
        <v>3</v>
      </c>
      <c r="V219" s="29" t="s">
        <v>551</v>
      </c>
      <c r="W219" s="30">
        <v>1.4400000000000002</v>
      </c>
      <c r="Z219" s="29" t="s">
        <v>551</v>
      </c>
      <c r="AA219" s="62"/>
      <c r="AB219" s="29">
        <v>0.5</v>
      </c>
      <c r="AC219" s="29">
        <v>2</v>
      </c>
      <c r="AD219" s="29" t="s">
        <v>551</v>
      </c>
      <c r="AE219" s="62">
        <v>0.96</v>
      </c>
      <c r="AF219" s="29" t="s">
        <v>548</v>
      </c>
      <c r="AG219" s="29" t="s">
        <v>546</v>
      </c>
      <c r="AH219" s="29" t="s">
        <v>546</v>
      </c>
      <c r="AI219" s="29" t="s">
        <v>546</v>
      </c>
      <c r="AJ219" s="29" t="s">
        <v>546</v>
      </c>
      <c r="AK219" s="29">
        <v>1</v>
      </c>
      <c r="AL219" s="29">
        <v>3</v>
      </c>
      <c r="AM219" s="29" t="s">
        <v>907</v>
      </c>
      <c r="AN219" s="29" t="s">
        <v>908</v>
      </c>
      <c r="AO219" s="29">
        <v>-4.2654929161071777</v>
      </c>
      <c r="AP219" s="29">
        <v>35.845199584960938</v>
      </c>
      <c r="AQ219" s="29">
        <v>1373.9000244140625</v>
      </c>
      <c r="AR219" s="29">
        <v>5</v>
      </c>
      <c r="AS219" s="29">
        <v>1706031849</v>
      </c>
      <c r="AT219" s="29" t="s">
        <v>909</v>
      </c>
      <c r="AU219" s="31">
        <v>42978.591273148151</v>
      </c>
      <c r="AV219" s="31">
        <v>42895.515289351853</v>
      </c>
      <c r="AW219" s="31">
        <v>42978.588263888887</v>
      </c>
      <c r="AX219" s="32">
        <v>42788</v>
      </c>
      <c r="AZ219" s="44">
        <v>5.8806100217864925</v>
      </c>
      <c r="BA219" s="44">
        <v>5.307189542483659</v>
      </c>
      <c r="BB219" s="44">
        <v>5.9933333333333332</v>
      </c>
      <c r="BC219" s="44">
        <v>5.3186274509803919</v>
      </c>
      <c r="BD219" s="29" t="s">
        <v>2171</v>
      </c>
      <c r="BE219" s="29">
        <v>3.1718769073500002</v>
      </c>
      <c r="BF219" s="29" t="str">
        <f>IF(BE219&lt;0.5,"Depression",IF(BE219&lt;2,"Very gentle",IF(BE219&lt;5,"Gentle",IF(BE219&lt;9,"Moderate",IF(BE219&lt;15,"Strong",IF(BE219&lt;30,"Steep",IF(BE219&lt;1,"Very steep")))))))</f>
        <v>Gentle</v>
      </c>
      <c r="BG219" s="29" t="s">
        <v>2173</v>
      </c>
      <c r="BH219" s="29">
        <v>9.0650379657699995E-2</v>
      </c>
      <c r="BI219" s="43">
        <v>12.1861162186</v>
      </c>
      <c r="BJ219" s="43">
        <f>VLOOKUP(D219,[1]SoilData!$G$15:$K$237,5,FALSE)</f>
        <v>209.90886554915275</v>
      </c>
      <c r="BK219" s="43">
        <f>VLOOKUP(D219,[1]SoilData!$G$245:$K$451,5,FALSE)</f>
        <v>145.7711374982276</v>
      </c>
      <c r="BL219" s="43">
        <f>VLOOKUP(D219,[1]SoilData!$G$15:$M$238,7,FALSE)</f>
        <v>1.0009999999999999</v>
      </c>
      <c r="BM219" s="43">
        <f>VLOOKUP(D219,[1]SoilData!$G$245:$M$454,7,FALSE)</f>
        <v>0.93300000000000005</v>
      </c>
      <c r="BN219" s="60">
        <f>BL219-BM219</f>
        <v>6.7999999999999838E-2</v>
      </c>
      <c r="BO219" s="44">
        <f>AVERAGE(BB219:BC219)</f>
        <v>5.655980392156863</v>
      </c>
      <c r="BP219" s="44">
        <f>AVERAGE(AZ219:BA219)</f>
        <v>5.5938997821350753</v>
      </c>
      <c r="BQ219" s="43">
        <f>BP219-BO219</f>
        <v>-6.2080610021787663E-2</v>
      </c>
      <c r="BR219" s="64">
        <f>IF(W219&gt;0.000001,W219*352,0)</f>
        <v>506.88000000000005</v>
      </c>
      <c r="BS219" s="64">
        <f>IF(AE219&gt;0.0001,AE219*682,0)</f>
        <v>654.72</v>
      </c>
      <c r="BT219" s="64">
        <f>AA219*795</f>
        <v>0</v>
      </c>
      <c r="BU219" s="64">
        <f>BR219+BS219+BT219</f>
        <v>1161.6000000000001</v>
      </c>
      <c r="BV219" s="64">
        <f>IF(G219="YES",3.5*18.2,0)</f>
        <v>63.699999999999996</v>
      </c>
      <c r="BW219" s="64">
        <f>BU219-BV219</f>
        <v>1097.9000000000001</v>
      </c>
    </row>
    <row r="220" spans="1:75" x14ac:dyDescent="0.15">
      <c r="A220" s="29" t="s">
        <v>556</v>
      </c>
      <c r="B220" s="29">
        <v>166</v>
      </c>
      <c r="C220" s="29" t="s">
        <v>421</v>
      </c>
      <c r="D220" s="29" t="s">
        <v>421</v>
      </c>
      <c r="E220" s="29" t="str">
        <f>VLOOKUP(D220,Harvest_2017_Formulae!$C$2:$D$968,2,FALSE)</f>
        <v>DURU</v>
      </c>
      <c r="F220" s="29" t="s">
        <v>645</v>
      </c>
      <c r="G220" s="61" t="s">
        <v>548</v>
      </c>
      <c r="H220" s="29" t="s">
        <v>567</v>
      </c>
      <c r="I220" s="29" t="s">
        <v>546</v>
      </c>
      <c r="J220" s="29" t="s">
        <v>546</v>
      </c>
      <c r="K220" s="29" t="s">
        <v>546</v>
      </c>
      <c r="L220" s="29" t="s">
        <v>2219</v>
      </c>
      <c r="M220" s="29" t="s">
        <v>546</v>
      </c>
      <c r="N220" s="29" t="s">
        <v>546</v>
      </c>
      <c r="O220" s="29" t="s">
        <v>547</v>
      </c>
      <c r="P220" s="29">
        <v>0.125</v>
      </c>
      <c r="Q220" s="29">
        <v>0.125</v>
      </c>
      <c r="S220" s="29" t="s">
        <v>548</v>
      </c>
      <c r="T220" s="29">
        <v>0.25</v>
      </c>
      <c r="U220" s="29">
        <v>5.5</v>
      </c>
      <c r="V220" s="29" t="s">
        <v>552</v>
      </c>
      <c r="W220" s="30">
        <v>0.88175999999999999</v>
      </c>
      <c r="Y220" s="29">
        <v>999</v>
      </c>
      <c r="Z220" s="29" t="s">
        <v>552</v>
      </c>
      <c r="AA220" s="62"/>
      <c r="AB220" s="29">
        <v>0.25</v>
      </c>
      <c r="AC220" s="29">
        <v>0.5</v>
      </c>
      <c r="AD220" s="29" t="s">
        <v>552</v>
      </c>
      <c r="AE220" s="62">
        <v>8.0159999999999995E-2</v>
      </c>
      <c r="AF220" s="29" t="s">
        <v>548</v>
      </c>
      <c r="AG220" s="29" t="s">
        <v>548</v>
      </c>
      <c r="AH220" s="29" t="s">
        <v>548</v>
      </c>
      <c r="AI220" s="29" t="s">
        <v>548</v>
      </c>
      <c r="AJ220" s="29" t="s">
        <v>548</v>
      </c>
      <c r="AK220" s="29">
        <v>5</v>
      </c>
      <c r="AL220" s="29">
        <v>2</v>
      </c>
      <c r="AM220" s="29" t="s">
        <v>650</v>
      </c>
      <c r="AN220" s="29" t="s">
        <v>651</v>
      </c>
      <c r="AO220" s="29">
        <v>-4.319150447845459</v>
      </c>
      <c r="AP220" s="29">
        <v>35.604507446289062</v>
      </c>
      <c r="AQ220" s="29">
        <v>1590.5999755859375</v>
      </c>
      <c r="AR220" s="29">
        <v>5</v>
      </c>
      <c r="AS220" s="29">
        <v>1706031849</v>
      </c>
      <c r="AT220" s="29" t="s">
        <v>652</v>
      </c>
      <c r="AU220" s="31">
        <v>42921.432592592595</v>
      </c>
      <c r="AV220" s="31">
        <v>42919.54184027778</v>
      </c>
      <c r="AW220" s="31">
        <v>42919.549085648148</v>
      </c>
      <c r="AX220" s="32">
        <v>42764</v>
      </c>
      <c r="AZ220" s="44">
        <v>4.0569841269841271</v>
      </c>
      <c r="BA220" s="44">
        <v>6.8059788359788369</v>
      </c>
      <c r="BB220" s="44">
        <v>4.4190828924162258</v>
      </c>
      <c r="BC220" s="44">
        <v>4.1530511463844801</v>
      </c>
      <c r="BD220" s="29" t="s">
        <v>2174</v>
      </c>
      <c r="BE220" s="29">
        <v>12.976887702899999</v>
      </c>
      <c r="BF220" s="29" t="str">
        <f>IF(BE220&lt;0.5,"Depression",IF(BE220&lt;2,"Very gentle",IF(BE220&lt;5,"Gentle",IF(BE220&lt;9,"Moderate",IF(BE220&lt;15,"Strong",IF(BE220&lt;30,"Steep",IF(BE220&lt;1,"Very steep")))))))</f>
        <v>Strong</v>
      </c>
      <c r="BG220" s="29" t="s">
        <v>2178</v>
      </c>
      <c r="BH220" s="29">
        <v>-0.27191722393000001</v>
      </c>
      <c r="BI220" s="43">
        <v>7.2643718719499999</v>
      </c>
      <c r="BJ220" s="43">
        <f>VLOOKUP(D220,[1]SoilData!$G$15:$K$237,5,FALSE)</f>
        <v>274.18974685744104</v>
      </c>
      <c r="BK220" s="43">
        <f>VLOOKUP(D220,[1]SoilData!$G$245:$K$451,5,FALSE)</f>
        <v>154.49878104285798</v>
      </c>
      <c r="BL220" s="43">
        <f>VLOOKUP(D220,[1]SoilData!$G$15:$M$238,7,FALSE)</f>
        <v>1.1240000000000001</v>
      </c>
      <c r="BM220" s="43">
        <f>VLOOKUP(D220,[1]SoilData!$G$245:$M$454,7,FALSE)</f>
        <v>1.07</v>
      </c>
      <c r="BN220" s="60">
        <f>BL220-BM220</f>
        <v>5.4000000000000048E-2</v>
      </c>
      <c r="BO220" s="44">
        <f>AVERAGE(BB220:BC220)</f>
        <v>4.2860670194003525</v>
      </c>
      <c r="BP220" s="44">
        <f>AVERAGE(AZ220:BA220)</f>
        <v>5.431481481481482</v>
      </c>
      <c r="BQ220" s="43">
        <f>BP220-BO220</f>
        <v>1.1454144620811295</v>
      </c>
      <c r="BR220" s="64">
        <f>IF(W220&gt;0.000001,W220*352,0)</f>
        <v>310.37952000000001</v>
      </c>
      <c r="BS220" s="64">
        <f>IF(AE220&gt;0.0001,AE220*682,0)</f>
        <v>54.669119999999999</v>
      </c>
      <c r="BT220" s="64">
        <f>AA220*795</f>
        <v>0</v>
      </c>
      <c r="BU220" s="64">
        <f>BR220+BS220+BT220</f>
        <v>365.04864000000003</v>
      </c>
      <c r="BV220" s="64">
        <f>IF(G220="YES",3.5*18.2,0)</f>
        <v>63.699999999999996</v>
      </c>
      <c r="BW220" s="64">
        <f>BU220-BV220</f>
        <v>301.34864000000005</v>
      </c>
    </row>
    <row r="221" spans="1:75" x14ac:dyDescent="0.15">
      <c r="A221" s="29" t="s">
        <v>857</v>
      </c>
      <c r="B221" s="29">
        <v>246</v>
      </c>
      <c r="C221" s="29" t="s">
        <v>160</v>
      </c>
      <c r="D221" s="33" t="s">
        <v>160</v>
      </c>
      <c r="E221" s="29" t="str">
        <f>VLOOKUP(D221,Harvest_2017_Formulae!$C$2:$D$968,2,FALSE)</f>
        <v>ENDANOGA</v>
      </c>
      <c r="F221" s="29" t="s">
        <v>843</v>
      </c>
      <c r="G221" s="61" t="s">
        <v>548</v>
      </c>
      <c r="H221" s="29" t="s">
        <v>614</v>
      </c>
      <c r="I221" s="29" t="s">
        <v>546</v>
      </c>
      <c r="J221" s="29" t="s">
        <v>546</v>
      </c>
      <c r="K221" s="29" t="s">
        <v>546</v>
      </c>
      <c r="L221" s="29" t="s">
        <v>2220</v>
      </c>
      <c r="M221" s="29" t="s">
        <v>548</v>
      </c>
      <c r="N221" s="29" t="s">
        <v>548</v>
      </c>
      <c r="O221" s="29" t="s">
        <v>550</v>
      </c>
      <c r="P221" s="29">
        <v>1</v>
      </c>
      <c r="Q221" s="29">
        <v>0</v>
      </c>
      <c r="R221" s="29">
        <v>1.25</v>
      </c>
      <c r="S221" s="29" t="s">
        <v>546</v>
      </c>
      <c r="T221" s="29">
        <v>1.25</v>
      </c>
      <c r="U221" s="29">
        <v>15</v>
      </c>
      <c r="V221" s="29" t="s">
        <v>551</v>
      </c>
      <c r="W221" s="30">
        <v>2.88</v>
      </c>
      <c r="Z221" s="29" t="s">
        <v>551</v>
      </c>
      <c r="AA221" s="62"/>
      <c r="AB221" s="29">
        <v>1.25</v>
      </c>
      <c r="AC221" s="29">
        <v>4</v>
      </c>
      <c r="AD221" s="29" t="s">
        <v>551</v>
      </c>
      <c r="AE221" s="62">
        <v>0.76800000000000002</v>
      </c>
      <c r="AF221" s="29" t="s">
        <v>548</v>
      </c>
      <c r="AG221" s="29" t="s">
        <v>548</v>
      </c>
      <c r="AH221" s="29" t="s">
        <v>548</v>
      </c>
      <c r="AI221" s="29" t="s">
        <v>548</v>
      </c>
      <c r="AJ221" s="29" t="s">
        <v>548</v>
      </c>
      <c r="AK221" s="29">
        <v>5</v>
      </c>
      <c r="AL221" s="29">
        <v>3</v>
      </c>
      <c r="AM221" s="29" t="s">
        <v>903</v>
      </c>
      <c r="AN221" s="29" t="s">
        <v>904</v>
      </c>
      <c r="AO221" s="29">
        <v>-4.2683243751525879</v>
      </c>
      <c r="AP221" s="29">
        <v>35.845981597900391</v>
      </c>
      <c r="AQ221" s="29">
        <v>1378.199951171875</v>
      </c>
      <c r="AR221" s="29">
        <v>5</v>
      </c>
      <c r="AS221" s="29">
        <v>1706031849</v>
      </c>
      <c r="AT221" s="29" t="s">
        <v>905</v>
      </c>
      <c r="AU221" s="31">
        <v>42978.591307870374</v>
      </c>
      <c r="AV221" s="31">
        <v>42895.593923611115</v>
      </c>
      <c r="AW221" s="31">
        <v>42978.588958333334</v>
      </c>
      <c r="AX221" s="32">
        <v>42768</v>
      </c>
      <c r="AZ221" s="44">
        <v>5.4784722222222237</v>
      </c>
      <c r="BA221" s="44">
        <v>5.0368402777777783</v>
      </c>
      <c r="BB221" s="44">
        <v>4.2137948717948728</v>
      </c>
      <c r="BC221" s="44">
        <v>3.6386837606837608</v>
      </c>
      <c r="BD221" s="29" t="s">
        <v>2171</v>
      </c>
      <c r="BE221" s="29">
        <v>3.4858486652399998</v>
      </c>
      <c r="BF221" s="29" t="str">
        <f>IF(BE221&lt;0.5,"Depression",IF(BE221&lt;2,"Very gentle",IF(BE221&lt;5,"Gentle",IF(BE221&lt;9,"Moderate",IF(BE221&lt;15,"Strong",IF(BE221&lt;30,"Steep",IF(BE221&lt;1,"Very steep")))))))</f>
        <v>Gentle</v>
      </c>
      <c r="BG221" s="29" t="s">
        <v>2173</v>
      </c>
      <c r="BH221" s="29">
        <v>8.4776775111099995E-6</v>
      </c>
      <c r="BI221" s="43">
        <v>11.2769908905</v>
      </c>
      <c r="BJ221" s="43">
        <f>VLOOKUP(D221,[1]SoilData!$G$15:$K$237,5,FALSE)</f>
        <v>457.07052649984234</v>
      </c>
      <c r="BK221" s="43">
        <f>VLOOKUP(D221,[1]SoilData!$G$245:$K$451,5,FALSE)</f>
        <v>299.14396544609201</v>
      </c>
      <c r="BL221" s="43">
        <f>VLOOKUP(D221,[1]SoilData!$G$15:$M$238,7,FALSE)</f>
        <v>1.796</v>
      </c>
      <c r="BM221" s="43">
        <f>VLOOKUP(D221,[1]SoilData!$G$245:$M$454,7,FALSE)</f>
        <v>1.903</v>
      </c>
      <c r="BN221" s="60">
        <f>BL221-BM221</f>
        <v>-0.10699999999999998</v>
      </c>
      <c r="BO221" s="44">
        <f>AVERAGE(BB221:BC221)</f>
        <v>3.9262393162393168</v>
      </c>
      <c r="BP221" s="44">
        <f>AVERAGE(AZ221:BA221)</f>
        <v>5.257656250000001</v>
      </c>
      <c r="BQ221" s="43">
        <f>BP221-BO221</f>
        <v>1.3314169337606843</v>
      </c>
      <c r="BR221" s="64">
        <f>IF(W221&gt;0.000001,W221*352,0)</f>
        <v>1013.76</v>
      </c>
      <c r="BS221" s="64">
        <f>IF(AE221&gt;0.0001,AE221*682,0)</f>
        <v>523.77600000000007</v>
      </c>
      <c r="BT221" s="64">
        <f>AA221*795</f>
        <v>0</v>
      </c>
      <c r="BU221" s="64">
        <f>BR221+BS221+BT221</f>
        <v>1537.5360000000001</v>
      </c>
      <c r="BV221" s="64">
        <f>IF(G221="YES",3.5*18.2,0)</f>
        <v>63.699999999999996</v>
      </c>
      <c r="BW221" s="64">
        <f>BU221-BV221</f>
        <v>1473.836</v>
      </c>
    </row>
    <row r="222" spans="1:75" x14ac:dyDescent="0.15">
      <c r="A222" s="29" t="s">
        <v>841</v>
      </c>
      <c r="B222" s="29">
        <v>247</v>
      </c>
      <c r="C222" s="29" t="s">
        <v>158</v>
      </c>
      <c r="D222" s="33" t="s">
        <v>158</v>
      </c>
      <c r="E222" s="29" t="str">
        <f>VLOOKUP(D222,Harvest_2017_Formulae!$C$2:$D$968,2,FALSE)</f>
        <v>ENDANOGA</v>
      </c>
      <c r="F222" s="29" t="s">
        <v>843</v>
      </c>
      <c r="G222" s="61" t="s">
        <v>548</v>
      </c>
      <c r="H222" s="29" t="s">
        <v>614</v>
      </c>
      <c r="I222" s="29" t="s">
        <v>546</v>
      </c>
      <c r="J222" s="29" t="s">
        <v>546</v>
      </c>
      <c r="K222" s="29" t="s">
        <v>546</v>
      </c>
      <c r="L222" s="29" t="s">
        <v>2220</v>
      </c>
      <c r="M222" s="29" t="s">
        <v>548</v>
      </c>
      <c r="N222" s="29" t="s">
        <v>548</v>
      </c>
      <c r="O222" s="29" t="s">
        <v>550</v>
      </c>
      <c r="P222" s="29">
        <v>0.25</v>
      </c>
      <c r="Q222" s="29">
        <v>0</v>
      </c>
      <c r="R222" s="29">
        <v>1</v>
      </c>
      <c r="S222" s="29" t="s">
        <v>548</v>
      </c>
      <c r="T222" s="29">
        <v>1.5</v>
      </c>
      <c r="U222" s="29">
        <v>3</v>
      </c>
      <c r="V222" s="29" t="s">
        <v>552</v>
      </c>
      <c r="W222" s="30">
        <v>8.0159999999999995E-2</v>
      </c>
      <c r="Z222" s="29" t="s">
        <v>551</v>
      </c>
      <c r="AA222" s="62"/>
      <c r="AB222" s="29">
        <v>1.5</v>
      </c>
      <c r="AC222" s="29">
        <v>5</v>
      </c>
      <c r="AD222" s="29" t="s">
        <v>551</v>
      </c>
      <c r="AE222" s="62">
        <v>0.79999999999999993</v>
      </c>
      <c r="AF222" s="29" t="s">
        <v>546</v>
      </c>
      <c r="AG222" s="29" t="s">
        <v>548</v>
      </c>
      <c r="AH222" s="29" t="s">
        <v>546</v>
      </c>
      <c r="AI222" s="29" t="s">
        <v>546</v>
      </c>
      <c r="AJ222" s="29" t="s">
        <v>546</v>
      </c>
      <c r="AK222" s="29">
        <v>1</v>
      </c>
      <c r="AL222" s="29">
        <v>2</v>
      </c>
      <c r="AM222" s="29" t="s">
        <v>900</v>
      </c>
      <c r="AN222" s="29" t="s">
        <v>901</v>
      </c>
      <c r="AO222" s="29">
        <v>-4.2666792869567871</v>
      </c>
      <c r="AP222" s="29">
        <v>35.846050262451172</v>
      </c>
      <c r="AQ222" s="29">
        <v>1378.9000244140625</v>
      </c>
      <c r="AR222" s="29">
        <v>5</v>
      </c>
      <c r="AS222" s="29">
        <v>1706031849</v>
      </c>
      <c r="AT222" s="29" t="s">
        <v>902</v>
      </c>
      <c r="AU222" s="31">
        <v>42978.591331018513</v>
      </c>
      <c r="AV222" s="31">
        <v>42895.619317129633</v>
      </c>
      <c r="AW222" s="31">
        <v>42978.589143518519</v>
      </c>
      <c r="AX222" s="32">
        <v>42789</v>
      </c>
      <c r="AZ222" s="44">
        <v>5.483109243697478</v>
      </c>
      <c r="BA222" s="44">
        <v>4.5225210084033618</v>
      </c>
      <c r="BB222" s="44">
        <v>4.3584362139917694</v>
      </c>
      <c r="BC222" s="44">
        <v>4.3279149519890261</v>
      </c>
      <c r="BD222" s="29" t="s">
        <v>2171</v>
      </c>
      <c r="BE222" s="29">
        <v>3.4926533699000002</v>
      </c>
      <c r="BF222" s="29" t="str">
        <f>IF(BE222&lt;0.5,"Depression",IF(BE222&lt;2,"Very gentle",IF(BE222&lt;5,"Gentle",IF(BE222&lt;9,"Moderate",IF(BE222&lt;15,"Strong",IF(BE222&lt;30,"Steep",IF(BE222&lt;1,"Very steep")))))))</f>
        <v>Gentle</v>
      </c>
      <c r="BG222" s="29" t="s">
        <v>2173</v>
      </c>
      <c r="BH222" s="29">
        <v>0.27193418145199999</v>
      </c>
      <c r="BI222" s="43">
        <v>11.186497688299999</v>
      </c>
      <c r="BJ222" s="43">
        <f>VLOOKUP(D222,[1]SoilData!$G$15:$K$237,5,FALSE)</f>
        <v>360.60633680956835</v>
      </c>
      <c r="BK222" s="43">
        <f>VLOOKUP(D222,[1]SoilData!$G$245:$K$451,5,FALSE)</f>
        <v>376.8985322662075</v>
      </c>
      <c r="BL222" s="43">
        <f>VLOOKUP(D222,[1]SoilData!$G$15:$M$238,7,FALSE)</f>
        <v>1.8540000000000001</v>
      </c>
      <c r="BM222" s="43">
        <f>VLOOKUP(D222,[1]SoilData!$G$245:$M$454,7,FALSE)</f>
        <v>1.7549999999999999</v>
      </c>
      <c r="BN222" s="60">
        <f>BL222-BM222</f>
        <v>9.9000000000000199E-2</v>
      </c>
      <c r="BO222" s="44">
        <f>AVERAGE(BB222:BC222)</f>
        <v>4.3431755829903977</v>
      </c>
      <c r="BP222" s="44">
        <f>AVERAGE(AZ222:BA222)</f>
        <v>5.0028151260504199</v>
      </c>
      <c r="BQ222" s="43">
        <f>BP222-BO222</f>
        <v>0.65963954306002215</v>
      </c>
      <c r="BR222" s="64">
        <f>IF(W222&gt;0.000001,W222*352,0)</f>
        <v>28.21632</v>
      </c>
      <c r="BS222" s="64">
        <f>IF(AE222&gt;0.0001,AE222*682,0)</f>
        <v>545.59999999999991</v>
      </c>
      <c r="BT222" s="64">
        <f>AA222*795</f>
        <v>0</v>
      </c>
      <c r="BU222" s="64">
        <f>BR222+BS222+BT222</f>
        <v>573.81631999999991</v>
      </c>
      <c r="BV222" s="64">
        <f>IF(G222="YES",3.5*18.2,0)</f>
        <v>63.699999999999996</v>
      </c>
      <c r="BW222" s="64">
        <f>BU222-BV222</f>
        <v>510.11631999999992</v>
      </c>
    </row>
    <row r="223" spans="1:75" x14ac:dyDescent="0.15">
      <c r="A223" s="29" t="s">
        <v>556</v>
      </c>
      <c r="B223" s="29">
        <v>134</v>
      </c>
      <c r="C223" s="29" t="s">
        <v>321</v>
      </c>
      <c r="D223" s="29" t="s">
        <v>321</v>
      </c>
      <c r="E223" s="29" t="str">
        <f>VLOOKUP(D223,Harvest_2017_Formulae!$C$2:$D$968,2,FALSE)</f>
        <v>AYAMANGO</v>
      </c>
      <c r="F223" s="29" t="s">
        <v>196</v>
      </c>
      <c r="G223" s="61" t="s">
        <v>546</v>
      </c>
      <c r="H223" s="29" t="s">
        <v>547</v>
      </c>
      <c r="I223" s="29" t="s">
        <v>546</v>
      </c>
      <c r="J223" s="29" t="s">
        <v>546</v>
      </c>
      <c r="K223" s="29" t="s">
        <v>548</v>
      </c>
      <c r="L223" s="29" t="s">
        <v>2221</v>
      </c>
      <c r="M223" s="29" t="s">
        <v>548</v>
      </c>
      <c r="N223" s="29" t="s">
        <v>548</v>
      </c>
      <c r="O223" s="29" t="s">
        <v>550</v>
      </c>
      <c r="P223" s="29">
        <v>1</v>
      </c>
      <c r="Q223" s="29">
        <v>1</v>
      </c>
      <c r="S223" s="29" t="s">
        <v>548</v>
      </c>
      <c r="T223" s="29">
        <v>1</v>
      </c>
      <c r="U223" s="29">
        <v>3</v>
      </c>
      <c r="V223" s="29" t="s">
        <v>551</v>
      </c>
      <c r="W223" s="30">
        <v>0.72000000000000008</v>
      </c>
      <c r="Y223" s="29">
        <v>999</v>
      </c>
      <c r="Z223" s="29" t="s">
        <v>551</v>
      </c>
      <c r="AA223" s="62"/>
      <c r="AB223" s="29">
        <v>1</v>
      </c>
      <c r="AC223" s="29">
        <v>1.5</v>
      </c>
      <c r="AD223" s="29" t="s">
        <v>551</v>
      </c>
      <c r="AE223" s="62">
        <v>0.36</v>
      </c>
      <c r="AF223" s="29" t="s">
        <v>546</v>
      </c>
      <c r="AG223" s="29" t="s">
        <v>546</v>
      </c>
      <c r="AH223" s="29" t="s">
        <v>546</v>
      </c>
      <c r="AI223" s="29" t="s">
        <v>546</v>
      </c>
      <c r="AJ223" s="29" t="s">
        <v>546</v>
      </c>
      <c r="AK223" s="29">
        <v>0</v>
      </c>
      <c r="AL223" s="29">
        <v>4</v>
      </c>
      <c r="AM223" s="29" t="s">
        <v>621</v>
      </c>
      <c r="AN223" s="29" t="s">
        <v>622</v>
      </c>
      <c r="AO223" s="29">
        <v>-4.2300820350646973</v>
      </c>
      <c r="AP223" s="29">
        <v>35.874034881591797</v>
      </c>
      <c r="AQ223" s="29">
        <v>1280.800048828125</v>
      </c>
      <c r="AR223" s="29">
        <v>5</v>
      </c>
      <c r="AS223" s="29">
        <v>1706031849</v>
      </c>
      <c r="AT223" s="29" t="s">
        <v>623</v>
      </c>
      <c r="AU223" s="31">
        <v>42907.824097222227</v>
      </c>
      <c r="AV223" s="31">
        <v>42907.620717592596</v>
      </c>
      <c r="AW223" s="31">
        <v>42907.630497685182</v>
      </c>
      <c r="AX223" s="32">
        <v>42770</v>
      </c>
      <c r="AZ223" s="44">
        <v>7.1865365365365355</v>
      </c>
      <c r="BA223" s="44">
        <v>4.32027027027027</v>
      </c>
      <c r="BB223" s="44">
        <v>2.2675052410901468</v>
      </c>
      <c r="BC223" s="44">
        <v>3.1777777777777776</v>
      </c>
      <c r="BD223" s="29" t="s">
        <v>2171</v>
      </c>
      <c r="BE223" s="29">
        <v>2.8894991874699998</v>
      </c>
      <c r="BF223" s="29" t="str">
        <f>IF(BE223&lt;0.5,"Depression",IF(BE223&lt;2,"Very gentle",IF(BE223&lt;5,"Gentle",IF(BE223&lt;9,"Moderate",IF(BE223&lt;15,"Strong",IF(BE223&lt;30,"Steep",IF(BE223&lt;1,"Very steep")))))))</f>
        <v>Gentle</v>
      </c>
      <c r="BG223" s="29" t="s">
        <v>2173</v>
      </c>
      <c r="BH223" s="29">
        <v>8.4776775111099995E-6</v>
      </c>
      <c r="BI223" s="43">
        <v>8.6223344802900002</v>
      </c>
      <c r="BJ223" s="43">
        <f>VLOOKUP(D223,[1]SoilData!$G$15:$K$237,5,FALSE)</f>
        <v>177.84000152369043</v>
      </c>
      <c r="BK223" s="43">
        <f>VLOOKUP(D223,[1]SoilData!$G$245:$K$451,5,FALSE)</f>
        <v>342.93046156074189</v>
      </c>
      <c r="BL223" s="43">
        <f>VLOOKUP(D223,[1]SoilData!$G$15:$M$238,7,FALSE)</f>
        <v>1.1919999999999999</v>
      </c>
      <c r="BM223" s="43">
        <f>VLOOKUP(D223,[1]SoilData!$G$245:$M$454,7,FALSE)</f>
        <v>1.3620000000000001</v>
      </c>
      <c r="BN223" s="60">
        <f>BL223-BM223</f>
        <v>-0.17000000000000015</v>
      </c>
      <c r="BO223" s="44">
        <f>AVERAGE(BB223:BC223)</f>
        <v>2.722641509433962</v>
      </c>
      <c r="BP223" s="44">
        <f>AVERAGE(AZ223:BA223)</f>
        <v>5.7534034034034027</v>
      </c>
      <c r="BQ223" s="43">
        <f>BP223-BO223</f>
        <v>3.0307618939694407</v>
      </c>
      <c r="BR223" s="64">
        <f>IF(W223&gt;0.000001,W223*352,0)</f>
        <v>253.44000000000003</v>
      </c>
      <c r="BS223" s="64">
        <f>IF(AE223&gt;0.0001,AE223*682,0)</f>
        <v>245.51999999999998</v>
      </c>
      <c r="BT223" s="64">
        <f>AA223*795</f>
        <v>0</v>
      </c>
      <c r="BU223" s="64">
        <f>BR223+BS223+BT223</f>
        <v>498.96000000000004</v>
      </c>
      <c r="BV223" s="64">
        <f>IF(G223="YES",3.5*18.2,0)</f>
        <v>0</v>
      </c>
      <c r="BW223" s="64">
        <f>BU223-BV223</f>
        <v>498.96000000000004</v>
      </c>
    </row>
    <row r="224" spans="1:75" x14ac:dyDescent="0.15">
      <c r="A224" s="29" t="s">
        <v>556</v>
      </c>
      <c r="B224" s="29">
        <v>198</v>
      </c>
      <c r="C224" s="29" t="s">
        <v>406</v>
      </c>
      <c r="D224" s="29" t="s">
        <v>406</v>
      </c>
      <c r="E224" s="29" t="str">
        <f>VLOOKUP(D224,Harvest_2017_Formulae!$C$2:$D$968,2,FALSE)</f>
        <v>TSAMASI</v>
      </c>
      <c r="F224" s="29" t="s">
        <v>1014</v>
      </c>
      <c r="G224" s="61" t="s">
        <v>546</v>
      </c>
      <c r="H224" s="29" t="s">
        <v>547</v>
      </c>
      <c r="I224" s="29" t="s">
        <v>548</v>
      </c>
      <c r="J224" s="29" t="s">
        <v>546</v>
      </c>
      <c r="K224" s="29" t="s">
        <v>548</v>
      </c>
      <c r="L224" s="29" t="s">
        <v>2220</v>
      </c>
      <c r="M224" s="29" t="s">
        <v>546</v>
      </c>
      <c r="N224" s="29" t="s">
        <v>548</v>
      </c>
      <c r="O224" s="29" t="s">
        <v>550</v>
      </c>
      <c r="P224" s="29">
        <v>0.5</v>
      </c>
      <c r="Q224" s="29">
        <v>1</v>
      </c>
      <c r="S224" s="29" t="s">
        <v>546</v>
      </c>
      <c r="T224" s="29">
        <v>1.25</v>
      </c>
      <c r="U224" s="29">
        <v>2</v>
      </c>
      <c r="V224" s="29" t="s">
        <v>551</v>
      </c>
      <c r="W224" s="30">
        <v>0.38400000000000001</v>
      </c>
      <c r="Y224" s="29">
        <v>999</v>
      </c>
      <c r="Z224" s="29" t="s">
        <v>551</v>
      </c>
      <c r="AA224" s="62"/>
      <c r="AB224" s="29">
        <v>1.25</v>
      </c>
      <c r="AC224" s="29">
        <v>3</v>
      </c>
      <c r="AD224" s="29" t="s">
        <v>552</v>
      </c>
      <c r="AE224" s="62">
        <v>9.6191999999999972E-2</v>
      </c>
      <c r="AF224" s="29" t="s">
        <v>546</v>
      </c>
      <c r="AG224" s="29" t="s">
        <v>546</v>
      </c>
      <c r="AH224" s="29" t="s">
        <v>548</v>
      </c>
      <c r="AI224" s="29" t="s">
        <v>546</v>
      </c>
      <c r="AJ224" s="29" t="s">
        <v>546</v>
      </c>
      <c r="AK224" s="29">
        <v>1</v>
      </c>
      <c r="AL224" s="29">
        <v>3</v>
      </c>
      <c r="AM224" s="29" t="s">
        <v>1375</v>
      </c>
      <c r="AN224" s="29" t="s">
        <v>1376</v>
      </c>
      <c r="AO224" s="29">
        <v>-4.2869071960449219</v>
      </c>
      <c r="AP224" s="29">
        <v>35.829563140869141</v>
      </c>
      <c r="AQ224" s="29">
        <v>1325.800048828125</v>
      </c>
      <c r="AR224" s="29">
        <v>5</v>
      </c>
      <c r="AS224" s="29">
        <v>1706031849</v>
      </c>
      <c r="AT224" s="29" t="s">
        <v>1377</v>
      </c>
      <c r="AU224" s="31">
        <v>42948.907569444447</v>
      </c>
      <c r="AV224" s="31">
        <v>42938.415497685186</v>
      </c>
      <c r="AW224" s="31">
        <v>42938.427662037036</v>
      </c>
      <c r="AX224" s="32">
        <v>42790</v>
      </c>
      <c r="AZ224" s="44">
        <v>4.2727063162747818</v>
      </c>
      <c r="BA224" s="44">
        <v>4.9256569847856166</v>
      </c>
      <c r="BB224" s="44">
        <v>4.8115491009681888</v>
      </c>
      <c r="BC224" s="44">
        <v>6.1301290917473494</v>
      </c>
      <c r="BD224" s="29" t="s">
        <v>2171</v>
      </c>
      <c r="BE224" s="29">
        <v>1.97740852833</v>
      </c>
      <c r="BF224" s="29" t="str">
        <f>IF(BE224&lt;0.5,"Depression",IF(BE224&lt;2,"Very gentle",IF(BE224&lt;5,"Gentle",IF(BE224&lt;9,"Moderate",IF(BE224&lt;15,"Strong",IF(BE224&lt;30,"Steep",IF(BE224&lt;1,"Very steep")))))))</f>
        <v>Very gentle</v>
      </c>
      <c r="BG224" s="29" t="s">
        <v>2173</v>
      </c>
      <c r="BH224" s="29">
        <v>-0.45320102572400001</v>
      </c>
      <c r="BI224" s="43">
        <v>9.6855897903399999</v>
      </c>
      <c r="BJ224" s="43">
        <f>VLOOKUP(D224,[1]SoilData!$G$15:$K$237,5,FALSE)</f>
        <v>1072.1720179918159</v>
      </c>
      <c r="BK224" s="43">
        <f>VLOOKUP(D224,[1]SoilData!$G$245:$K$451,5,FALSE)</f>
        <v>357.4106395211204</v>
      </c>
      <c r="BL224" s="43">
        <f>VLOOKUP(D224,[1]SoilData!$G$15:$M$238,7,FALSE)</f>
        <v>1.6439999999999999</v>
      </c>
      <c r="BM224" s="43">
        <f>VLOOKUP(D224,[1]SoilData!$G$245:$M$454,7,FALSE)</f>
        <v>1.7869999999999999</v>
      </c>
      <c r="BN224" s="60">
        <f>BL224-BM224</f>
        <v>-0.14300000000000002</v>
      </c>
      <c r="BO224" s="44">
        <f>AVERAGE(BB224:BC224)</f>
        <v>5.4708390963577695</v>
      </c>
      <c r="BP224" s="44">
        <f>AVERAGE(AZ224:BA224)</f>
        <v>4.5991816505301992</v>
      </c>
      <c r="BQ224" s="43">
        <f>BP224-BO224</f>
        <v>-0.87165744582757032</v>
      </c>
      <c r="BR224" s="64">
        <f>IF(W224&gt;0.000001,W224*352,0)</f>
        <v>135.16800000000001</v>
      </c>
      <c r="BS224" s="64">
        <f>IF(AE224&gt;0.0001,AE224*682,0)</f>
        <v>65.602943999999979</v>
      </c>
      <c r="BT224" s="64">
        <f>AA224*795</f>
        <v>0</v>
      </c>
      <c r="BU224" s="64">
        <f>BR224+BS224+BT224</f>
        <v>200.77094399999999</v>
      </c>
      <c r="BV224" s="64">
        <f>IF(G224="YES",3.5*18.2,0)</f>
        <v>0</v>
      </c>
      <c r="BW224" s="64">
        <f>BU224-BV224</f>
        <v>200.77094399999999</v>
      </c>
    </row>
    <row r="225" spans="1:75" x14ac:dyDescent="0.15">
      <c r="A225" s="29" t="s">
        <v>556</v>
      </c>
      <c r="B225" s="29">
        <v>11</v>
      </c>
      <c r="C225" s="29" t="s">
        <v>370</v>
      </c>
      <c r="D225" s="29" t="s">
        <v>370</v>
      </c>
      <c r="E225" s="29" t="str">
        <f>VLOOKUP(D225,Harvest_2017_Formulae!$C$2:$D$968,2,FALSE)</f>
        <v>ORNGADIDA</v>
      </c>
      <c r="F225" s="29" t="s">
        <v>777</v>
      </c>
      <c r="G225" s="61" t="s">
        <v>548</v>
      </c>
      <c r="H225" s="29" t="s">
        <v>614</v>
      </c>
      <c r="I225" s="29" t="s">
        <v>546</v>
      </c>
      <c r="J225" s="29" t="s">
        <v>546</v>
      </c>
      <c r="K225" s="29" t="s">
        <v>548</v>
      </c>
      <c r="L225" s="29" t="s">
        <v>2221</v>
      </c>
      <c r="M225" s="29" t="s">
        <v>546</v>
      </c>
      <c r="N225" s="29" t="s">
        <v>546</v>
      </c>
      <c r="O225" s="29" t="s">
        <v>547</v>
      </c>
      <c r="P225" s="29">
        <v>0.25</v>
      </c>
      <c r="R225" s="29">
        <v>0.25</v>
      </c>
      <c r="S225" s="29" t="s">
        <v>548</v>
      </c>
      <c r="T225" s="29">
        <v>1</v>
      </c>
      <c r="U225" s="29">
        <v>13</v>
      </c>
      <c r="V225" s="29" t="s">
        <v>551</v>
      </c>
      <c r="W225" s="30">
        <v>3.12</v>
      </c>
      <c r="Y225" s="29">
        <v>999</v>
      </c>
      <c r="Z225" s="29" t="s">
        <v>551</v>
      </c>
      <c r="AA225" s="62"/>
      <c r="AB225" s="29">
        <v>1</v>
      </c>
      <c r="AC225" s="29">
        <v>1</v>
      </c>
      <c r="AD225" s="29" t="s">
        <v>551</v>
      </c>
      <c r="AE225" s="62">
        <v>0.24</v>
      </c>
      <c r="AF225" s="29" t="s">
        <v>546</v>
      </c>
      <c r="AG225" s="29" t="s">
        <v>546</v>
      </c>
      <c r="AH225" s="29" t="s">
        <v>546</v>
      </c>
      <c r="AI225" s="29" t="s">
        <v>546</v>
      </c>
      <c r="AJ225" s="29" t="s">
        <v>546</v>
      </c>
      <c r="AK225" s="29">
        <v>0</v>
      </c>
      <c r="AL225" s="29">
        <v>3</v>
      </c>
      <c r="AM225" s="29" t="s">
        <v>1105</v>
      </c>
      <c r="AN225" s="29" t="s">
        <v>1106</v>
      </c>
      <c r="AO225" s="29">
        <v>-4.3042616844177246</v>
      </c>
      <c r="AP225" s="29">
        <v>35.875431060791016</v>
      </c>
      <c r="AQ225" s="29">
        <v>1258.800048828125</v>
      </c>
      <c r="AR225" s="29">
        <v>5</v>
      </c>
      <c r="AS225" s="29">
        <v>1705231439</v>
      </c>
      <c r="AT225" s="29" t="s">
        <v>1107</v>
      </c>
      <c r="AU225" s="31">
        <v>42893.597175925926</v>
      </c>
      <c r="AV225" s="31">
        <v>42892.619537037041</v>
      </c>
      <c r="AW225" s="31">
        <v>42892.630891203706</v>
      </c>
      <c r="AX225" s="32">
        <v>42773</v>
      </c>
      <c r="AZ225" s="44">
        <v>4.4172016460905352</v>
      </c>
      <c r="BA225" s="44">
        <v>4.0088888888888894</v>
      </c>
      <c r="BB225" s="44">
        <v>2.8333333333333335</v>
      </c>
      <c r="BC225" s="44">
        <v>3.9666666666666668</v>
      </c>
      <c r="BD225" s="29" t="s">
        <v>2171</v>
      </c>
      <c r="BE225" s="29">
        <v>0.83179336786299995</v>
      </c>
      <c r="BF225" s="29" t="str">
        <f>IF(BE225&lt;0.5,"Depression",IF(BE225&lt;2,"Very gentle",IF(BE225&lt;5,"Gentle",IF(BE225&lt;9,"Moderate",IF(BE225&lt;15,"Strong",IF(BE225&lt;30,"Steep",IF(BE225&lt;1,"Very steep")))))))</f>
        <v>Very gentle</v>
      </c>
      <c r="BG225" s="29" t="s">
        <v>2173</v>
      </c>
      <c r="BH225" s="29">
        <v>-9.0633422136300004E-2</v>
      </c>
      <c r="BI225" s="43">
        <v>7.9720454215999998</v>
      </c>
      <c r="BJ225" s="43">
        <f>VLOOKUP(D225,[1]SoilData!$G$15:$K$237,5,FALSE)</f>
        <v>414.51708608833121</v>
      </c>
      <c r="BK225" s="43">
        <f>VLOOKUP(D225,[1]SoilData!$G$245:$K$451,5,FALSE)</f>
        <v>22.271874101146533</v>
      </c>
      <c r="BL225" s="43">
        <f>VLOOKUP(D225,[1]SoilData!$G$15:$M$238,7,FALSE)</f>
        <v>1.339</v>
      </c>
      <c r="BM225" s="43">
        <f>VLOOKUP(D225,[1]SoilData!$G$245:$M$454,7,FALSE)</f>
        <v>1.365</v>
      </c>
      <c r="BN225" s="60">
        <f>BL225-BM225</f>
        <v>-2.6000000000000023E-2</v>
      </c>
      <c r="BO225" s="44">
        <f>AVERAGE(BB225:BC225)</f>
        <v>3.4000000000000004</v>
      </c>
      <c r="BP225" s="44">
        <f>AVERAGE(AZ225:BA225)</f>
        <v>4.2130452674897123</v>
      </c>
      <c r="BQ225" s="43">
        <f>BP225-BO225</f>
        <v>0.81304526748971195</v>
      </c>
      <c r="BR225" s="64">
        <f>IF(W225&gt;0.000001,W225*352,0)</f>
        <v>1098.24</v>
      </c>
      <c r="BS225" s="64">
        <f>IF(AE225&gt;0.0001,AE225*682,0)</f>
        <v>163.68</v>
      </c>
      <c r="BT225" s="64">
        <f>AA225*795</f>
        <v>0</v>
      </c>
      <c r="BU225" s="64">
        <f>BR225+BS225+BT225</f>
        <v>1261.92</v>
      </c>
      <c r="BV225" s="64">
        <f>IF(G225="YES",3.5*18.2,0)</f>
        <v>63.699999999999996</v>
      </c>
      <c r="BW225" s="64">
        <f>BU225-BV225</f>
        <v>1198.22</v>
      </c>
    </row>
    <row r="226" spans="1:75" x14ac:dyDescent="0.15">
      <c r="A226" s="29" t="s">
        <v>814</v>
      </c>
      <c r="B226" s="29">
        <v>66</v>
      </c>
      <c r="C226" s="29" t="s">
        <v>139</v>
      </c>
      <c r="D226" s="29" t="s">
        <v>139</v>
      </c>
      <c r="E226" s="29" t="str">
        <f>VLOOKUP(D226,Harvest_2017_Formulae!$C$2:$D$968,2,FALSE)</f>
        <v>Endanachan</v>
      </c>
      <c r="F226" s="29" t="s">
        <v>777</v>
      </c>
      <c r="G226" s="61" t="s">
        <v>548</v>
      </c>
      <c r="H226" s="29" t="s">
        <v>568</v>
      </c>
      <c r="I226" s="29" t="s">
        <v>548</v>
      </c>
      <c r="J226" s="29" t="s">
        <v>546</v>
      </c>
      <c r="K226" s="29" t="s">
        <v>548</v>
      </c>
      <c r="L226" s="29" t="s">
        <v>2221</v>
      </c>
      <c r="M226" s="29" t="s">
        <v>548</v>
      </c>
      <c r="N226" s="29" t="s">
        <v>546</v>
      </c>
      <c r="O226" s="29" t="s">
        <v>547</v>
      </c>
      <c r="P226" s="29">
        <v>0.25</v>
      </c>
      <c r="Q226" s="29">
        <v>3.75</v>
      </c>
      <c r="R226" s="29">
        <v>0</v>
      </c>
      <c r="S226" s="29" t="s">
        <v>548</v>
      </c>
      <c r="T226" s="29">
        <v>1</v>
      </c>
      <c r="U226" s="29">
        <v>12</v>
      </c>
      <c r="V226" s="29" t="s">
        <v>551</v>
      </c>
      <c r="W226" s="30">
        <v>2.8800000000000003</v>
      </c>
      <c r="Y226" s="29">
        <v>999</v>
      </c>
      <c r="Z226" s="29" t="s">
        <v>551</v>
      </c>
      <c r="AA226" s="62"/>
      <c r="AB226" s="29">
        <v>1</v>
      </c>
      <c r="AC226" s="29">
        <v>4</v>
      </c>
      <c r="AD226" s="29" t="s">
        <v>551</v>
      </c>
      <c r="AE226" s="62">
        <v>0.96</v>
      </c>
      <c r="AF226" s="29" t="s">
        <v>548</v>
      </c>
      <c r="AG226" s="29" t="s">
        <v>548</v>
      </c>
      <c r="AH226" s="29" t="s">
        <v>548</v>
      </c>
      <c r="AI226" s="29" t="s">
        <v>548</v>
      </c>
      <c r="AJ226" s="29" t="s">
        <v>548</v>
      </c>
      <c r="AK226" s="29">
        <v>5</v>
      </c>
      <c r="AL226" s="29">
        <v>2</v>
      </c>
      <c r="AM226" s="29" t="s">
        <v>816</v>
      </c>
      <c r="AN226" s="29" t="s">
        <v>817</v>
      </c>
      <c r="AO226" s="29">
        <v>-4.355586051940918</v>
      </c>
      <c r="AP226" s="29">
        <v>35.701301574707031</v>
      </c>
      <c r="AQ226" s="29">
        <v>1409.0999755859375</v>
      </c>
      <c r="AR226" s="29">
        <v>10</v>
      </c>
      <c r="AS226" s="29">
        <v>1705231439</v>
      </c>
      <c r="AT226" s="29" t="s">
        <v>818</v>
      </c>
      <c r="AU226" s="31">
        <v>42923.387071759258</v>
      </c>
      <c r="AV226" s="31">
        <v>42901.708854166667</v>
      </c>
      <c r="AW226" s="31">
        <v>42923.38585648148</v>
      </c>
      <c r="AX226" s="32">
        <v>42765</v>
      </c>
      <c r="AZ226" s="44">
        <v>6.3372222222222225</v>
      </c>
      <c r="BA226" s="44">
        <v>6.1338888888888894</v>
      </c>
      <c r="BB226" s="44">
        <v>5.0789473684210531</v>
      </c>
      <c r="BC226" s="44">
        <v>4.8757894736842102</v>
      </c>
      <c r="BD226" s="29" t="s">
        <v>2171</v>
      </c>
      <c r="BE226" s="29">
        <v>4.12190485001</v>
      </c>
      <c r="BF226" s="29" t="str">
        <f>IF(BE226&lt;0.5,"Depression",IF(BE226&lt;2,"Very gentle",IF(BE226&lt;5,"Gentle",IF(BE226&lt;9,"Moderate",IF(BE226&lt;15,"Strong",IF(BE226&lt;30,"Steep",IF(BE226&lt;1,"Very steep")))))))</f>
        <v>Gentle</v>
      </c>
      <c r="BG226" s="29" t="s">
        <v>2173</v>
      </c>
      <c r="BH226" s="29">
        <v>-9.0633422136300004E-2</v>
      </c>
      <c r="BI226" s="43">
        <v>7.5884537696800001</v>
      </c>
      <c r="BJ226" s="43">
        <f>VLOOKUP(D226,[1]SoilData!$G$15:$K$237,5,FALSE)</f>
        <v>390.91281359849768</v>
      </c>
      <c r="BK226" s="43">
        <f>VLOOKUP(D226,[1]SoilData!$G$245:$K$451,5,FALSE)</f>
        <v>256.84934752251172</v>
      </c>
      <c r="BL226" s="43">
        <f>VLOOKUP(D226,[1]SoilData!$G$15:$M$238,7,FALSE)</f>
        <v>1.399</v>
      </c>
      <c r="BM226" s="43">
        <f>VLOOKUP(D226,[1]SoilData!$G$245:$M$454,7,FALSE)</f>
        <v>0.91500000000000004</v>
      </c>
      <c r="BN226" s="60">
        <f>BL226-BM226</f>
        <v>0.48399999999999999</v>
      </c>
      <c r="BO226" s="44">
        <f>AVERAGE(BB226:BC226)</f>
        <v>4.9773684210526312</v>
      </c>
      <c r="BP226" s="44">
        <f>AVERAGE(AZ226:BA226)</f>
        <v>6.235555555555556</v>
      </c>
      <c r="BQ226" s="43">
        <f>BP226-BO226</f>
        <v>1.2581871345029247</v>
      </c>
      <c r="BR226" s="64">
        <f>IF(W226&gt;0.000001,W226*352,0)</f>
        <v>1013.7600000000001</v>
      </c>
      <c r="BS226" s="64">
        <f>IF(AE226&gt;0.0001,AE226*682,0)</f>
        <v>654.72</v>
      </c>
      <c r="BT226" s="64">
        <f>AA226*795</f>
        <v>0</v>
      </c>
      <c r="BU226" s="64">
        <f>BR226+BS226+BT226</f>
        <v>1668.48</v>
      </c>
      <c r="BV226" s="64">
        <f>IF(G226="YES",3.5*18.2,0)</f>
        <v>63.699999999999996</v>
      </c>
      <c r="BW226" s="64">
        <f>BU226-BV226</f>
        <v>1604.78</v>
      </c>
    </row>
    <row r="227" spans="1:75" s="33" customFormat="1" x14ac:dyDescent="0.15">
      <c r="A227" s="29" t="s">
        <v>556</v>
      </c>
      <c r="B227" s="29">
        <v>232</v>
      </c>
      <c r="C227" s="29" t="s">
        <v>1378</v>
      </c>
      <c r="D227" s="29" t="s">
        <v>297</v>
      </c>
      <c r="E227" s="29" t="str">
        <f>VLOOKUP(D227,Harvest_2017_Formulae!$C$2:$D$968,2,FALSE)</f>
        <v>TSAMASI</v>
      </c>
      <c r="F227" s="29" t="s">
        <v>1014</v>
      </c>
      <c r="G227" s="61" t="s">
        <v>548</v>
      </c>
      <c r="H227" s="29" t="s">
        <v>568</v>
      </c>
      <c r="I227" s="29" t="s">
        <v>548</v>
      </c>
      <c r="J227" s="29" t="s">
        <v>546</v>
      </c>
      <c r="K227" s="29" t="s">
        <v>548</v>
      </c>
      <c r="L227" s="29" t="s">
        <v>2221</v>
      </c>
      <c r="M227" s="29" t="s">
        <v>546</v>
      </c>
      <c r="N227" s="29" t="s">
        <v>548</v>
      </c>
      <c r="O227" s="29" t="s">
        <v>550</v>
      </c>
      <c r="P227" s="29">
        <v>0.25</v>
      </c>
      <c r="Q227" s="29">
        <v>3.75</v>
      </c>
      <c r="R227" s="29"/>
      <c r="S227" s="29" t="s">
        <v>548</v>
      </c>
      <c r="T227" s="29">
        <v>4</v>
      </c>
      <c r="U227" s="29">
        <v>50</v>
      </c>
      <c r="V227" s="29" t="s">
        <v>551</v>
      </c>
      <c r="W227" s="30">
        <v>3</v>
      </c>
      <c r="X227" s="29"/>
      <c r="Y227" s="29">
        <v>999</v>
      </c>
      <c r="Z227" s="29" t="s">
        <v>551</v>
      </c>
      <c r="AA227" s="62"/>
      <c r="AB227" s="29">
        <v>4</v>
      </c>
      <c r="AC227" s="29">
        <v>8</v>
      </c>
      <c r="AD227" s="29" t="s">
        <v>551</v>
      </c>
      <c r="AE227" s="62">
        <v>0.48</v>
      </c>
      <c r="AF227" s="29" t="s">
        <v>546</v>
      </c>
      <c r="AG227" s="29" t="s">
        <v>548</v>
      </c>
      <c r="AH227" s="29" t="s">
        <v>546</v>
      </c>
      <c r="AI227" s="29" t="s">
        <v>548</v>
      </c>
      <c r="AJ227" s="29" t="s">
        <v>546</v>
      </c>
      <c r="AK227" s="29">
        <v>2</v>
      </c>
      <c r="AL227" s="29">
        <v>2</v>
      </c>
      <c r="AM227" s="29" t="s">
        <v>1379</v>
      </c>
      <c r="AN227" s="29" t="s">
        <v>1380</v>
      </c>
      <c r="AO227" s="29">
        <v>-4.2912087440490723</v>
      </c>
      <c r="AP227" s="29">
        <v>35.824909210205078</v>
      </c>
      <c r="AQ227" s="29">
        <v>1325.199951171875</v>
      </c>
      <c r="AR227" s="29">
        <v>5</v>
      </c>
      <c r="AS227" s="29">
        <v>1706031849</v>
      </c>
      <c r="AT227" s="29" t="s">
        <v>1381</v>
      </c>
      <c r="AU227" s="31">
        <v>42951.014305555553</v>
      </c>
      <c r="AV227" s="31">
        <v>42940.62699074074</v>
      </c>
      <c r="AW227" s="31">
        <v>42950.994826388887</v>
      </c>
      <c r="AX227" s="32">
        <v>42797</v>
      </c>
      <c r="AY227" s="29"/>
      <c r="AZ227" s="44"/>
      <c r="BA227" s="44"/>
      <c r="BB227" s="44"/>
      <c r="BC227" s="44"/>
      <c r="BD227" s="29" t="s">
        <v>2179</v>
      </c>
      <c r="BE227" s="29">
        <v>1.7505050897600001</v>
      </c>
      <c r="BF227" s="29" t="str">
        <f>IF(BE227&lt;0.5,"Depression",IF(BE227&lt;2,"Very gentle",IF(BE227&lt;5,"Gentle",IF(BE227&lt;9,"Moderate",IF(BE227&lt;15,"Strong",IF(BE227&lt;30,"Steep",IF(BE227&lt;1,"Very steep")))))))</f>
        <v>Very gentle</v>
      </c>
      <c r="BG227" s="29" t="s">
        <v>2173</v>
      </c>
      <c r="BH227" s="29">
        <v>0.45321798324599999</v>
      </c>
      <c r="BI227" s="43">
        <v>10.6540765762</v>
      </c>
      <c r="BJ227" s="43">
        <f>VLOOKUP(D227,[1]SoilData!$G$15:$K$237,5,FALSE)</f>
        <v>332.0746750701914</v>
      </c>
      <c r="BK227" s="43">
        <f>VLOOKUP(D227,[1]SoilData!$G$245:$K$451,5,FALSE)</f>
        <v>853.42438364503391</v>
      </c>
      <c r="BL227" s="43">
        <f>VLOOKUP(D227,[1]SoilData!$G$15:$M$238,7,FALSE)</f>
        <v>1.117</v>
      </c>
      <c r="BM227" s="43">
        <f>VLOOKUP(D227,[1]SoilData!$G$245:$M$454,7,FALSE)</f>
        <v>1.712</v>
      </c>
      <c r="BN227" s="60">
        <f>BL227-BM227</f>
        <v>-0.59499999999999997</v>
      </c>
      <c r="BO227" s="44"/>
      <c r="BP227" s="44"/>
      <c r="BQ227" s="43"/>
      <c r="BR227" s="64">
        <f>IF(W227&gt;0.000001,W227*352,0)</f>
        <v>1056</v>
      </c>
      <c r="BS227" s="64">
        <f>IF(AE227&gt;0.0001,AE227*682,0)</f>
        <v>327.36</v>
      </c>
      <c r="BT227" s="64">
        <f>AA227*795</f>
        <v>0</v>
      </c>
      <c r="BU227" s="64">
        <f>BR227+BS227+BT227</f>
        <v>1383.3600000000001</v>
      </c>
      <c r="BV227" s="64">
        <f>IF(G227="YES",3.5*18.2,0)</f>
        <v>63.699999999999996</v>
      </c>
      <c r="BW227" s="64">
        <f>BU227-BV227</f>
        <v>1319.66</v>
      </c>
    </row>
    <row r="228" spans="1:75" x14ac:dyDescent="0.15">
      <c r="A228" s="29" t="s">
        <v>556</v>
      </c>
      <c r="B228" s="29">
        <v>151</v>
      </c>
      <c r="C228" s="29" t="s">
        <v>361</v>
      </c>
      <c r="D228" s="29" t="s">
        <v>361</v>
      </c>
      <c r="E228" s="29" t="str">
        <f>VLOOKUP(D228,Harvest_2017_Formulae!$C$2:$D$968,2,FALSE)</f>
        <v>HALLU</v>
      </c>
      <c r="F228" s="29" t="s">
        <v>938</v>
      </c>
      <c r="G228" s="61" t="s">
        <v>548</v>
      </c>
      <c r="H228" s="29" t="s">
        <v>568</v>
      </c>
      <c r="I228" s="29" t="s">
        <v>548</v>
      </c>
      <c r="J228" s="29" t="s">
        <v>546</v>
      </c>
      <c r="K228" s="29" t="s">
        <v>548</v>
      </c>
      <c r="L228" s="29" t="s">
        <v>2221</v>
      </c>
      <c r="M228" s="29" t="s">
        <v>546</v>
      </c>
      <c r="N228" s="29" t="s">
        <v>548</v>
      </c>
      <c r="O228" s="29" t="s">
        <v>550</v>
      </c>
      <c r="P228" s="29">
        <v>0.25</v>
      </c>
      <c r="Q228" s="29">
        <v>0.125</v>
      </c>
      <c r="S228" s="29" t="s">
        <v>548</v>
      </c>
      <c r="T228" s="29">
        <v>0.375</v>
      </c>
      <c r="U228" s="29">
        <v>6</v>
      </c>
      <c r="V228" s="29" t="s">
        <v>551</v>
      </c>
      <c r="W228" s="30">
        <v>3.8400000000000003</v>
      </c>
      <c r="Y228" s="29">
        <v>999</v>
      </c>
      <c r="Z228" s="29" t="s">
        <v>551</v>
      </c>
      <c r="AA228" s="62"/>
      <c r="AB228" s="29">
        <v>0.375</v>
      </c>
      <c r="AC228" s="29">
        <v>3</v>
      </c>
      <c r="AD228" s="29" t="s">
        <v>551</v>
      </c>
      <c r="AE228" s="62">
        <v>1.92</v>
      </c>
      <c r="AF228" s="29" t="s">
        <v>546</v>
      </c>
      <c r="AG228" s="29" t="s">
        <v>548</v>
      </c>
      <c r="AH228" s="29" t="s">
        <v>546</v>
      </c>
      <c r="AI228" s="29" t="s">
        <v>546</v>
      </c>
      <c r="AJ228" s="29" t="s">
        <v>546</v>
      </c>
      <c r="AK228" s="29">
        <v>1</v>
      </c>
      <c r="AL228" s="29">
        <v>2</v>
      </c>
      <c r="AM228" s="29" t="s">
        <v>1005</v>
      </c>
      <c r="AN228" s="29" t="s">
        <v>1006</v>
      </c>
      <c r="AO228" s="29">
        <v>-4.2970290184020996</v>
      </c>
      <c r="AP228" s="29">
        <v>35.890232086181641</v>
      </c>
      <c r="AQ228" s="29">
        <v>1214.300048828125</v>
      </c>
      <c r="AR228" s="29">
        <v>5</v>
      </c>
      <c r="AS228" s="29">
        <v>1706031849</v>
      </c>
      <c r="AT228" s="29" t="s">
        <v>1007</v>
      </c>
      <c r="AU228" s="31">
        <v>42913.63862268519</v>
      </c>
      <c r="AV228" s="31">
        <v>42909.624537037038</v>
      </c>
      <c r="AW228" s="31">
        <v>42909.637916666667</v>
      </c>
      <c r="AX228" s="32">
        <v>42788</v>
      </c>
      <c r="AZ228" s="44">
        <v>4.8813771517996871</v>
      </c>
      <c r="BA228" s="44">
        <v>5.0391236306729272</v>
      </c>
      <c r="BB228" s="44">
        <v>3.760879120879121</v>
      </c>
      <c r="BC228" s="44">
        <v>3.6397557997557994</v>
      </c>
      <c r="BD228" s="29" t="s">
        <v>2171</v>
      </c>
      <c r="BE228" s="29">
        <v>0.66437512636200002</v>
      </c>
      <c r="BF228" s="29" t="str">
        <f>IF(BE228&lt;0.5,"Depression",IF(BE228&lt;2,"Very gentle",IF(BE228&lt;5,"Gentle",IF(BE228&lt;9,"Moderate",IF(BE228&lt;15,"Strong",IF(BE228&lt;30,"Steep",IF(BE228&lt;1,"Very steep")))))))</f>
        <v>Very gentle</v>
      </c>
      <c r="BG228" s="29" t="s">
        <v>2173</v>
      </c>
      <c r="BH228" s="29">
        <v>-0.27191722393000001</v>
      </c>
      <c r="BI228" s="43">
        <v>9.5276403427100007</v>
      </c>
      <c r="BJ228" s="43">
        <f>VLOOKUP(D228,[1]SoilData!$G$15:$K$237,5,FALSE)</f>
        <v>130.30322297000242</v>
      </c>
      <c r="BK228" s="43"/>
      <c r="BL228" s="43">
        <f>VLOOKUP(D228,[1]SoilData!$G$15:$M$238,7,FALSE)</f>
        <v>1.0940000000000001</v>
      </c>
      <c r="BM228" s="43">
        <f>VLOOKUP(D228,[1]SoilData!$G$245:$M$454,7,FALSE)</f>
        <v>2.153</v>
      </c>
      <c r="BN228" s="60">
        <f>BL228-BM228</f>
        <v>-1.0589999999999999</v>
      </c>
      <c r="BO228" s="44">
        <f>AVERAGE(BB228:BC228)</f>
        <v>3.7003174603174602</v>
      </c>
      <c r="BP228" s="44">
        <f>AVERAGE(AZ228:BA228)</f>
        <v>4.9602503912363076</v>
      </c>
      <c r="BQ228" s="43">
        <f>BP228-BO228</f>
        <v>1.2599329309188474</v>
      </c>
      <c r="BR228" s="64">
        <f>IF(W228&gt;0.000001,W228*352,0)</f>
        <v>1351.68</v>
      </c>
      <c r="BS228" s="64">
        <f>IF(AE228&gt;0.0001,AE228*682,0)</f>
        <v>1309.44</v>
      </c>
      <c r="BT228" s="64">
        <f>AA228*795</f>
        <v>0</v>
      </c>
      <c r="BU228" s="64">
        <f>BR228+BS228+BT228</f>
        <v>2661.12</v>
      </c>
      <c r="BV228" s="64">
        <f>IF(G228="YES",3.5*18.2,0)</f>
        <v>63.699999999999996</v>
      </c>
      <c r="BW228" s="64">
        <f>BU228-BV228</f>
        <v>2597.42</v>
      </c>
    </row>
    <row r="229" spans="1:75" x14ac:dyDescent="0.15">
      <c r="A229" s="29" t="s">
        <v>556</v>
      </c>
      <c r="B229" s="29">
        <v>144</v>
      </c>
      <c r="C229" s="29" t="s">
        <v>324</v>
      </c>
      <c r="D229" s="29" t="s">
        <v>324</v>
      </c>
      <c r="E229" s="29" t="str">
        <f>VLOOKUP(D229,Harvest_2017_Formulae!$C$2:$D$968,2,FALSE)</f>
        <v>AYAMANGO</v>
      </c>
      <c r="F229" s="29" t="s">
        <v>196</v>
      </c>
      <c r="G229" s="61" t="s">
        <v>546</v>
      </c>
      <c r="H229" s="29" t="s">
        <v>547</v>
      </c>
      <c r="I229" s="29" t="s">
        <v>548</v>
      </c>
      <c r="J229" s="29" t="s">
        <v>546</v>
      </c>
      <c r="K229" s="29" t="s">
        <v>548</v>
      </c>
      <c r="L229" s="29" t="s">
        <v>2221</v>
      </c>
      <c r="M229" s="29" t="s">
        <v>546</v>
      </c>
      <c r="N229" s="29" t="s">
        <v>548</v>
      </c>
      <c r="O229" s="29" t="s">
        <v>550</v>
      </c>
      <c r="P229" s="29">
        <v>0.375</v>
      </c>
      <c r="Q229" s="29">
        <v>0.375</v>
      </c>
      <c r="S229" s="29" t="s">
        <v>546</v>
      </c>
      <c r="T229" s="29">
        <v>0.75</v>
      </c>
      <c r="U229" s="29">
        <v>4</v>
      </c>
      <c r="V229" s="29" t="s">
        <v>551</v>
      </c>
      <c r="W229" s="30">
        <v>1.28</v>
      </c>
      <c r="Y229" s="29">
        <v>999</v>
      </c>
      <c r="Z229" s="29" t="s">
        <v>551</v>
      </c>
      <c r="AA229" s="62"/>
      <c r="AB229" s="29">
        <v>0.75</v>
      </c>
      <c r="AC229" s="29">
        <v>2</v>
      </c>
      <c r="AD229" s="29" t="s">
        <v>551</v>
      </c>
      <c r="AE229" s="62">
        <v>0.64</v>
      </c>
      <c r="AF229" s="29" t="s">
        <v>546</v>
      </c>
      <c r="AG229" s="29" t="s">
        <v>546</v>
      </c>
      <c r="AH229" s="29" t="s">
        <v>546</v>
      </c>
      <c r="AI229" s="29" t="s">
        <v>546</v>
      </c>
      <c r="AJ229" s="29" t="s">
        <v>546</v>
      </c>
      <c r="AK229" s="29">
        <v>0</v>
      </c>
      <c r="AL229" s="29">
        <v>3</v>
      </c>
      <c r="AM229" s="29" t="s">
        <v>632</v>
      </c>
      <c r="AN229" s="29" t="s">
        <v>633</v>
      </c>
      <c r="AO229" s="29">
        <v>-4.2444968223571777</v>
      </c>
      <c r="AP229" s="29">
        <v>35.890701293945312</v>
      </c>
      <c r="AQ229" s="29">
        <v>1201.4000244140625</v>
      </c>
      <c r="AR229" s="29">
        <v>5</v>
      </c>
      <c r="AS229" s="29">
        <v>1706031849</v>
      </c>
      <c r="AT229" s="29" t="s">
        <v>634</v>
      </c>
      <c r="AU229" s="31">
        <v>42909.495810185181</v>
      </c>
      <c r="AV229" s="31">
        <v>42908.492326388892</v>
      </c>
      <c r="AW229" s="31">
        <v>42908.501620370371</v>
      </c>
      <c r="AX229" s="32">
        <v>42780</v>
      </c>
      <c r="AZ229" s="44">
        <v>5.3983333333333325</v>
      </c>
      <c r="BA229" s="44">
        <v>6.3379166666666666</v>
      </c>
      <c r="BB229" s="44">
        <v>4.4112820512820505</v>
      </c>
      <c r="BC229" s="44">
        <v>5.1897435897435891</v>
      </c>
      <c r="BD229" s="29" t="s">
        <v>2171</v>
      </c>
      <c r="BE229" s="29">
        <v>0.93315756320999999</v>
      </c>
      <c r="BF229" s="29" t="str">
        <f>IF(BE229&lt;0.5,"Depression",IF(BE229&lt;2,"Very gentle",IF(BE229&lt;5,"Gentle",IF(BE229&lt;9,"Moderate",IF(BE229&lt;15,"Strong",IF(BE229&lt;30,"Steep",IF(BE229&lt;1,"Very steep")))))))</f>
        <v>Very gentle</v>
      </c>
      <c r="BG229" s="29" t="s">
        <v>2173</v>
      </c>
      <c r="BH229" s="29">
        <v>9.0650379657699995E-2</v>
      </c>
      <c r="BI229" s="43">
        <v>10.5559015274</v>
      </c>
      <c r="BJ229" s="43">
        <f>VLOOKUP(D229,[1]SoilData!$G$15:$K$237,5,FALSE)</f>
        <v>484.20066962021053</v>
      </c>
      <c r="BK229" s="43">
        <f>VLOOKUP(D229,[1]SoilData!$G$245:$K$451,5,FALSE)</f>
        <v>371.34360986167974</v>
      </c>
      <c r="BL229" s="43">
        <f>VLOOKUP(D229,[1]SoilData!$G$15:$M$238,7,FALSE)</f>
        <v>2.056</v>
      </c>
      <c r="BM229" s="43">
        <f>VLOOKUP(D229,[1]SoilData!$G$245:$M$454,7,FALSE)</f>
        <v>1.704</v>
      </c>
      <c r="BN229" s="60">
        <f>BL229-BM229</f>
        <v>0.35200000000000009</v>
      </c>
      <c r="BO229" s="44">
        <f>AVERAGE(BB229:BC229)</f>
        <v>4.8005128205128198</v>
      </c>
      <c r="BP229" s="44">
        <f>AVERAGE(AZ229:BA229)</f>
        <v>5.8681249999999991</v>
      </c>
      <c r="BQ229" s="43">
        <f>BP229-BO229</f>
        <v>1.0676121794871793</v>
      </c>
      <c r="BR229" s="64">
        <f>IF(W229&gt;0.000001,W229*352,0)</f>
        <v>450.56</v>
      </c>
      <c r="BS229" s="64">
        <f>IF(AE229&gt;0.0001,AE229*682,0)</f>
        <v>436.48</v>
      </c>
      <c r="BT229" s="64">
        <f>AA229*795</f>
        <v>0</v>
      </c>
      <c r="BU229" s="64">
        <f>BR229+BS229+BT229</f>
        <v>887.04</v>
      </c>
      <c r="BV229" s="64">
        <f>IF(G229="YES",3.5*18.2,0)</f>
        <v>0</v>
      </c>
      <c r="BW229" s="64">
        <f>BU229-BV229</f>
        <v>887.04</v>
      </c>
    </row>
    <row r="230" spans="1:75" x14ac:dyDescent="0.15">
      <c r="A230" s="29" t="s">
        <v>789</v>
      </c>
      <c r="B230" s="29">
        <v>58</v>
      </c>
      <c r="C230" s="29" t="s">
        <v>209</v>
      </c>
      <c r="D230" s="29" t="s">
        <v>209</v>
      </c>
      <c r="E230" s="29" t="str">
        <f>VLOOKUP(D230,Harvest_2017_Formulae!$C$2:$D$968,2,FALSE)</f>
        <v>MANDI</v>
      </c>
      <c r="F230" s="29" t="s">
        <v>1014</v>
      </c>
      <c r="G230" s="61" t="s">
        <v>548</v>
      </c>
      <c r="H230" s="29" t="s">
        <v>568</v>
      </c>
      <c r="I230" s="29" t="s">
        <v>548</v>
      </c>
      <c r="J230" s="29" t="s">
        <v>546</v>
      </c>
      <c r="K230" s="29" t="s">
        <v>548</v>
      </c>
      <c r="L230" s="29" t="s">
        <v>2221</v>
      </c>
      <c r="M230" s="29" t="s">
        <v>548</v>
      </c>
      <c r="N230" s="29" t="s">
        <v>548</v>
      </c>
      <c r="O230" s="29" t="s">
        <v>793</v>
      </c>
      <c r="P230" s="29">
        <v>0.25</v>
      </c>
      <c r="Q230" s="29">
        <v>2.25</v>
      </c>
      <c r="R230" s="29">
        <v>0</v>
      </c>
      <c r="S230" s="29" t="s">
        <v>548</v>
      </c>
      <c r="T230" s="29">
        <v>1</v>
      </c>
      <c r="U230" s="29">
        <v>20</v>
      </c>
      <c r="V230" s="29" t="s">
        <v>551</v>
      </c>
      <c r="W230" s="30">
        <v>4.8</v>
      </c>
      <c r="X230" s="29">
        <v>1</v>
      </c>
      <c r="Y230" s="29">
        <v>2</v>
      </c>
      <c r="Z230" s="29" t="s">
        <v>551</v>
      </c>
      <c r="AA230" s="62">
        <v>0.48</v>
      </c>
      <c r="AC230" s="29">
        <v>999</v>
      </c>
      <c r="AD230" s="29" t="s">
        <v>551</v>
      </c>
      <c r="AE230" s="62"/>
      <c r="AF230" s="29" t="s">
        <v>548</v>
      </c>
      <c r="AG230" s="29" t="s">
        <v>546</v>
      </c>
      <c r="AH230" s="29" t="s">
        <v>548</v>
      </c>
      <c r="AI230" s="29" t="s">
        <v>546</v>
      </c>
      <c r="AJ230" s="29" t="s">
        <v>548</v>
      </c>
      <c r="AK230" s="29">
        <v>3</v>
      </c>
      <c r="AL230" s="29">
        <v>3</v>
      </c>
      <c r="AM230" s="29" t="s">
        <v>1067</v>
      </c>
      <c r="AN230" s="29" t="s">
        <v>1068</v>
      </c>
      <c r="AO230" s="29">
        <v>-4.3318023681640625</v>
      </c>
      <c r="AP230" s="29">
        <v>35.450305938720703</v>
      </c>
      <c r="AQ230" s="29">
        <v>1565.4000244140625</v>
      </c>
      <c r="AR230" s="29">
        <v>5</v>
      </c>
      <c r="AS230" s="29">
        <v>1705231439</v>
      </c>
      <c r="AT230" s="29" t="s">
        <v>1069</v>
      </c>
      <c r="AU230" s="31">
        <v>42923.381840277776</v>
      </c>
      <c r="AV230" s="31">
        <v>42908.639675925922</v>
      </c>
      <c r="AW230" s="31">
        <v>42908.65388888889</v>
      </c>
      <c r="AX230" s="32">
        <v>42776</v>
      </c>
      <c r="AZ230" s="44">
        <v>3.8153846153846156</v>
      </c>
      <c r="BA230" s="44">
        <v>5.3743589743589739</v>
      </c>
      <c r="BB230" s="44">
        <v>4.0177777777777779</v>
      </c>
      <c r="BC230" s="44">
        <v>2.7936111111111108</v>
      </c>
      <c r="BD230" s="29" t="s">
        <v>2171</v>
      </c>
      <c r="BE230" s="29">
        <v>0</v>
      </c>
      <c r="BF230" s="29" t="str">
        <f>IF(BE230&lt;0.5,"Depression",IF(BE230&lt;2,"Very gentle",IF(BE230&lt;5,"Gentle",IF(BE230&lt;9,"Moderate",IF(BE230&lt;15,"Strong",IF(BE230&lt;30,"Steep",IF(BE230&lt;1,"Very steep")))))))</f>
        <v>Depression</v>
      </c>
      <c r="BG230" s="29" t="s">
        <v>2173</v>
      </c>
      <c r="BH230" s="29">
        <v>8.4776775111099995E-6</v>
      </c>
      <c r="BI230" s="43">
        <v>11.4374370575</v>
      </c>
      <c r="BJ230" s="43">
        <f>VLOOKUP(D230,[1]SoilData!$G$15:$K$237,5,FALSE)</f>
        <v>491.77961188423967</v>
      </c>
      <c r="BK230" s="43">
        <f>VLOOKUP(D230,[1]SoilData!$G$245:$K$451,5,FALSE)</f>
        <v>371.7608898733568</v>
      </c>
      <c r="BL230" s="43">
        <f>VLOOKUP(D230,[1]SoilData!$G$15:$M$238,7,FALSE)</f>
        <v>1.6890000000000001</v>
      </c>
      <c r="BM230" s="43">
        <f>VLOOKUP(D230,[1]SoilData!$G$245:$M$454,7,FALSE)</f>
        <v>1.772</v>
      </c>
      <c r="BN230" s="60">
        <f>BL230-BM230</f>
        <v>-8.2999999999999963E-2</v>
      </c>
      <c r="BO230" s="44">
        <f>AVERAGE(BB230:BC230)</f>
        <v>3.4056944444444444</v>
      </c>
      <c r="BP230" s="44">
        <f>AVERAGE(AZ230:BA230)</f>
        <v>4.5948717948717945</v>
      </c>
      <c r="BQ230" s="43">
        <f>BP230-BO230</f>
        <v>1.1891773504273502</v>
      </c>
      <c r="BR230" s="64">
        <f>IF(W230&gt;0.000001,W230*352,0)</f>
        <v>1689.6</v>
      </c>
      <c r="BS230" s="64">
        <f>IF(AE230&gt;0.0001,AE230*682,0)</f>
        <v>0</v>
      </c>
      <c r="BT230" s="64">
        <f>AA230*795</f>
        <v>381.59999999999997</v>
      </c>
      <c r="BU230" s="64">
        <f>BR230+BS230+BT230</f>
        <v>2071.1999999999998</v>
      </c>
      <c r="BV230" s="64">
        <f>IF(G230="YES",3.5*18.2,0)</f>
        <v>63.699999999999996</v>
      </c>
      <c r="BW230" s="64">
        <f>BU230-BV230</f>
        <v>2007.4999999999998</v>
      </c>
    </row>
    <row r="231" spans="1:75" x14ac:dyDescent="0.15">
      <c r="A231" s="29" t="s">
        <v>857</v>
      </c>
      <c r="B231" s="29">
        <v>244</v>
      </c>
      <c r="C231" s="29" t="s">
        <v>858</v>
      </c>
      <c r="D231" s="33" t="s">
        <v>148</v>
      </c>
      <c r="E231" s="29" t="str">
        <f>VLOOKUP(D231,Harvest_2017_Formulae!$C$2:$D$968,2,FALSE)</f>
        <v>ENDANOGA</v>
      </c>
      <c r="F231" s="29" t="s">
        <v>843</v>
      </c>
      <c r="G231" s="61" t="s">
        <v>548</v>
      </c>
      <c r="H231" s="29" t="s">
        <v>860</v>
      </c>
      <c r="I231" s="29" t="s">
        <v>548</v>
      </c>
      <c r="J231" s="29" t="s">
        <v>546</v>
      </c>
      <c r="K231" s="29" t="s">
        <v>548</v>
      </c>
      <c r="L231" s="29" t="s">
        <v>2220</v>
      </c>
      <c r="M231" s="29" t="s">
        <v>546</v>
      </c>
      <c r="N231" s="29" t="s">
        <v>546</v>
      </c>
      <c r="O231" s="29" t="s">
        <v>547</v>
      </c>
      <c r="P231" s="29">
        <v>0.25</v>
      </c>
      <c r="Q231" s="29">
        <v>0</v>
      </c>
      <c r="R231" s="29">
        <v>0.75</v>
      </c>
      <c r="S231" s="29" t="s">
        <v>546</v>
      </c>
      <c r="T231" s="29">
        <v>1</v>
      </c>
      <c r="U231" s="29">
        <v>7</v>
      </c>
      <c r="V231" s="29" t="s">
        <v>551</v>
      </c>
      <c r="W231" s="30">
        <v>1.6800000000000002</v>
      </c>
      <c r="Z231" s="29" t="s">
        <v>551</v>
      </c>
      <c r="AA231" s="62"/>
      <c r="AB231" s="29">
        <v>1</v>
      </c>
      <c r="AC231" s="29">
        <v>4</v>
      </c>
      <c r="AD231" s="29" t="s">
        <v>551</v>
      </c>
      <c r="AE231" s="62">
        <v>0.96</v>
      </c>
      <c r="AF231" s="29" t="s">
        <v>548</v>
      </c>
      <c r="AG231" s="29" t="s">
        <v>548</v>
      </c>
      <c r="AH231" s="29" t="s">
        <v>548</v>
      </c>
      <c r="AI231" s="29" t="s">
        <v>548</v>
      </c>
      <c r="AJ231" s="29" t="s">
        <v>548</v>
      </c>
      <c r="AK231" s="29">
        <v>5</v>
      </c>
      <c r="AL231" s="29">
        <v>3</v>
      </c>
      <c r="AM231" s="29" t="s">
        <v>862</v>
      </c>
      <c r="AN231" s="29" t="s">
        <v>863</v>
      </c>
      <c r="AO231" s="29">
        <v>-4.2666606903076172</v>
      </c>
      <c r="AP231" s="29">
        <v>35.845355987548828</v>
      </c>
      <c r="AQ231" s="29">
        <v>1384.0999755859375</v>
      </c>
      <c r="AR231" s="29">
        <v>5</v>
      </c>
      <c r="AS231" s="29">
        <v>1706031849</v>
      </c>
      <c r="AT231" s="29" t="s">
        <v>864</v>
      </c>
      <c r="AU231" s="31">
        <v>42978.591284722221</v>
      </c>
      <c r="AV231" s="31">
        <v>42895.532523148147</v>
      </c>
      <c r="AW231" s="31">
        <v>42978.588495370372</v>
      </c>
      <c r="AX231" s="32">
        <v>42793</v>
      </c>
      <c r="AZ231" s="44">
        <v>6.8459854014598545</v>
      </c>
      <c r="BA231" s="44">
        <v>7.1246715328467145</v>
      </c>
      <c r="BB231" s="44">
        <v>5.959342891278375</v>
      </c>
      <c r="BC231" s="44">
        <v>5.0858422939068104</v>
      </c>
      <c r="BD231" s="29" t="s">
        <v>2171</v>
      </c>
      <c r="BE231" s="29">
        <v>2.9485585689499998</v>
      </c>
      <c r="BF231" s="29" t="str">
        <f>IF(BE231&lt;0.5,"Depression",IF(BE231&lt;2,"Very gentle",IF(BE231&lt;5,"Gentle",IF(BE231&lt;9,"Moderate",IF(BE231&lt;15,"Strong",IF(BE231&lt;30,"Steep",IF(BE231&lt;1,"Very steep")))))))</f>
        <v>Gentle</v>
      </c>
      <c r="BG231" s="29" t="s">
        <v>2173</v>
      </c>
      <c r="BH231" s="29">
        <v>9.0650379657699995E-2</v>
      </c>
      <c r="BI231" s="43">
        <v>11.392010688799999</v>
      </c>
      <c r="BJ231" s="43">
        <f>VLOOKUP(D231,[1]SoilData!$G$15:$K$237,5,FALSE)</f>
        <v>211.3031639850426</v>
      </c>
      <c r="BK231" s="43">
        <f>VLOOKUP(D231,[1]SoilData!$G$245:$K$451,5,FALSE)</f>
        <v>515.26022300899206</v>
      </c>
      <c r="BL231" s="43">
        <f>VLOOKUP(D231,[1]SoilData!$G$15:$M$238,7,FALSE)</f>
        <v>1.7030000000000001</v>
      </c>
      <c r="BM231" s="43">
        <f>VLOOKUP(D231,[1]SoilData!$G$245:$M$454,7,FALSE)</f>
        <v>1.7410000000000001</v>
      </c>
      <c r="BN231" s="60">
        <f>BL231-BM231</f>
        <v>-3.8000000000000034E-2</v>
      </c>
      <c r="BO231" s="44">
        <f>AVERAGE(BB231:BC231)</f>
        <v>5.5225925925925932</v>
      </c>
      <c r="BP231" s="44">
        <f>AVERAGE(AZ231:BA231)</f>
        <v>6.985328467153284</v>
      </c>
      <c r="BQ231" s="43">
        <f>BP231-BO231</f>
        <v>1.4627358745606909</v>
      </c>
      <c r="BR231" s="64">
        <f>IF(W231&gt;0.000001,W231*352,0)</f>
        <v>591.36</v>
      </c>
      <c r="BS231" s="64">
        <f>IF(AE231&gt;0.0001,AE231*682,0)</f>
        <v>654.72</v>
      </c>
      <c r="BT231" s="64">
        <f>AA231*795</f>
        <v>0</v>
      </c>
      <c r="BU231" s="64">
        <f>BR231+BS231+BT231</f>
        <v>1246.08</v>
      </c>
      <c r="BV231" s="64">
        <f>IF(G231="YES",3.5*18.2,0)</f>
        <v>63.699999999999996</v>
      </c>
      <c r="BW231" s="64">
        <f>BU231-BV231</f>
        <v>1182.3799999999999</v>
      </c>
    </row>
    <row r="232" spans="1:75" x14ac:dyDescent="0.15">
      <c r="A232" s="29" t="s">
        <v>556</v>
      </c>
      <c r="B232" s="29">
        <v>110</v>
      </c>
      <c r="C232" s="29" t="s">
        <v>1444</v>
      </c>
      <c r="D232" s="29" t="s">
        <v>1444</v>
      </c>
      <c r="E232" s="29" t="e">
        <f>VLOOKUP(D232,Harvest_2017_Formulae!$C$2:$D$968,2,FALSE)</f>
        <v>#N/A</v>
      </c>
      <c r="F232" s="29" t="s">
        <v>1310</v>
      </c>
      <c r="G232" s="61" t="s">
        <v>548</v>
      </c>
      <c r="H232" s="29" t="s">
        <v>568</v>
      </c>
      <c r="I232" s="29" t="s">
        <v>548</v>
      </c>
      <c r="J232" s="29" t="s">
        <v>548</v>
      </c>
      <c r="K232" s="29" t="s">
        <v>548</v>
      </c>
      <c r="L232" s="29" t="s">
        <v>2220</v>
      </c>
      <c r="M232" s="29" t="s">
        <v>546</v>
      </c>
      <c r="N232" s="29" t="s">
        <v>548</v>
      </c>
      <c r="O232" s="29" t="s">
        <v>550</v>
      </c>
      <c r="P232" s="29">
        <v>0.75</v>
      </c>
      <c r="Q232" s="29">
        <v>0.25</v>
      </c>
      <c r="R232" s="29">
        <v>0</v>
      </c>
      <c r="S232" s="29" t="s">
        <v>546</v>
      </c>
      <c r="T232" s="29">
        <v>0.5</v>
      </c>
      <c r="U232" s="29">
        <v>9</v>
      </c>
      <c r="V232" s="29" t="s">
        <v>551</v>
      </c>
      <c r="W232" s="30">
        <v>4.32</v>
      </c>
      <c r="X232" s="29">
        <v>2.5</v>
      </c>
      <c r="Y232" s="29">
        <v>8</v>
      </c>
      <c r="Z232" s="29" t="s">
        <v>552</v>
      </c>
      <c r="AA232" s="62">
        <v>0.12825599999999998</v>
      </c>
      <c r="AB232" s="29">
        <v>2.5</v>
      </c>
      <c r="AC232" s="29">
        <v>1</v>
      </c>
      <c r="AD232" s="29" t="s">
        <v>551</v>
      </c>
      <c r="AE232" s="62">
        <v>9.6000000000000002E-2</v>
      </c>
      <c r="AF232" s="29" t="s">
        <v>546</v>
      </c>
      <c r="AG232" s="29" t="s">
        <v>546</v>
      </c>
      <c r="AH232" s="29" t="s">
        <v>548</v>
      </c>
      <c r="AI232" s="29" t="s">
        <v>546</v>
      </c>
      <c r="AJ232" s="29" t="s">
        <v>546</v>
      </c>
      <c r="AK232" s="29">
        <v>1</v>
      </c>
      <c r="AL232" s="29">
        <v>3</v>
      </c>
      <c r="AM232" s="29" t="s">
        <v>1445</v>
      </c>
      <c r="AN232" s="29" t="s">
        <v>1446</v>
      </c>
      <c r="AO232" s="29">
        <v>-4.2602229118347168</v>
      </c>
      <c r="AP232" s="29">
        <v>35.519145965576172</v>
      </c>
      <c r="AQ232" s="29">
        <v>1629.699951171875</v>
      </c>
      <c r="AR232" s="29">
        <v>5</v>
      </c>
      <c r="AS232" s="29">
        <v>1706031849</v>
      </c>
      <c r="AT232" s="29" t="s">
        <v>1447</v>
      </c>
      <c r="AU232" s="31">
        <v>42903.412916666668</v>
      </c>
      <c r="AV232" s="31">
        <v>42901.518506944441</v>
      </c>
      <c r="AW232" s="31">
        <v>42901.546354166669</v>
      </c>
      <c r="AX232" s="32">
        <v>42739</v>
      </c>
      <c r="BD232" s="29" t="s">
        <v>2171</v>
      </c>
      <c r="BE232" s="29">
        <v>2.6196329593700001</v>
      </c>
      <c r="BF232" s="29" t="str">
        <f>IF(BE232&lt;0.5,"Depression",IF(BE232&lt;2,"Very gentle",IF(BE232&lt;5,"Gentle",IF(BE232&lt;9,"Moderate",IF(BE232&lt;15,"Strong",IF(BE232&lt;30,"Steep",IF(BE232&lt;1,"Very steep")))))))</f>
        <v>Gentle</v>
      </c>
      <c r="BG232" s="29" t="s">
        <v>2173</v>
      </c>
      <c r="BH232" s="29">
        <v>0.18129228055499999</v>
      </c>
      <c r="BI232" s="43">
        <v>9.7167339325000004</v>
      </c>
      <c r="BJ232" s="43"/>
      <c r="BK232" s="43"/>
      <c r="BL232" s="43"/>
      <c r="BM232" s="43"/>
      <c r="BN232" s="60"/>
      <c r="BO232" s="43"/>
      <c r="BP232" s="43"/>
      <c r="BQ232" s="43"/>
      <c r="BR232" s="64">
        <f>IF(W232&gt;0.000001,W232*352,0)</f>
        <v>1520.64</v>
      </c>
      <c r="BS232" s="64">
        <f>IF(AE232&gt;0.0001,AE232*682,0)</f>
        <v>65.472000000000008</v>
      </c>
      <c r="BT232" s="64">
        <f>AA232*795</f>
        <v>101.96351999999999</v>
      </c>
      <c r="BU232" s="64">
        <f>BR232+BS232+BT232</f>
        <v>1688.0755200000001</v>
      </c>
      <c r="BV232" s="64">
        <f>IF(G232="YES",3.5*18.2,0)</f>
        <v>63.699999999999996</v>
      </c>
      <c r="BW232" s="64">
        <f>BU232-BV232</f>
        <v>1624.3755200000001</v>
      </c>
    </row>
    <row r="233" spans="1:75" x14ac:dyDescent="0.15">
      <c r="A233" s="29" t="s">
        <v>789</v>
      </c>
      <c r="B233" s="29">
        <v>73</v>
      </c>
      <c r="C233" s="29" t="s">
        <v>347</v>
      </c>
      <c r="D233" s="29" t="s">
        <v>347</v>
      </c>
      <c r="E233" s="29" t="str">
        <f>VLOOKUP(D233,Harvest_2017_Formulae!$C$2:$D$968,2,FALSE)</f>
        <v>Endanachan</v>
      </c>
      <c r="F233" s="29" t="s">
        <v>777</v>
      </c>
      <c r="G233" s="61" t="s">
        <v>548</v>
      </c>
      <c r="H233" s="29" t="s">
        <v>568</v>
      </c>
      <c r="I233" s="29" t="s">
        <v>548</v>
      </c>
      <c r="J233" s="29" t="s">
        <v>546</v>
      </c>
      <c r="K233" s="29" t="s">
        <v>548</v>
      </c>
      <c r="L233" s="29" t="s">
        <v>2221</v>
      </c>
      <c r="M233" s="29" t="s">
        <v>548</v>
      </c>
      <c r="N233" s="29" t="s">
        <v>546</v>
      </c>
      <c r="O233" s="29" t="s">
        <v>547</v>
      </c>
      <c r="P233" s="29">
        <v>0.75</v>
      </c>
      <c r="Q233" s="29">
        <v>0.75</v>
      </c>
      <c r="R233" s="29">
        <v>1.75</v>
      </c>
      <c r="S233" s="29" t="s">
        <v>548</v>
      </c>
      <c r="T233" s="29">
        <v>1</v>
      </c>
      <c r="U233" s="29">
        <v>12</v>
      </c>
      <c r="V233" s="29" t="s">
        <v>551</v>
      </c>
      <c r="W233" s="30">
        <v>2.8800000000000003</v>
      </c>
      <c r="Y233" s="29">
        <v>999</v>
      </c>
      <c r="Z233" s="29" t="s">
        <v>551</v>
      </c>
      <c r="AA233" s="62"/>
      <c r="AB233" s="29">
        <v>1</v>
      </c>
      <c r="AC233" s="29">
        <v>4.5</v>
      </c>
      <c r="AD233" s="29" t="s">
        <v>551</v>
      </c>
      <c r="AE233" s="62">
        <v>1.08</v>
      </c>
      <c r="AF233" s="29" t="s">
        <v>548</v>
      </c>
      <c r="AG233" s="29" t="s">
        <v>548</v>
      </c>
      <c r="AH233" s="29" t="s">
        <v>548</v>
      </c>
      <c r="AI233" s="29" t="s">
        <v>548</v>
      </c>
      <c r="AJ233" s="29" t="s">
        <v>548</v>
      </c>
      <c r="AK233" s="29">
        <v>5</v>
      </c>
      <c r="AL233" s="29">
        <v>2</v>
      </c>
      <c r="AM233" s="29" t="s">
        <v>833</v>
      </c>
      <c r="AN233" s="29" t="s">
        <v>834</v>
      </c>
      <c r="AO233" s="29">
        <v>-4.3438310623168945</v>
      </c>
      <c r="AP233" s="29">
        <v>35.712303161621094</v>
      </c>
      <c r="AQ233" s="29">
        <v>1349.9000244140625</v>
      </c>
      <c r="AR233" s="29">
        <v>10</v>
      </c>
      <c r="AS233" s="29">
        <v>1705231439</v>
      </c>
      <c r="AT233" s="29" t="s">
        <v>835</v>
      </c>
      <c r="AU233" s="31">
        <v>42923.387094907404</v>
      </c>
      <c r="AV233" s="31">
        <v>42903.470995370371</v>
      </c>
      <c r="AW233" s="31">
        <v>42923.384745370371</v>
      </c>
      <c r="AX233" s="32">
        <v>42765</v>
      </c>
      <c r="AZ233" s="44">
        <v>5.6747008547008546</v>
      </c>
      <c r="BA233" s="44">
        <v>5.5152991452991449</v>
      </c>
      <c r="BB233" s="44">
        <v>3.4000000000000008</v>
      </c>
      <c r="BC233" s="44">
        <v>3.6000000000000005</v>
      </c>
      <c r="BD233" s="29" t="s">
        <v>2171</v>
      </c>
      <c r="BE233" s="29">
        <v>1.0303390026100001</v>
      </c>
      <c r="BF233" s="29" t="str">
        <f>IF(BE233&lt;0.5,"Depression",IF(BE233&lt;2,"Very gentle",IF(BE233&lt;5,"Gentle",IF(BE233&lt;9,"Moderate",IF(BE233&lt;15,"Strong",IF(BE233&lt;30,"Steep",IF(BE233&lt;1,"Very steep")))))))</f>
        <v>Very gentle</v>
      </c>
      <c r="BG233" s="29" t="s">
        <v>2172</v>
      </c>
      <c r="BH233" s="29">
        <v>-0.54384291171999999</v>
      </c>
      <c r="BI233" s="43">
        <v>10.306281089800001</v>
      </c>
      <c r="BJ233" s="43">
        <f>VLOOKUP(D233,[1]SoilData!$G$15:$K$237,5,FALSE)</f>
        <v>608.20410565118891</v>
      </c>
      <c r="BK233" s="43">
        <f>VLOOKUP(D233,[1]SoilData!$G$245:$K$452,5,FALSE)</f>
        <v>395.02965944063055</v>
      </c>
      <c r="BL233" s="43">
        <f>VLOOKUP(D233,[1]SoilData!$G$15:$M$238,7,FALSE)</f>
        <v>0.61199999999999999</v>
      </c>
      <c r="BM233" s="43">
        <f>VLOOKUP(D233,[1]SoilData!$G$245:$M$454,7,FALSE)</f>
        <v>1.0549999999999999</v>
      </c>
      <c r="BN233" s="60">
        <f>BL233-BM233</f>
        <v>-0.44299999999999995</v>
      </c>
      <c r="BO233" s="44">
        <f>AVERAGE(BB233:BC233)</f>
        <v>3.5000000000000009</v>
      </c>
      <c r="BP233" s="44">
        <f>AVERAGE(AZ233:BA233)</f>
        <v>5.5949999999999998</v>
      </c>
      <c r="BQ233" s="43">
        <f>BP233-BO233</f>
        <v>2.0949999999999989</v>
      </c>
      <c r="BR233" s="64">
        <f>IF(W233&gt;0.000001,W233*352,0)</f>
        <v>1013.7600000000001</v>
      </c>
      <c r="BS233" s="64">
        <f>IF(AE233&gt;0.0001,AE233*682,0)</f>
        <v>736.56000000000006</v>
      </c>
      <c r="BT233" s="64">
        <f>AA233*795</f>
        <v>0</v>
      </c>
      <c r="BU233" s="64">
        <f>BR233+BS233+BT233</f>
        <v>1750.3200000000002</v>
      </c>
      <c r="BV233" s="64">
        <f>IF(G233="YES",3.5*18.2,0)</f>
        <v>63.699999999999996</v>
      </c>
      <c r="BW233" s="64">
        <f>BU233-BV233</f>
        <v>1686.6200000000001</v>
      </c>
    </row>
    <row r="234" spans="1:75" x14ac:dyDescent="0.15">
      <c r="A234" s="29" t="s">
        <v>789</v>
      </c>
      <c r="B234" s="29">
        <v>64</v>
      </c>
      <c r="C234" s="29" t="s">
        <v>790</v>
      </c>
      <c r="D234" s="33" t="s">
        <v>134</v>
      </c>
      <c r="E234" s="29" t="str">
        <f>VLOOKUP(D234,Harvest_2017_Formulae!$C$2:$D$968,2,FALSE)</f>
        <v>Endanachan</v>
      </c>
      <c r="F234" s="29" t="s">
        <v>26</v>
      </c>
      <c r="G234" s="61" t="s">
        <v>548</v>
      </c>
      <c r="H234" s="29" t="s">
        <v>568</v>
      </c>
      <c r="I234" s="29" t="s">
        <v>548</v>
      </c>
      <c r="J234" s="29" t="s">
        <v>546</v>
      </c>
      <c r="K234" s="29" t="s">
        <v>548</v>
      </c>
      <c r="L234" s="29" t="s">
        <v>2221</v>
      </c>
      <c r="M234" s="29" t="s">
        <v>548</v>
      </c>
      <c r="N234" s="29" t="s">
        <v>548</v>
      </c>
      <c r="O234" s="29" t="s">
        <v>793</v>
      </c>
      <c r="P234" s="29">
        <v>0.25</v>
      </c>
      <c r="Q234" s="29">
        <v>5.25</v>
      </c>
      <c r="R234" s="29">
        <v>0</v>
      </c>
      <c r="S234" s="29" t="s">
        <v>548</v>
      </c>
      <c r="T234" s="29">
        <v>1</v>
      </c>
      <c r="U234" s="29">
        <v>4</v>
      </c>
      <c r="V234" s="29" t="s">
        <v>551</v>
      </c>
      <c r="W234" s="30">
        <v>0.96</v>
      </c>
      <c r="Y234" s="29">
        <v>999</v>
      </c>
      <c r="Z234" s="29" t="s">
        <v>551</v>
      </c>
      <c r="AA234" s="62"/>
      <c r="AB234" s="29">
        <v>1</v>
      </c>
      <c r="AC234" s="29">
        <v>3</v>
      </c>
      <c r="AD234" s="29" t="s">
        <v>551</v>
      </c>
      <c r="AE234" s="62">
        <v>0.72</v>
      </c>
      <c r="AF234" s="29" t="s">
        <v>546</v>
      </c>
      <c r="AG234" s="29" t="s">
        <v>548</v>
      </c>
      <c r="AH234" s="29" t="s">
        <v>546</v>
      </c>
      <c r="AI234" s="29" t="s">
        <v>546</v>
      </c>
      <c r="AJ234" s="29" t="s">
        <v>548</v>
      </c>
      <c r="AK234" s="29">
        <v>2</v>
      </c>
      <c r="AL234" s="29">
        <v>4</v>
      </c>
      <c r="AM234" s="29" t="s">
        <v>794</v>
      </c>
      <c r="AN234" s="29" t="s">
        <v>795</v>
      </c>
      <c r="AO234" s="29">
        <v>-4.3273377418518066</v>
      </c>
      <c r="AP234" s="29">
        <v>35.708187103271484</v>
      </c>
      <c r="AQ234" s="29">
        <v>1350.800048828125</v>
      </c>
      <c r="AR234" s="29">
        <v>10</v>
      </c>
      <c r="AS234" s="29">
        <v>1705231439</v>
      </c>
      <c r="AT234" s="29" t="s">
        <v>796</v>
      </c>
      <c r="AU234" s="31">
        <v>42923.387060185181</v>
      </c>
      <c r="AV234" s="31">
        <v>42901.554143518515</v>
      </c>
      <c r="AW234" s="31">
        <v>42923.386145833334</v>
      </c>
      <c r="AX234" s="32">
        <v>42764</v>
      </c>
      <c r="AZ234" s="44">
        <v>7.5886419753086418</v>
      </c>
      <c r="BA234" s="44">
        <v>5.5190123456790126</v>
      </c>
      <c r="BB234" s="44">
        <v>2.1743749999999999</v>
      </c>
      <c r="BC234" s="44">
        <v>2.6643749999999997</v>
      </c>
      <c r="BD234" s="29" t="s">
        <v>2171</v>
      </c>
      <c r="BE234" s="29">
        <v>0.39381912350699999</v>
      </c>
      <c r="BF234" s="29" t="str">
        <f>IF(BE234&lt;0.5,"Depression",IF(BE234&lt;2,"Very gentle",IF(BE234&lt;5,"Gentle",IF(BE234&lt;9,"Moderate",IF(BE234&lt;15,"Strong",IF(BE234&lt;30,"Steep",IF(BE234&lt;1,"Very steep")))))))</f>
        <v>Depression</v>
      </c>
      <c r="BG234" s="29" t="s">
        <v>2173</v>
      </c>
      <c r="BH234" s="29">
        <v>0.27193418145199999</v>
      </c>
      <c r="BI234" s="43">
        <v>9.0892667770400006</v>
      </c>
      <c r="BJ234" s="43">
        <f>VLOOKUP(D234,[1]SoilData!$G$15:$K$237,5,FALSE)</f>
        <v>72.990879761159732</v>
      </c>
      <c r="BK234" s="43">
        <f>VLOOKUP(D234,[1]SoilData!$G$245:$K$451,5,FALSE)</f>
        <v>185.34883228198595</v>
      </c>
      <c r="BL234" s="43">
        <f>VLOOKUP(D234,[1]SoilData!$G$15:$M$238,7,FALSE)</f>
        <v>0.90100000000000002</v>
      </c>
      <c r="BM234" s="43">
        <f>VLOOKUP(D234,[1]SoilData!$G$245:$M$454,7,FALSE)</f>
        <v>0.76300000000000001</v>
      </c>
      <c r="BN234" s="60">
        <f>BL234-BM234</f>
        <v>0.13800000000000001</v>
      </c>
      <c r="BO234" s="44">
        <f>AVERAGE(BB234:BC234)</f>
        <v>2.4193749999999996</v>
      </c>
      <c r="BP234" s="44">
        <f>AVERAGE(AZ234:BA234)</f>
        <v>6.5538271604938272</v>
      </c>
      <c r="BQ234" s="43">
        <f>BP234-BO234</f>
        <v>4.1344521604938276</v>
      </c>
      <c r="BR234" s="64">
        <f>IF(W234&gt;0.000001,W234*352,0)</f>
        <v>337.91999999999996</v>
      </c>
      <c r="BS234" s="64">
        <f>IF(AE234&gt;0.0001,AE234*682,0)</f>
        <v>491.03999999999996</v>
      </c>
      <c r="BT234" s="64">
        <f>AA234*795</f>
        <v>0</v>
      </c>
      <c r="BU234" s="64">
        <f>BR234+BS234+BT234</f>
        <v>828.95999999999992</v>
      </c>
      <c r="BV234" s="64">
        <f>IF(G234="YES",3.5*18.2,0)</f>
        <v>63.699999999999996</v>
      </c>
      <c r="BW234" s="64">
        <f>BU234-BV234</f>
        <v>765.25999999999988</v>
      </c>
    </row>
    <row r="235" spans="1:75" x14ac:dyDescent="0.15">
      <c r="A235" s="29" t="s">
        <v>789</v>
      </c>
      <c r="B235" s="29">
        <v>32</v>
      </c>
      <c r="C235" s="29" t="s">
        <v>266</v>
      </c>
      <c r="D235" s="29" t="s">
        <v>266</v>
      </c>
      <c r="E235" s="29" t="str">
        <f>VLOOKUP(D235,Harvest_2017_Formulae!$C$2:$D$968,2,FALSE)</f>
        <v>Sangara</v>
      </c>
      <c r="F235" s="29" t="s">
        <v>1014</v>
      </c>
      <c r="G235" s="61" t="s">
        <v>548</v>
      </c>
      <c r="H235" s="29" t="s">
        <v>568</v>
      </c>
      <c r="I235" s="29" t="s">
        <v>548</v>
      </c>
      <c r="J235" s="29" t="s">
        <v>546</v>
      </c>
      <c r="K235" s="29" t="s">
        <v>548</v>
      </c>
      <c r="L235" s="29" t="s">
        <v>2220</v>
      </c>
      <c r="M235" s="29" t="s">
        <v>548</v>
      </c>
      <c r="N235" s="29" t="s">
        <v>548</v>
      </c>
      <c r="O235" s="29" t="s">
        <v>793</v>
      </c>
      <c r="P235" s="29">
        <v>0.5</v>
      </c>
      <c r="Q235" s="29">
        <v>2.5</v>
      </c>
      <c r="R235" s="29">
        <v>0</v>
      </c>
      <c r="S235" s="29" t="s">
        <v>548</v>
      </c>
      <c r="T235" s="29">
        <v>1</v>
      </c>
      <c r="U235" s="29">
        <v>14</v>
      </c>
      <c r="V235" s="29" t="s">
        <v>551</v>
      </c>
      <c r="W235" s="30">
        <v>3.3600000000000003</v>
      </c>
      <c r="X235" s="29">
        <v>1</v>
      </c>
      <c r="Y235" s="29">
        <v>1</v>
      </c>
      <c r="Z235" s="29" t="s">
        <v>551</v>
      </c>
      <c r="AA235" s="62">
        <v>0.24</v>
      </c>
      <c r="AB235" s="29">
        <v>1</v>
      </c>
      <c r="AC235" s="29">
        <v>2</v>
      </c>
      <c r="AD235" s="29" t="s">
        <v>551</v>
      </c>
      <c r="AE235" s="62">
        <v>0.48</v>
      </c>
      <c r="AF235" s="29" t="s">
        <v>546</v>
      </c>
      <c r="AG235" s="29" t="s">
        <v>548</v>
      </c>
      <c r="AH235" s="29" t="s">
        <v>546</v>
      </c>
      <c r="AI235" s="29" t="s">
        <v>546</v>
      </c>
      <c r="AJ235" s="29" t="s">
        <v>548</v>
      </c>
      <c r="AK235" s="29">
        <v>2</v>
      </c>
      <c r="AL235" s="29">
        <v>3</v>
      </c>
      <c r="AM235" s="29" t="s">
        <v>1278</v>
      </c>
      <c r="AN235" s="29" t="s">
        <v>1279</v>
      </c>
      <c r="AO235" s="29">
        <v>-4.2877979278564453</v>
      </c>
      <c r="AP235" s="29">
        <v>35.631793975830078</v>
      </c>
      <c r="AQ235" s="29">
        <v>1414</v>
      </c>
      <c r="AR235" s="29">
        <v>10</v>
      </c>
      <c r="AS235" s="29">
        <v>1705231439</v>
      </c>
      <c r="AT235" s="29" t="s">
        <v>1280</v>
      </c>
      <c r="AU235" s="31">
        <v>42908.292604166665</v>
      </c>
      <c r="AV235" s="31">
        <v>42898.670694444445</v>
      </c>
      <c r="AW235" s="31">
        <v>42908.289016203707</v>
      </c>
      <c r="AX235" s="32">
        <v>42740</v>
      </c>
      <c r="AZ235" s="44"/>
      <c r="BA235" s="44"/>
      <c r="BB235" s="44"/>
      <c r="BC235" s="44"/>
      <c r="BD235" s="29" t="s">
        <v>2179</v>
      </c>
      <c r="BE235" s="29">
        <v>5.3233847618099999</v>
      </c>
      <c r="BF235" s="29" t="str">
        <f>IF(BE235&lt;0.5,"Depression",IF(BE235&lt;2,"Very gentle",IF(BE235&lt;5,"Gentle",IF(BE235&lt;9,"Moderate",IF(BE235&lt;15,"Strong",IF(BE235&lt;30,"Steep",IF(BE235&lt;1,"Very steep")))))))</f>
        <v>Moderate</v>
      </c>
      <c r="BG235" s="29" t="s">
        <v>2178</v>
      </c>
      <c r="BH235" s="29">
        <v>0.45321798324599999</v>
      </c>
      <c r="BI235" s="43">
        <v>9.8859062194800007</v>
      </c>
      <c r="BJ235" s="43"/>
      <c r="BK235" s="43"/>
      <c r="BL235" s="43"/>
      <c r="BM235" s="43"/>
      <c r="BN235" s="60"/>
      <c r="BO235" s="44"/>
      <c r="BP235" s="44"/>
      <c r="BQ235" s="43"/>
      <c r="BR235" s="64">
        <f>IF(W235&gt;0.000001,W235*352,0)</f>
        <v>1182.72</v>
      </c>
      <c r="BS235" s="64">
        <f>IF(AE235&gt;0.0001,AE235*682,0)</f>
        <v>327.36</v>
      </c>
      <c r="BT235" s="64">
        <f>AA235*795</f>
        <v>190.79999999999998</v>
      </c>
      <c r="BU235" s="64">
        <f>BR235+BS235+BT235</f>
        <v>1700.8799999999999</v>
      </c>
      <c r="BV235" s="64">
        <f>IF(G235="YES",3.5*18.2,0)</f>
        <v>63.699999999999996</v>
      </c>
      <c r="BW235" s="64">
        <f>BU235-BV235</f>
        <v>1637.1799999999998</v>
      </c>
    </row>
    <row r="236" spans="1:75" x14ac:dyDescent="0.15">
      <c r="A236" s="29" t="s">
        <v>1298</v>
      </c>
      <c r="B236" s="29">
        <v>71</v>
      </c>
      <c r="C236" s="29" t="s">
        <v>395</v>
      </c>
      <c r="D236" s="29" t="s">
        <v>395</v>
      </c>
      <c r="E236" s="29" t="str">
        <f>VLOOKUP(D236,Harvest_2017_Formulae!$C$2:$D$968,2,FALSE)</f>
        <v>SOLETO</v>
      </c>
      <c r="F236" s="29" t="s">
        <v>1310</v>
      </c>
      <c r="G236" s="61" t="s">
        <v>548</v>
      </c>
      <c r="H236" s="29" t="s">
        <v>568</v>
      </c>
      <c r="I236" s="29" t="s">
        <v>548</v>
      </c>
      <c r="J236" s="29" t="s">
        <v>546</v>
      </c>
      <c r="K236" s="29" t="s">
        <v>548</v>
      </c>
      <c r="L236" s="29" t="s">
        <v>2221</v>
      </c>
      <c r="M236" s="29" t="s">
        <v>546</v>
      </c>
      <c r="N236" s="29" t="s">
        <v>546</v>
      </c>
      <c r="O236" s="29" t="s">
        <v>547</v>
      </c>
      <c r="P236" s="29">
        <v>0.25</v>
      </c>
      <c r="Q236" s="29">
        <v>7.25</v>
      </c>
      <c r="R236" s="29">
        <v>0</v>
      </c>
      <c r="S236" s="29" t="s">
        <v>546</v>
      </c>
      <c r="T236" s="29">
        <v>1</v>
      </c>
      <c r="U236" s="29">
        <v>17</v>
      </c>
      <c r="V236" s="29" t="s">
        <v>551</v>
      </c>
      <c r="W236" s="30">
        <v>4.08</v>
      </c>
      <c r="X236" s="29">
        <v>1</v>
      </c>
      <c r="Y236" s="29">
        <v>1</v>
      </c>
      <c r="Z236" s="29" t="s">
        <v>551</v>
      </c>
      <c r="AA236" s="62">
        <v>0.24</v>
      </c>
      <c r="AB236" s="29">
        <v>1</v>
      </c>
      <c r="AC236" s="29">
        <v>1.5</v>
      </c>
      <c r="AD236" s="29" t="s">
        <v>551</v>
      </c>
      <c r="AE236" s="62">
        <v>0.36</v>
      </c>
      <c r="AF236" s="29" t="s">
        <v>548</v>
      </c>
      <c r="AG236" s="29" t="s">
        <v>546</v>
      </c>
      <c r="AH236" s="29" t="s">
        <v>548</v>
      </c>
      <c r="AI236" s="29" t="s">
        <v>546</v>
      </c>
      <c r="AJ236" s="29" t="s">
        <v>548</v>
      </c>
      <c r="AK236" s="29">
        <v>3</v>
      </c>
      <c r="AL236" s="29">
        <v>3</v>
      </c>
      <c r="AM236" s="29" t="s">
        <v>1327</v>
      </c>
      <c r="AN236" s="29" t="s">
        <v>1328</v>
      </c>
      <c r="AO236" s="29">
        <v>-4.2583160400390625</v>
      </c>
      <c r="AP236" s="29">
        <v>35.525661468505859</v>
      </c>
      <c r="AQ236" s="29">
        <v>1591.4000244140625</v>
      </c>
      <c r="AR236" s="29">
        <v>10</v>
      </c>
      <c r="AS236" s="29">
        <v>1705231439</v>
      </c>
      <c r="AT236" s="29" t="s">
        <v>1329</v>
      </c>
      <c r="AU236" s="31">
        <v>42923.387083333335</v>
      </c>
      <c r="AV236" s="31">
        <v>42902.534861111111</v>
      </c>
      <c r="AW236" s="31">
        <v>42923.385138888887</v>
      </c>
      <c r="AX236" s="32">
        <v>42751</v>
      </c>
      <c r="AZ236" s="44">
        <v>7.1306666666666665</v>
      </c>
      <c r="BA236" s="44">
        <v>5.4328888888888889</v>
      </c>
      <c r="BB236" s="44">
        <v>5.7633333333333336</v>
      </c>
      <c r="BC236" s="44">
        <v>5.9800000000000013</v>
      </c>
      <c r="BD236" s="29" t="s">
        <v>2171</v>
      </c>
      <c r="BE236" s="29">
        <v>0.76454704999900003</v>
      </c>
      <c r="BF236" s="29" t="str">
        <f>IF(BE236&lt;0.5,"Depression",IF(BE236&lt;2,"Very gentle",IF(BE236&lt;5,"Gentle",IF(BE236&lt;9,"Moderate",IF(BE236&lt;15,"Strong",IF(BE236&lt;30,"Steep",IF(BE236&lt;1,"Very steep")))))))</f>
        <v>Very gentle</v>
      </c>
      <c r="BG236" s="29" t="s">
        <v>2173</v>
      </c>
      <c r="BH236" s="29">
        <v>0.18129228055499999</v>
      </c>
      <c r="BI236" s="43">
        <v>9.5179643631000008</v>
      </c>
      <c r="BJ236" s="43">
        <f>VLOOKUP(D236,[1]SoilData!$G$15:$K$237,5,FALSE)</f>
        <v>367.29042955314293</v>
      </c>
      <c r="BK236" s="43">
        <f>VLOOKUP(D236,[1]SoilData!$G$245:$K$451,5,FALSE)</f>
        <v>319.58986341379625</v>
      </c>
      <c r="BL236" s="43">
        <f>VLOOKUP(D236,[1]SoilData!$G$15:$M$238,7,FALSE)</f>
        <v>1.5880000000000001</v>
      </c>
      <c r="BM236" s="43">
        <f>VLOOKUP(D236,[1]SoilData!$G$245:$M$454,7,FALSE)</f>
        <v>1.4410000000000001</v>
      </c>
      <c r="BN236" s="60">
        <f>BL236-BM236</f>
        <v>0.14700000000000002</v>
      </c>
      <c r="BO236" s="44">
        <f>AVERAGE(BB236:BC236)</f>
        <v>5.8716666666666679</v>
      </c>
      <c r="BP236" s="44">
        <f>AVERAGE(AZ236:BA236)</f>
        <v>6.2817777777777781</v>
      </c>
      <c r="BQ236" s="43">
        <f>BP236-BO236</f>
        <v>0.4101111111111102</v>
      </c>
      <c r="BR236" s="64">
        <f>IF(W236&gt;0.000001,W236*352,0)</f>
        <v>1436.16</v>
      </c>
      <c r="BS236" s="64">
        <f>IF(AE236&gt;0.0001,AE236*682,0)</f>
        <v>245.51999999999998</v>
      </c>
      <c r="BT236" s="64">
        <f>AA236*795</f>
        <v>190.79999999999998</v>
      </c>
      <c r="BU236" s="64">
        <f>BR236+BS236+BT236</f>
        <v>1872.48</v>
      </c>
      <c r="BV236" s="64">
        <f>IF(G236="YES",3.5*18.2,0)</f>
        <v>63.699999999999996</v>
      </c>
      <c r="BW236" s="64">
        <f>BU236-BV236</f>
        <v>1808.78</v>
      </c>
    </row>
    <row r="237" spans="1:75" s="34" customFormat="1" x14ac:dyDescent="0.15">
      <c r="A237" s="29" t="s">
        <v>841</v>
      </c>
      <c r="B237" s="29">
        <v>251</v>
      </c>
      <c r="C237" s="29" t="s">
        <v>889</v>
      </c>
      <c r="D237" s="33" t="s">
        <v>156</v>
      </c>
      <c r="E237" s="29" t="str">
        <f>VLOOKUP(D237,Harvest_2017_Formulae!$C$2:$D$968,2,FALSE)</f>
        <v>ENDANOGA</v>
      </c>
      <c r="F237" s="29" t="s">
        <v>843</v>
      </c>
      <c r="G237" s="61" t="s">
        <v>548</v>
      </c>
      <c r="H237" s="29" t="s">
        <v>860</v>
      </c>
      <c r="I237" s="29" t="s">
        <v>548</v>
      </c>
      <c r="J237" s="29" t="s">
        <v>546</v>
      </c>
      <c r="K237" s="29" t="s">
        <v>548</v>
      </c>
      <c r="L237" s="29" t="s">
        <v>2221</v>
      </c>
      <c r="M237" s="29" t="s">
        <v>548</v>
      </c>
      <c r="N237" s="29" t="s">
        <v>548</v>
      </c>
      <c r="O237" s="29" t="s">
        <v>550</v>
      </c>
      <c r="P237" s="29">
        <v>0.25</v>
      </c>
      <c r="Q237" s="29">
        <v>1</v>
      </c>
      <c r="R237" s="29">
        <v>10.75</v>
      </c>
      <c r="S237" s="29" t="s">
        <v>546</v>
      </c>
      <c r="T237" s="29">
        <v>12</v>
      </c>
      <c r="U237" s="29">
        <v>22</v>
      </c>
      <c r="V237" s="29" t="s">
        <v>551</v>
      </c>
      <c r="W237" s="30">
        <v>0.44</v>
      </c>
      <c r="X237" s="29">
        <v>0.5</v>
      </c>
      <c r="Y237" s="29">
        <v>1</v>
      </c>
      <c r="Z237" s="29" t="s">
        <v>551</v>
      </c>
      <c r="AA237" s="62">
        <v>0.48</v>
      </c>
      <c r="AB237" s="29">
        <v>12</v>
      </c>
      <c r="AC237" s="29">
        <v>18</v>
      </c>
      <c r="AD237" s="29" t="s">
        <v>551</v>
      </c>
      <c r="AE237" s="62">
        <v>0.36000000000000004</v>
      </c>
      <c r="AF237" s="29" t="s">
        <v>548</v>
      </c>
      <c r="AG237" s="29" t="s">
        <v>546</v>
      </c>
      <c r="AH237" s="29" t="s">
        <v>546</v>
      </c>
      <c r="AI237" s="29" t="s">
        <v>546</v>
      </c>
      <c r="AJ237" s="29" t="s">
        <v>548</v>
      </c>
      <c r="AK237" s="29">
        <v>2</v>
      </c>
      <c r="AL237" s="29">
        <v>5</v>
      </c>
      <c r="AM237" s="29" t="s">
        <v>890</v>
      </c>
      <c r="AN237" s="29" t="s">
        <v>891</v>
      </c>
      <c r="AO237" s="29">
        <v>-4.2766251564025879</v>
      </c>
      <c r="AP237" s="29">
        <v>35.858478546142578</v>
      </c>
      <c r="AQ237" s="29">
        <v>1309.5999755859375</v>
      </c>
      <c r="AR237" s="29">
        <v>5</v>
      </c>
      <c r="AS237" s="29">
        <v>1706031849</v>
      </c>
      <c r="AT237" s="29" t="s">
        <v>892</v>
      </c>
      <c r="AU237" s="31">
        <v>42978.591377314813</v>
      </c>
      <c r="AV237" s="31">
        <v>42895.696168981478</v>
      </c>
      <c r="AW237" s="31">
        <v>42978.589953703704</v>
      </c>
      <c r="AX237" s="32">
        <v>42790</v>
      </c>
      <c r="AY237" s="29"/>
      <c r="AZ237" s="44">
        <v>5.1629629629629621</v>
      </c>
      <c r="BA237" s="44">
        <v>6.3440329218106992</v>
      </c>
      <c r="BB237" s="44">
        <v>5.1388888888888893</v>
      </c>
      <c r="BC237" s="44">
        <v>6.4064814814814817</v>
      </c>
      <c r="BD237" s="29" t="s">
        <v>2171</v>
      </c>
      <c r="BE237" s="29">
        <v>1.54433584213</v>
      </c>
      <c r="BF237" s="29" t="str">
        <f>IF(BE237&lt;0.5,"Depression",IF(BE237&lt;2,"Very gentle",IF(BE237&lt;5,"Gentle",IF(BE237&lt;9,"Moderate",IF(BE237&lt;15,"Strong",IF(BE237&lt;30,"Steep",IF(BE237&lt;1,"Very steep")))))))</f>
        <v>Very gentle</v>
      </c>
      <c r="BG237" s="29" t="s">
        <v>2173</v>
      </c>
      <c r="BH237" s="29">
        <v>-9.0633422136300004E-2</v>
      </c>
      <c r="BI237" s="43">
        <v>12.183077812200001</v>
      </c>
      <c r="BJ237" s="43">
        <f>VLOOKUP(D237,[1]SoilData!$G$15:$K$237,5,FALSE)</f>
        <v>250.80185698562588</v>
      </c>
      <c r="BK237" s="43"/>
      <c r="BL237" s="43">
        <f>VLOOKUP(D237,[1]SoilData!$G$15:$M$238,7,FALSE)</f>
        <v>1.1040000000000001</v>
      </c>
      <c r="BM237" s="43"/>
      <c r="BN237" s="60"/>
      <c r="BO237" s="44">
        <f>AVERAGE(BB237:BC237)</f>
        <v>5.7726851851851855</v>
      </c>
      <c r="BP237" s="44">
        <f>AVERAGE(AZ237:BA237)</f>
        <v>5.7534979423868311</v>
      </c>
      <c r="BQ237" s="43">
        <f>BP237-BO237</f>
        <v>-1.9187242798354376E-2</v>
      </c>
      <c r="BR237" s="64">
        <f>IF(W237&gt;0.000001,W237*352,0)</f>
        <v>154.88</v>
      </c>
      <c r="BS237" s="64">
        <f>IF(AE237&gt;0.0001,AE237*682,0)</f>
        <v>245.52000000000004</v>
      </c>
      <c r="BT237" s="64">
        <f>AA237*795</f>
        <v>381.59999999999997</v>
      </c>
      <c r="BU237" s="64">
        <f>BR237+BS237+BT237</f>
        <v>782</v>
      </c>
      <c r="BV237" s="64">
        <f>IF(G237="YES",3.5*18.2,0)</f>
        <v>63.699999999999996</v>
      </c>
      <c r="BW237" s="64">
        <f>BU237-BV237</f>
        <v>718.3</v>
      </c>
    </row>
    <row r="238" spans="1:75" s="57" customFormat="1" x14ac:dyDescent="0.15">
      <c r="A238" s="29" t="s">
        <v>789</v>
      </c>
      <c r="B238" s="29">
        <v>75</v>
      </c>
      <c r="C238" s="29" t="s">
        <v>247</v>
      </c>
      <c r="D238" s="29" t="s">
        <v>247</v>
      </c>
      <c r="E238" s="29" t="str">
        <f>VLOOKUP(D238,Harvest_2017_Formulae!$C$2:$D$968,2,FALSE)</f>
        <v>SABILO</v>
      </c>
      <c r="F238" s="29" t="s">
        <v>1175</v>
      </c>
      <c r="G238" s="61" t="s">
        <v>548</v>
      </c>
      <c r="H238" s="29" t="s">
        <v>568</v>
      </c>
      <c r="I238" s="29" t="s">
        <v>548</v>
      </c>
      <c r="J238" s="29" t="s">
        <v>546</v>
      </c>
      <c r="K238" s="29" t="s">
        <v>548</v>
      </c>
      <c r="L238" s="29" t="s">
        <v>2221</v>
      </c>
      <c r="M238" s="29" t="s">
        <v>548</v>
      </c>
      <c r="N238" s="29" t="s">
        <v>548</v>
      </c>
      <c r="O238" s="29" t="s">
        <v>793</v>
      </c>
      <c r="P238" s="29">
        <v>1</v>
      </c>
      <c r="Q238" s="29">
        <v>11</v>
      </c>
      <c r="R238" s="29">
        <v>0</v>
      </c>
      <c r="S238" s="29" t="s">
        <v>548</v>
      </c>
      <c r="T238" s="29">
        <v>1</v>
      </c>
      <c r="U238" s="29">
        <v>20</v>
      </c>
      <c r="V238" s="29" t="s">
        <v>551</v>
      </c>
      <c r="W238" s="30">
        <v>4.8</v>
      </c>
      <c r="X238" s="29"/>
      <c r="Y238" s="29">
        <v>999</v>
      </c>
      <c r="Z238" s="29" t="s">
        <v>551</v>
      </c>
      <c r="AA238" s="62"/>
      <c r="AB238" s="29">
        <v>1</v>
      </c>
      <c r="AC238" s="29">
        <v>1</v>
      </c>
      <c r="AD238" s="29" t="s">
        <v>551</v>
      </c>
      <c r="AE238" s="62">
        <v>0.24</v>
      </c>
      <c r="AF238" s="29" t="s">
        <v>546</v>
      </c>
      <c r="AG238" s="29" t="s">
        <v>548</v>
      </c>
      <c r="AH238" s="29" t="s">
        <v>546</v>
      </c>
      <c r="AI238" s="29" t="s">
        <v>546</v>
      </c>
      <c r="AJ238" s="29" t="s">
        <v>546</v>
      </c>
      <c r="AK238" s="29">
        <v>1</v>
      </c>
      <c r="AL238" s="29">
        <v>4</v>
      </c>
      <c r="AM238" s="29" t="s">
        <v>1218</v>
      </c>
      <c r="AN238" s="29" t="s">
        <v>1219</v>
      </c>
      <c r="AO238" s="29">
        <v>-4.3557915687561035</v>
      </c>
      <c r="AP238" s="29">
        <v>35.483161926269531</v>
      </c>
      <c r="AQ238" s="29">
        <v>1687.9000244140625</v>
      </c>
      <c r="AR238" s="29">
        <v>10</v>
      </c>
      <c r="AS238" s="29">
        <v>1705231439</v>
      </c>
      <c r="AT238" s="29" t="s">
        <v>1220</v>
      </c>
      <c r="AU238" s="31">
        <v>42923.387118055558</v>
      </c>
      <c r="AV238" s="31">
        <v>42906.432835648149</v>
      </c>
      <c r="AW238" s="31">
        <v>42923.383888888886</v>
      </c>
      <c r="AX238" s="32">
        <v>42768</v>
      </c>
      <c r="AY238" s="29"/>
      <c r="AZ238" s="44">
        <v>3.9925925925925929</v>
      </c>
      <c r="BA238" s="44">
        <v>3.9925925925925929</v>
      </c>
      <c r="BB238" s="44">
        <v>5.4618055555555562</v>
      </c>
      <c r="BC238" s="44">
        <v>3.3432870370370371</v>
      </c>
      <c r="BD238" s="29" t="s">
        <v>2174</v>
      </c>
      <c r="BE238" s="29">
        <v>5.0304594039900001</v>
      </c>
      <c r="BF238" s="29" t="str">
        <f>IF(BE238&lt;0.5,"Depression",IF(BE238&lt;2,"Very gentle",IF(BE238&lt;5,"Gentle",IF(BE238&lt;9,"Moderate",IF(BE238&lt;15,"Strong",IF(BE238&lt;30,"Steep",IF(BE238&lt;1,"Very steep")))))))</f>
        <v>Moderate</v>
      </c>
      <c r="BG238" s="29" t="s">
        <v>2178</v>
      </c>
      <c r="BH238" s="29">
        <v>-9.0633422136300004E-2</v>
      </c>
      <c r="BI238" s="43">
        <v>8.4956922531100005</v>
      </c>
      <c r="BJ238" s="43">
        <f>VLOOKUP(D238,[1]SoilData!$G$15:$K$237,5,FALSE)</f>
        <v>19.048007545725081</v>
      </c>
      <c r="BK238" s="43">
        <f>VLOOKUP(D238,[1]SoilData!$G$245:$K$451,5,FALSE)</f>
        <v>279.83165599268091</v>
      </c>
      <c r="BL238" s="43">
        <f>VLOOKUP(D238,[1]SoilData!$G$15:$M$238,7,FALSE)</f>
        <v>1.4650000000000001</v>
      </c>
      <c r="BM238" s="43">
        <f>VLOOKUP(D238,[1]SoilData!$G$245:$M$454,7,FALSE)</f>
        <v>1.66</v>
      </c>
      <c r="BN238" s="60">
        <f>BL238-BM238</f>
        <v>-0.19499999999999984</v>
      </c>
      <c r="BO238" s="44">
        <f>AVERAGE(BB238:BC238)</f>
        <v>4.4025462962962969</v>
      </c>
      <c r="BP238" s="44">
        <f>AVERAGE(AZ238:BA238)</f>
        <v>3.9925925925925929</v>
      </c>
      <c r="BQ238" s="43">
        <f>BP238-BO238</f>
        <v>-0.40995370370370399</v>
      </c>
      <c r="BR238" s="64">
        <f>IF(W238&gt;0.000001,W238*352,0)</f>
        <v>1689.6</v>
      </c>
      <c r="BS238" s="64">
        <f>IF(AE238&gt;0.0001,AE238*682,0)</f>
        <v>163.68</v>
      </c>
      <c r="BT238" s="64">
        <f>AA238*795</f>
        <v>0</v>
      </c>
      <c r="BU238" s="64">
        <f>BR238+BS238+BT238</f>
        <v>1853.28</v>
      </c>
      <c r="BV238" s="64">
        <f>IF(G238="YES",3.5*18.2,0)</f>
        <v>63.699999999999996</v>
      </c>
      <c r="BW238" s="64">
        <f>BU238-BV238</f>
        <v>1789.58</v>
      </c>
    </row>
    <row r="239" spans="1:75" x14ac:dyDescent="0.15">
      <c r="A239" s="29" t="s">
        <v>1182</v>
      </c>
      <c r="B239" s="29">
        <v>84</v>
      </c>
      <c r="C239" s="29" t="s">
        <v>1187</v>
      </c>
      <c r="D239" s="29" t="s">
        <v>243</v>
      </c>
      <c r="E239" s="29" t="str">
        <f>VLOOKUP(D239,Harvest_2017_Formulae!$C$2:$D$968,2,FALSE)</f>
        <v>SABILO</v>
      </c>
      <c r="F239" s="29" t="s">
        <v>1175</v>
      </c>
      <c r="G239" s="61" t="s">
        <v>548</v>
      </c>
      <c r="H239" s="29" t="s">
        <v>568</v>
      </c>
      <c r="I239" s="29" t="s">
        <v>548</v>
      </c>
      <c r="J239" s="29" t="s">
        <v>546</v>
      </c>
      <c r="K239" s="29" t="s">
        <v>548</v>
      </c>
      <c r="L239" s="29" t="s">
        <v>2221</v>
      </c>
      <c r="M239" s="29" t="s">
        <v>548</v>
      </c>
      <c r="N239" s="29" t="s">
        <v>548</v>
      </c>
      <c r="O239" s="29" t="s">
        <v>550</v>
      </c>
      <c r="P239" s="29">
        <v>1</v>
      </c>
      <c r="Q239" s="29">
        <v>4</v>
      </c>
      <c r="R239" s="29">
        <v>0</v>
      </c>
      <c r="S239" s="29" t="s">
        <v>548</v>
      </c>
      <c r="T239" s="29">
        <v>1</v>
      </c>
      <c r="U239" s="29">
        <v>20</v>
      </c>
      <c r="V239" s="29" t="s">
        <v>551</v>
      </c>
      <c r="W239" s="30">
        <v>4.8</v>
      </c>
      <c r="Y239" s="29">
        <v>999</v>
      </c>
      <c r="Z239" s="29" t="s">
        <v>551</v>
      </c>
      <c r="AA239" s="62"/>
      <c r="AB239" s="29">
        <v>1</v>
      </c>
      <c r="AC239" s="29">
        <v>9.9999997764825821E-3</v>
      </c>
      <c r="AD239" s="29" t="s">
        <v>551</v>
      </c>
      <c r="AE239" s="62">
        <v>2.3999999463558195E-3</v>
      </c>
      <c r="AF239" s="29" t="s">
        <v>546</v>
      </c>
      <c r="AG239" s="29" t="s">
        <v>546</v>
      </c>
      <c r="AH239" s="29" t="s">
        <v>548</v>
      </c>
      <c r="AI239" s="29" t="s">
        <v>548</v>
      </c>
      <c r="AJ239" s="29" t="s">
        <v>548</v>
      </c>
      <c r="AK239" s="29">
        <v>3</v>
      </c>
      <c r="AL239" s="29">
        <v>4</v>
      </c>
      <c r="AM239" s="29" t="s">
        <v>1189</v>
      </c>
      <c r="AN239" s="29" t="s">
        <v>1190</v>
      </c>
      <c r="AO239" s="29">
        <v>-4.3652324676513672</v>
      </c>
      <c r="AP239" s="29">
        <v>35.470294952392578</v>
      </c>
      <c r="AQ239" s="29">
        <v>1703.4000244140625</v>
      </c>
      <c r="AR239" s="29">
        <v>15</v>
      </c>
      <c r="AS239" s="29">
        <v>1705231439</v>
      </c>
      <c r="AT239" s="29" t="s">
        <v>1191</v>
      </c>
      <c r="AU239" s="31">
        <v>42927.345254629632</v>
      </c>
      <c r="AV239" s="31">
        <v>42894.449930555551</v>
      </c>
      <c r="AW239" s="31">
        <v>42927.344421296293</v>
      </c>
      <c r="AX239" s="32">
        <v>42890</v>
      </c>
      <c r="AY239" s="34"/>
      <c r="AZ239" s="44">
        <v>2.6315789473684212</v>
      </c>
      <c r="BA239" s="44">
        <v>2.0526315789473686</v>
      </c>
      <c r="BB239" s="44">
        <v>2.411578947368421</v>
      </c>
      <c r="BC239" s="44">
        <v>2.4392982456140353</v>
      </c>
      <c r="BD239" s="29" t="s">
        <v>2171</v>
      </c>
      <c r="BE239" s="29">
        <v>0.15447062253999999</v>
      </c>
      <c r="BF239" s="29" t="str">
        <f>IF(BE239&lt;0.5,"Depression",IF(BE239&lt;2,"Very gentle",IF(BE239&lt;5,"Gentle",IF(BE239&lt;9,"Moderate",IF(BE239&lt;15,"Strong",IF(BE239&lt;30,"Steep",IF(BE239&lt;1,"Very steep")))))))</f>
        <v>Depression</v>
      </c>
      <c r="BG239" s="29" t="s">
        <v>2173</v>
      </c>
      <c r="BH239" s="29">
        <v>-0.18127532303300001</v>
      </c>
      <c r="BI239" s="43">
        <v>12.658034324600001</v>
      </c>
      <c r="BJ239" s="43">
        <f>VLOOKUP(D239,[1]SoilData!$G$15:$K$237,5,FALSE)</f>
        <v>236.42062888236151</v>
      </c>
      <c r="BK239" s="43">
        <f>VLOOKUP(D239,[1]SoilData!$G$245:$K$451,5,FALSE)</f>
        <v>290.75363350755663</v>
      </c>
      <c r="BL239" s="43">
        <f>VLOOKUP(D239,[1]SoilData!$G$15:$M$238,7,FALSE)</f>
        <v>1.599</v>
      </c>
      <c r="BM239" s="43">
        <f>VLOOKUP(D239,[1]SoilData!$G$245:$M$454,7,FALSE)</f>
        <v>2.3410000000000002</v>
      </c>
      <c r="BN239" s="60">
        <f>BL239-BM239</f>
        <v>-0.74200000000000021</v>
      </c>
      <c r="BO239" s="44">
        <f>AVERAGE(BB239:BC239)</f>
        <v>2.4254385964912282</v>
      </c>
      <c r="BP239" s="44">
        <f>AVERAGE(AZ239:BA239)</f>
        <v>2.3421052631578947</v>
      </c>
      <c r="BQ239" s="43">
        <f>BP239-BO239</f>
        <v>-8.3333333333333481E-2</v>
      </c>
      <c r="BR239" s="64">
        <f>IF(W239&gt;0.000001,W239*352,0)</f>
        <v>1689.6</v>
      </c>
      <c r="BS239" s="64">
        <f>IF(AE239&gt;0.0001,AE239*682,0)</f>
        <v>1.6367999634146688</v>
      </c>
      <c r="BT239" s="64">
        <f>AA239*795</f>
        <v>0</v>
      </c>
      <c r="BU239" s="64">
        <f>BR239+BS239+BT239</f>
        <v>1691.2367999634146</v>
      </c>
      <c r="BV239" s="64">
        <f>IF(G239="YES",3.5*18.2,0)</f>
        <v>63.699999999999996</v>
      </c>
      <c r="BW239" s="64">
        <f>BU239-BV239</f>
        <v>1627.5367999634145</v>
      </c>
    </row>
    <row r="240" spans="1:75" x14ac:dyDescent="0.15">
      <c r="A240" s="29" t="s">
        <v>556</v>
      </c>
      <c r="B240" s="29">
        <v>218</v>
      </c>
      <c r="C240" s="29" t="s">
        <v>1120</v>
      </c>
      <c r="D240" s="29" t="s">
        <v>371</v>
      </c>
      <c r="E240" s="29" t="str">
        <f>VLOOKUP(D240,Harvest_2017_Formulae!$C$2:$D$968,2,FALSE)</f>
        <v>ORNGADIDA</v>
      </c>
      <c r="F240" s="29" t="s">
        <v>777</v>
      </c>
      <c r="G240" s="61" t="s">
        <v>548</v>
      </c>
      <c r="H240" s="29" t="s">
        <v>568</v>
      </c>
      <c r="I240" s="29" t="s">
        <v>548</v>
      </c>
      <c r="J240" s="29" t="s">
        <v>546</v>
      </c>
      <c r="K240" s="29" t="s">
        <v>548</v>
      </c>
      <c r="L240" s="29" t="s">
        <v>2221</v>
      </c>
      <c r="M240" s="29" t="s">
        <v>548</v>
      </c>
      <c r="N240" s="29" t="s">
        <v>548</v>
      </c>
      <c r="O240" s="29" t="s">
        <v>550</v>
      </c>
      <c r="P240" s="29">
        <v>0.25</v>
      </c>
      <c r="Q240" s="29">
        <v>1.75</v>
      </c>
      <c r="S240" s="29" t="s">
        <v>548</v>
      </c>
      <c r="T240" s="29">
        <v>2</v>
      </c>
      <c r="U240" s="29">
        <v>32</v>
      </c>
      <c r="V240" s="29" t="s">
        <v>551</v>
      </c>
      <c r="W240" s="30">
        <v>3.84</v>
      </c>
      <c r="Y240" s="29">
        <v>999</v>
      </c>
      <c r="Z240" s="29" t="s">
        <v>551</v>
      </c>
      <c r="AA240" s="62"/>
      <c r="AB240" s="29">
        <v>2</v>
      </c>
      <c r="AC240" s="29">
        <v>6</v>
      </c>
      <c r="AD240" s="29" t="s">
        <v>551</v>
      </c>
      <c r="AE240" s="62">
        <v>0.72</v>
      </c>
      <c r="AF240" s="29" t="s">
        <v>546</v>
      </c>
      <c r="AG240" s="29" t="s">
        <v>546</v>
      </c>
      <c r="AH240" s="29" t="s">
        <v>548</v>
      </c>
      <c r="AI240" s="29" t="s">
        <v>548</v>
      </c>
      <c r="AJ240" s="29" t="s">
        <v>548</v>
      </c>
      <c r="AK240" s="29">
        <v>3</v>
      </c>
      <c r="AL240" s="29">
        <v>6</v>
      </c>
      <c r="AM240" s="29" t="s">
        <v>1122</v>
      </c>
      <c r="AN240" s="29" t="s">
        <v>1123</v>
      </c>
      <c r="AO240" s="29">
        <v>-4.2970547676086426</v>
      </c>
      <c r="AP240" s="29">
        <v>35.864608764648438</v>
      </c>
      <c r="AQ240" s="29">
        <v>1259.199951171875</v>
      </c>
      <c r="AR240" s="29">
        <v>5</v>
      </c>
      <c r="AS240" s="29">
        <v>1706031849</v>
      </c>
      <c r="AT240" s="29" t="s">
        <v>1124</v>
      </c>
      <c r="AU240" s="31">
        <v>42950.967465277776</v>
      </c>
      <c r="AV240" s="31">
        <v>42949.563067129631</v>
      </c>
      <c r="AW240" s="31">
        <v>42950.865925925929</v>
      </c>
      <c r="AX240" s="32">
        <v>42798</v>
      </c>
      <c r="AZ240" s="44">
        <v>4.7406240487062403</v>
      </c>
      <c r="BA240" s="44">
        <v>4.5626484018264843</v>
      </c>
      <c r="BB240" s="44">
        <v>4.4186449864498645</v>
      </c>
      <c r="BC240" s="44">
        <v>2.1803794037940376</v>
      </c>
      <c r="BD240" s="29" t="s">
        <v>2171</v>
      </c>
      <c r="BE240" s="29">
        <v>0.93952620029400002</v>
      </c>
      <c r="BF240" s="29" t="str">
        <f>IF(BE240&lt;0.5,"Depression",IF(BE240&lt;2,"Very gentle",IF(BE240&lt;5,"Gentle",IF(BE240&lt;9,"Moderate",IF(BE240&lt;15,"Strong",IF(BE240&lt;30,"Steep",IF(BE240&lt;1,"Very steep")))))))</f>
        <v>Very gentle</v>
      </c>
      <c r="BG240" s="29" t="s">
        <v>2173</v>
      </c>
      <c r="BH240" s="29">
        <v>0.18129228055499999</v>
      </c>
      <c r="BI240" s="43">
        <v>10.237704277000001</v>
      </c>
      <c r="BJ240" s="43">
        <f>VLOOKUP(D240,[1]SoilData!$G$15:$K$237,5,FALSE)</f>
        <v>361.88739506112773</v>
      </c>
      <c r="BK240" s="43">
        <f>VLOOKUP(D240,[1]SoilData!$G$245:$K$451,5,FALSE)</f>
        <v>490.1628511629778</v>
      </c>
      <c r="BL240" s="43">
        <f>VLOOKUP(D240,[1]SoilData!$G$15:$M$238,7,FALSE)</f>
        <v>1.5309999999999999</v>
      </c>
      <c r="BM240" s="43">
        <f>VLOOKUP(D240,[1]SoilData!$G$245:$M$454,7,FALSE)</f>
        <v>1.464</v>
      </c>
      <c r="BN240" s="60">
        <f>BL240-BM240</f>
        <v>6.6999999999999948E-2</v>
      </c>
      <c r="BO240" s="44">
        <f>AVERAGE(BB240:BC240)</f>
        <v>3.299512195121951</v>
      </c>
      <c r="BP240" s="44">
        <f>AVERAGE(AZ240:BA240)</f>
        <v>4.6516362252663619</v>
      </c>
      <c r="BQ240" s="43">
        <f>BP240-BO240</f>
        <v>1.3521240301444108</v>
      </c>
      <c r="BR240" s="64">
        <f>IF(W240&gt;0.000001,W240*352,0)</f>
        <v>1351.6799999999998</v>
      </c>
      <c r="BS240" s="64">
        <f>IF(AE240&gt;0.0001,AE240*682,0)</f>
        <v>491.03999999999996</v>
      </c>
      <c r="BT240" s="64">
        <f>AA240*795</f>
        <v>0</v>
      </c>
      <c r="BU240" s="64">
        <f>BR240+BS240+BT240</f>
        <v>1842.7199999999998</v>
      </c>
      <c r="BV240" s="64">
        <f>IF(G240="YES",3.5*18.2,0)</f>
        <v>63.699999999999996</v>
      </c>
      <c r="BW240" s="64">
        <f>BU240-BV240</f>
        <v>1779.0199999999998</v>
      </c>
    </row>
    <row r="241" spans="1:75" x14ac:dyDescent="0.15">
      <c r="A241" s="29" t="s">
        <v>789</v>
      </c>
      <c r="B241" s="29">
        <v>59</v>
      </c>
      <c r="C241" s="29" t="s">
        <v>205</v>
      </c>
      <c r="D241" s="29" t="s">
        <v>205</v>
      </c>
      <c r="E241" s="29" t="str">
        <f>VLOOKUP(D241,Harvest_2017_Formulae!$C$2:$D$968,2,FALSE)</f>
        <v>MANDI</v>
      </c>
      <c r="F241" s="29" t="s">
        <v>1014</v>
      </c>
      <c r="G241" s="61" t="s">
        <v>548</v>
      </c>
      <c r="H241" s="29" t="s">
        <v>568</v>
      </c>
      <c r="I241" s="29" t="s">
        <v>548</v>
      </c>
      <c r="J241" s="29" t="s">
        <v>546</v>
      </c>
      <c r="K241" s="29" t="s">
        <v>548</v>
      </c>
      <c r="L241" s="29" t="s">
        <v>2221</v>
      </c>
      <c r="M241" s="29" t="s">
        <v>548</v>
      </c>
      <c r="N241" s="29" t="s">
        <v>548</v>
      </c>
      <c r="O241" s="29" t="s">
        <v>793</v>
      </c>
      <c r="P241" s="29">
        <v>0.25</v>
      </c>
      <c r="Q241" s="29">
        <v>18.75</v>
      </c>
      <c r="R241" s="29">
        <v>0</v>
      </c>
      <c r="S241" s="29" t="s">
        <v>548</v>
      </c>
      <c r="T241" s="29">
        <v>1</v>
      </c>
      <c r="U241" s="29">
        <v>20</v>
      </c>
      <c r="V241" s="29" t="s">
        <v>551</v>
      </c>
      <c r="W241" s="30">
        <v>4.8</v>
      </c>
      <c r="Y241" s="29">
        <v>999</v>
      </c>
      <c r="Z241" s="29" t="s">
        <v>551</v>
      </c>
      <c r="AA241" s="62"/>
      <c r="AC241" s="29">
        <v>999</v>
      </c>
      <c r="AD241" s="29" t="s">
        <v>551</v>
      </c>
      <c r="AE241" s="62"/>
      <c r="AF241" s="29" t="s">
        <v>548</v>
      </c>
      <c r="AG241" s="29" t="s">
        <v>546</v>
      </c>
      <c r="AH241" s="29" t="s">
        <v>548</v>
      </c>
      <c r="AI241" s="29" t="s">
        <v>546</v>
      </c>
      <c r="AJ241" s="29" t="s">
        <v>548</v>
      </c>
      <c r="AK241" s="29">
        <v>3</v>
      </c>
      <c r="AL241" s="29">
        <v>4</v>
      </c>
      <c r="AM241" s="29" t="s">
        <v>1055</v>
      </c>
      <c r="AN241" s="29" t="s">
        <v>1056</v>
      </c>
      <c r="AO241" s="29">
        <v>-4.3316545486450195</v>
      </c>
      <c r="AP241" s="29">
        <v>35.45123291015625</v>
      </c>
      <c r="AQ241" s="29">
        <v>1566</v>
      </c>
      <c r="AR241" s="29">
        <v>5</v>
      </c>
      <c r="AS241" s="29">
        <v>1705231439</v>
      </c>
      <c r="AT241" s="29" t="s">
        <v>1057</v>
      </c>
      <c r="AU241" s="31">
        <v>42923.381840277776</v>
      </c>
      <c r="AV241" s="31">
        <v>42908.658020833333</v>
      </c>
      <c r="AW241" s="31">
        <v>42908.673587962963</v>
      </c>
      <c r="AX241" s="32">
        <v>42779</v>
      </c>
      <c r="AZ241" s="44">
        <v>3.6366013071895424</v>
      </c>
      <c r="BA241" s="44">
        <v>2.9568627450980394</v>
      </c>
      <c r="BB241" s="44">
        <v>2.4099999999999997</v>
      </c>
      <c r="BC241" s="44">
        <v>1.9748611111111112</v>
      </c>
      <c r="BD241" s="29" t="s">
        <v>2171</v>
      </c>
      <c r="BE241" s="29">
        <v>0</v>
      </c>
      <c r="BF241" s="29" t="str">
        <f>IF(BE241&lt;0.5,"Depression",IF(BE241&lt;2,"Very gentle",IF(BE241&lt;5,"Gentle",IF(BE241&lt;9,"Moderate",IF(BE241&lt;15,"Strong",IF(BE241&lt;30,"Steep",IF(BE241&lt;1,"Very steep")))))))</f>
        <v>Depression</v>
      </c>
      <c r="BG241" s="29" t="s">
        <v>2173</v>
      </c>
      <c r="BH241" s="29">
        <v>8.4776775111099995E-6</v>
      </c>
      <c r="BI241" s="43">
        <v>11.4374370575</v>
      </c>
      <c r="BJ241" s="43">
        <f>VLOOKUP(D241,[1]SoilData!$G$15:$K$237,5,FALSE)</f>
        <v>466.24371358405176</v>
      </c>
      <c r="BK241" s="43"/>
      <c r="BL241" s="43">
        <f>VLOOKUP(D241,[1]SoilData!$G$15:$M$238,7,FALSE)</f>
        <v>1.9</v>
      </c>
      <c r="BM241" s="43"/>
      <c r="BN241" s="60"/>
      <c r="BO241" s="44">
        <f>AVERAGE(BB241:BC241)</f>
        <v>2.1924305555555552</v>
      </c>
      <c r="BP241" s="44">
        <f>AVERAGE(AZ241:BA241)</f>
        <v>3.2967320261437907</v>
      </c>
      <c r="BQ241" s="43">
        <f>BP241-BO241</f>
        <v>1.1043014705882355</v>
      </c>
      <c r="BR241" s="64">
        <f>IF(W241&gt;0.000001,W241*352,0)</f>
        <v>1689.6</v>
      </c>
      <c r="BS241" s="64">
        <f>IF(AE241&gt;0.0001,AE241*682,0)</f>
        <v>0</v>
      </c>
      <c r="BT241" s="64">
        <f>AA241*795</f>
        <v>0</v>
      </c>
      <c r="BU241" s="64">
        <f>BR241+BS241+BT241</f>
        <v>1689.6</v>
      </c>
      <c r="BV241" s="64">
        <f>IF(G241="YES",3.5*18.2,0)</f>
        <v>63.699999999999996</v>
      </c>
      <c r="BW241" s="64">
        <f>BU241-BV241</f>
        <v>1625.8999999999999</v>
      </c>
    </row>
    <row r="242" spans="1:75" x14ac:dyDescent="0.15">
      <c r="A242" s="29" t="s">
        <v>789</v>
      </c>
      <c r="B242" s="29">
        <v>65</v>
      </c>
      <c r="C242" s="29" t="s">
        <v>836</v>
      </c>
      <c r="D242" s="29" t="s">
        <v>144</v>
      </c>
      <c r="E242" s="29" t="str">
        <f>VLOOKUP(D242,Harvest_2017_Formulae!$C$2:$D$968,2,FALSE)</f>
        <v>Endanachan</v>
      </c>
      <c r="F242" s="29" t="s">
        <v>777</v>
      </c>
      <c r="G242" s="61" t="s">
        <v>548</v>
      </c>
      <c r="H242" s="29" t="s">
        <v>568</v>
      </c>
      <c r="I242" s="29" t="s">
        <v>548</v>
      </c>
      <c r="J242" s="29" t="s">
        <v>546</v>
      </c>
      <c r="K242" s="29" t="s">
        <v>548</v>
      </c>
      <c r="L242" s="29" t="s">
        <v>2221</v>
      </c>
      <c r="M242" s="29" t="s">
        <v>548</v>
      </c>
      <c r="N242" s="29" t="s">
        <v>548</v>
      </c>
      <c r="O242" s="29" t="s">
        <v>793</v>
      </c>
      <c r="P242" s="29">
        <v>0.5</v>
      </c>
      <c r="Q242" s="29">
        <v>4</v>
      </c>
      <c r="R242" s="29">
        <v>0</v>
      </c>
      <c r="S242" s="29" t="s">
        <v>546</v>
      </c>
      <c r="T242" s="29">
        <v>1</v>
      </c>
      <c r="U242" s="29">
        <v>15</v>
      </c>
      <c r="V242" s="29" t="s">
        <v>551</v>
      </c>
      <c r="W242" s="30">
        <v>3.5999999999999996</v>
      </c>
      <c r="Y242" s="29">
        <v>999</v>
      </c>
      <c r="Z242" s="29" t="s">
        <v>551</v>
      </c>
      <c r="AA242" s="62"/>
      <c r="AB242" s="29">
        <v>1</v>
      </c>
      <c r="AC242" s="29">
        <v>4</v>
      </c>
      <c r="AD242" s="29" t="s">
        <v>551</v>
      </c>
      <c r="AE242" s="62">
        <v>0.96</v>
      </c>
      <c r="AF242" s="29" t="s">
        <v>546</v>
      </c>
      <c r="AG242" s="29" t="s">
        <v>546</v>
      </c>
      <c r="AH242" s="29" t="s">
        <v>546</v>
      </c>
      <c r="AI242" s="29" t="s">
        <v>546</v>
      </c>
      <c r="AJ242" s="29" t="s">
        <v>546</v>
      </c>
      <c r="AK242" s="29">
        <v>0</v>
      </c>
      <c r="AL242" s="29">
        <v>3</v>
      </c>
      <c r="AM242" s="29" t="s">
        <v>838</v>
      </c>
      <c r="AN242" s="29" t="s">
        <v>839</v>
      </c>
      <c r="AO242" s="29">
        <v>-4.353522777557373</v>
      </c>
      <c r="AP242" s="29">
        <v>35.700599670410156</v>
      </c>
      <c r="AQ242" s="29">
        <v>1381.4000244140625</v>
      </c>
      <c r="AR242" s="29">
        <v>10</v>
      </c>
      <c r="AS242" s="29">
        <v>1705231439</v>
      </c>
      <c r="AT242" s="29" t="s">
        <v>840</v>
      </c>
      <c r="AU242" s="31">
        <v>42923.387060185181</v>
      </c>
      <c r="AV242" s="31">
        <v>42901.656828703708</v>
      </c>
      <c r="AW242" s="31">
        <v>42923.385995370365</v>
      </c>
      <c r="AX242" s="32">
        <v>42768</v>
      </c>
      <c r="AZ242" s="44">
        <v>7.3817333333333339</v>
      </c>
      <c r="BA242" s="44">
        <v>7.3497777777777769</v>
      </c>
      <c r="BB242" s="44">
        <v>4.2549019607843137</v>
      </c>
      <c r="BC242" s="44">
        <v>6.348039215686275</v>
      </c>
      <c r="BD242" s="29" t="s">
        <v>2171</v>
      </c>
      <c r="BE242" s="29">
        <v>4.2408928871200002</v>
      </c>
      <c r="BF242" s="29" t="str">
        <f>IF(BE242&lt;0.5,"Depression",IF(BE242&lt;2,"Very gentle",IF(BE242&lt;5,"Gentle",IF(BE242&lt;9,"Moderate",IF(BE242&lt;15,"Strong",IF(BE242&lt;30,"Steep",IF(BE242&lt;1,"Very steep")))))))</f>
        <v>Gentle</v>
      </c>
      <c r="BG242" s="29" t="s">
        <v>2177</v>
      </c>
      <c r="BH242" s="29">
        <v>0.815785527229</v>
      </c>
      <c r="BI242" s="43">
        <v>7.5383791923499999</v>
      </c>
      <c r="BJ242" s="43">
        <f>VLOOKUP(D242,[1]SoilData!$G$15:$K$237,5,FALSE)</f>
        <v>38.517417055905945</v>
      </c>
      <c r="BK242" s="43">
        <f>VLOOKUP(D242,[1]SoilData!$G$245:$K$451,5,FALSE)</f>
        <v>284.93883565271835</v>
      </c>
      <c r="BL242" s="43">
        <f>VLOOKUP(D242,[1]SoilData!$G$15:$M$238,7,FALSE)</f>
        <v>1.153</v>
      </c>
      <c r="BM242" s="43">
        <f>VLOOKUP(D242,[1]SoilData!$G$245:$M$454,7,FALSE)</f>
        <v>0.95799999999999996</v>
      </c>
      <c r="BN242" s="60">
        <f>BL242-BM242</f>
        <v>0.19500000000000006</v>
      </c>
      <c r="BO242" s="44">
        <f>AVERAGE(BB242:BC242)</f>
        <v>5.3014705882352944</v>
      </c>
      <c r="BP242" s="44">
        <f>AVERAGE(AZ242:BA242)</f>
        <v>7.3657555555555554</v>
      </c>
      <c r="BQ242" s="43">
        <f>BP242-BO242</f>
        <v>2.064284967320261</v>
      </c>
      <c r="BR242" s="64">
        <f>IF(W242&gt;0.000001,W242*352,0)</f>
        <v>1267.1999999999998</v>
      </c>
      <c r="BS242" s="64">
        <f>IF(AE242&gt;0.0001,AE242*682,0)</f>
        <v>654.72</v>
      </c>
      <c r="BT242" s="64">
        <f>AA242*795</f>
        <v>0</v>
      </c>
      <c r="BU242" s="64">
        <f>BR242+BS242+BT242</f>
        <v>1921.9199999999998</v>
      </c>
      <c r="BV242" s="64">
        <f>IF(G242="YES",3.5*18.2,0)</f>
        <v>63.699999999999996</v>
      </c>
      <c r="BW242" s="64">
        <f>BU242-BV242</f>
        <v>1858.2199999999998</v>
      </c>
    </row>
    <row r="243" spans="1:75" x14ac:dyDescent="0.15">
      <c r="A243" s="29" t="s">
        <v>544</v>
      </c>
      <c r="B243" s="29">
        <v>1</v>
      </c>
      <c r="C243" s="29" t="s">
        <v>377</v>
      </c>
      <c r="D243" s="29" t="s">
        <v>377</v>
      </c>
      <c r="E243" s="29" t="str">
        <f>VLOOKUP(D243,Harvest_2017_Formulae!$C$2:$D$968,2,FALSE)</f>
        <v>ORNGADIDA</v>
      </c>
      <c r="F243" s="29" t="s">
        <v>777</v>
      </c>
      <c r="G243" s="61" t="s">
        <v>548</v>
      </c>
      <c r="H243" s="29" t="s">
        <v>568</v>
      </c>
      <c r="I243" s="29" t="s">
        <v>546</v>
      </c>
      <c r="J243" s="29" t="s">
        <v>548</v>
      </c>
      <c r="K243" s="29" t="s">
        <v>548</v>
      </c>
      <c r="L243" s="29" t="s">
        <v>2221</v>
      </c>
      <c r="M243" s="29" t="s">
        <v>548</v>
      </c>
      <c r="N243" s="29" t="s">
        <v>548</v>
      </c>
      <c r="O243" s="29" t="s">
        <v>550</v>
      </c>
      <c r="P243" s="29">
        <v>0.25</v>
      </c>
      <c r="R243" s="29">
        <v>1.25</v>
      </c>
      <c r="S243" s="29" t="s">
        <v>548</v>
      </c>
      <c r="T243" s="29">
        <v>1</v>
      </c>
      <c r="U243" s="29">
        <v>15</v>
      </c>
      <c r="V243" s="29" t="s">
        <v>551</v>
      </c>
      <c r="W243" s="30">
        <v>3.5999999999999996</v>
      </c>
      <c r="Y243" s="29">
        <v>999</v>
      </c>
      <c r="Z243" s="29" t="s">
        <v>551</v>
      </c>
      <c r="AA243" s="62"/>
      <c r="AB243" s="29">
        <v>1</v>
      </c>
      <c r="AC243" s="29">
        <v>1</v>
      </c>
      <c r="AD243" s="29" t="s">
        <v>551</v>
      </c>
      <c r="AE243" s="62">
        <v>0.24</v>
      </c>
      <c r="AF243" s="29" t="s">
        <v>546</v>
      </c>
      <c r="AG243" s="29" t="s">
        <v>546</v>
      </c>
      <c r="AH243" s="29" t="s">
        <v>548</v>
      </c>
      <c r="AI243" s="29" t="s">
        <v>546</v>
      </c>
      <c r="AJ243" s="29" t="s">
        <v>546</v>
      </c>
      <c r="AK243" s="29">
        <v>1</v>
      </c>
      <c r="AL243" s="29">
        <v>3</v>
      </c>
      <c r="AM243" s="29" t="s">
        <v>1168</v>
      </c>
      <c r="AN243" s="29" t="s">
        <v>1169</v>
      </c>
      <c r="AO243" s="29">
        <v>-4.3029470443725586</v>
      </c>
      <c r="AP243" s="29">
        <v>35.849178314208984</v>
      </c>
      <c r="AQ243" s="29">
        <v>1252.199951171875</v>
      </c>
      <c r="AR243" s="29">
        <v>5</v>
      </c>
      <c r="AS243" s="29">
        <v>1705231439</v>
      </c>
      <c r="AT243" s="29" t="s">
        <v>1170</v>
      </c>
      <c r="AU243" s="31">
        <v>42893.595081018517</v>
      </c>
      <c r="AV243" s="31">
        <v>42891.320231481484</v>
      </c>
      <c r="AW243" s="31">
        <v>42892.492858796293</v>
      </c>
      <c r="AX243" s="32">
        <v>42439</v>
      </c>
      <c r="AZ243" s="44">
        <v>8.1427350427350422</v>
      </c>
      <c r="BA243" s="44">
        <v>6.7008547008547001</v>
      </c>
      <c r="BB243" s="44">
        <v>3.9929292929292934</v>
      </c>
      <c r="BC243" s="44">
        <v>2.4732323232323234</v>
      </c>
      <c r="BD243" s="29" t="s">
        <v>2171</v>
      </c>
      <c r="BE243" s="29">
        <v>1.00692403316</v>
      </c>
      <c r="BF243" s="29" t="str">
        <f>IF(BE243&lt;0.5,"Depression",IF(BE243&lt;2,"Very gentle",IF(BE243&lt;5,"Gentle",IF(BE243&lt;9,"Moderate",IF(BE243&lt;15,"Strong",IF(BE243&lt;30,"Steep",IF(BE243&lt;1,"Very steep")))))))</f>
        <v>Very gentle</v>
      </c>
      <c r="BG243" s="29" t="s">
        <v>2173</v>
      </c>
      <c r="BH243" s="29">
        <v>8.4776775111099995E-6</v>
      </c>
      <c r="BI243" s="43">
        <v>9.9152717590300004</v>
      </c>
      <c r="BJ243" s="43">
        <f>VLOOKUP(D243,[1]SoilData!$G$15:$K$237,5,FALSE)</f>
        <v>327.84431773984028</v>
      </c>
      <c r="BK243" s="43">
        <f>VLOOKUP(D243,[1]SoilData!$G$245:$K$451,5,FALSE)</f>
        <v>296.20187850150211</v>
      </c>
      <c r="BL243" s="43">
        <f>VLOOKUP(D243,[1]SoilData!$G$15:$M$238,7,FALSE)</f>
        <v>1.4890000000000001</v>
      </c>
      <c r="BM243" s="43">
        <f>VLOOKUP(D243,[1]SoilData!$G$245:$M$454,7,FALSE)</f>
        <v>1.421</v>
      </c>
      <c r="BN243" s="60">
        <f>BL243-BM243</f>
        <v>6.800000000000006E-2</v>
      </c>
      <c r="BO243" s="44">
        <f>AVERAGE(BB243:BC243)</f>
        <v>3.2330808080808087</v>
      </c>
      <c r="BP243" s="44">
        <f>AVERAGE(AZ243:BA243)</f>
        <v>7.4217948717948712</v>
      </c>
      <c r="BQ243" s="43">
        <f>BP243-BO243</f>
        <v>4.1887140637140625</v>
      </c>
      <c r="BR243" s="64">
        <f>IF(W243&gt;0.000001,W243*352,0)</f>
        <v>1267.1999999999998</v>
      </c>
      <c r="BS243" s="64">
        <f>IF(AE243&gt;0.0001,AE243*682,0)</f>
        <v>163.68</v>
      </c>
      <c r="BT243" s="64">
        <f>AA243*795</f>
        <v>0</v>
      </c>
      <c r="BU243" s="64">
        <f>BR243+BS243+BT243</f>
        <v>1430.8799999999999</v>
      </c>
      <c r="BV243" s="64">
        <f>IF(G243="YES",3.5*18.2,0)</f>
        <v>63.699999999999996</v>
      </c>
      <c r="BW243" s="64">
        <f>BU243-BV243</f>
        <v>1367.1799999999998</v>
      </c>
    </row>
    <row r="244" spans="1:75" x14ac:dyDescent="0.15">
      <c r="A244" s="29" t="s">
        <v>789</v>
      </c>
      <c r="B244" s="29">
        <v>63</v>
      </c>
      <c r="C244" s="29" t="s">
        <v>140</v>
      </c>
      <c r="D244" s="29" t="s">
        <v>140</v>
      </c>
      <c r="E244" s="29" t="str">
        <f>VLOOKUP(D244,Harvest_2017_Formulae!$C$2:$D$968,2,FALSE)</f>
        <v>Endanachan</v>
      </c>
      <c r="F244" s="29" t="s">
        <v>26</v>
      </c>
      <c r="G244" s="61" t="s">
        <v>548</v>
      </c>
      <c r="H244" s="29" t="s">
        <v>568</v>
      </c>
      <c r="I244" s="29" t="s">
        <v>548</v>
      </c>
      <c r="J244" s="29" t="s">
        <v>546</v>
      </c>
      <c r="K244" s="29" t="s">
        <v>548</v>
      </c>
      <c r="L244" s="29" t="s">
        <v>2221</v>
      </c>
      <c r="M244" s="29" t="s">
        <v>548</v>
      </c>
      <c r="N244" s="29" t="s">
        <v>548</v>
      </c>
      <c r="O244" s="29" t="s">
        <v>793</v>
      </c>
      <c r="P244" s="29">
        <v>2</v>
      </c>
      <c r="Q244" s="29">
        <v>9.5</v>
      </c>
      <c r="R244" s="29">
        <v>0</v>
      </c>
      <c r="S244" s="29" t="s">
        <v>548</v>
      </c>
      <c r="T244" s="29">
        <v>1</v>
      </c>
      <c r="U244" s="29">
        <v>22</v>
      </c>
      <c r="V244" s="29" t="s">
        <v>551</v>
      </c>
      <c r="W244" s="30">
        <v>5.28</v>
      </c>
      <c r="X244" s="29">
        <v>1</v>
      </c>
      <c r="Y244" s="29">
        <v>4</v>
      </c>
      <c r="Z244" s="29" t="s">
        <v>551</v>
      </c>
      <c r="AA244" s="62">
        <v>0.96</v>
      </c>
      <c r="AB244" s="29">
        <v>1</v>
      </c>
      <c r="AC244" s="29">
        <v>4</v>
      </c>
      <c r="AD244" s="29" t="s">
        <v>551</v>
      </c>
      <c r="AE244" s="62">
        <v>0.96</v>
      </c>
      <c r="AF244" s="29" t="s">
        <v>546</v>
      </c>
      <c r="AG244" s="29" t="s">
        <v>548</v>
      </c>
      <c r="AH244" s="29" t="s">
        <v>546</v>
      </c>
      <c r="AI244" s="29" t="s">
        <v>546</v>
      </c>
      <c r="AJ244" s="29" t="s">
        <v>548</v>
      </c>
      <c r="AK244" s="29">
        <v>2</v>
      </c>
      <c r="AL244" s="29">
        <v>3</v>
      </c>
      <c r="AM244" s="29" t="s">
        <v>821</v>
      </c>
      <c r="AN244" s="29" t="s">
        <v>822</v>
      </c>
      <c r="AO244" s="29">
        <v>-4.3305182456970215</v>
      </c>
      <c r="AP244" s="29">
        <v>35.700538635253906</v>
      </c>
      <c r="AQ244" s="29">
        <v>1358.300048828125</v>
      </c>
      <c r="AR244" s="29">
        <v>10</v>
      </c>
      <c r="AS244" s="29">
        <v>1705231439</v>
      </c>
      <c r="AT244" s="29" t="s">
        <v>823</v>
      </c>
      <c r="AU244" s="31">
        <v>42923.387048611112</v>
      </c>
      <c r="AV244" s="31">
        <v>42901.51394675926</v>
      </c>
      <c r="AW244" s="31">
        <v>42923.386296296296</v>
      </c>
      <c r="AX244" s="32">
        <v>42737</v>
      </c>
      <c r="AZ244" s="44">
        <v>7.1851851851851842</v>
      </c>
      <c r="BA244" s="44">
        <v>5.5925925925925926</v>
      </c>
      <c r="BB244" s="44">
        <v>2.7485416666666667</v>
      </c>
      <c r="BC244" s="44">
        <v>3.8618749999999999</v>
      </c>
      <c r="BD244" s="29" t="s">
        <v>2171</v>
      </c>
      <c r="BE244" s="29">
        <v>0.79513710737200005</v>
      </c>
      <c r="BF244" s="29" t="str">
        <f>IF(BE244&lt;0.5,"Depression",IF(BE244&lt;2,"Very gentle",IF(BE244&lt;5,"Gentle",IF(BE244&lt;9,"Moderate",IF(BE244&lt;15,"Strong",IF(BE244&lt;30,"Steep",IF(BE244&lt;1,"Very steep")))))))</f>
        <v>Very gentle</v>
      </c>
      <c r="BG244" s="29" t="s">
        <v>2173</v>
      </c>
      <c r="BH244" s="29">
        <v>0.27193418145199999</v>
      </c>
      <c r="BI244" s="43">
        <v>8.5437145233200003</v>
      </c>
      <c r="BJ244" s="43"/>
      <c r="BK244" s="43">
        <f>VLOOKUP(D244,[1]SoilData!$G$245:$K$451,5,FALSE)</f>
        <v>180.24165262194853</v>
      </c>
      <c r="BL244" s="43"/>
      <c r="BM244" s="43">
        <f>VLOOKUP(D244,[1]SoilData!$G$245:$M$454,7,FALSE)</f>
        <v>0.874</v>
      </c>
      <c r="BN244" s="60"/>
      <c r="BO244" s="44">
        <f>AVERAGE(BB244:BC244)</f>
        <v>3.3052083333333333</v>
      </c>
      <c r="BP244" s="44">
        <f>AVERAGE(AZ244:BA244)</f>
        <v>6.3888888888888884</v>
      </c>
      <c r="BQ244" s="43">
        <f>BP244-BO244</f>
        <v>3.0836805555555551</v>
      </c>
      <c r="BR244" s="64">
        <f>IF(W244&gt;0.000001,W244*352,0)</f>
        <v>1858.5600000000002</v>
      </c>
      <c r="BS244" s="64">
        <f>IF(AE244&gt;0.0001,AE244*682,0)</f>
        <v>654.72</v>
      </c>
      <c r="BT244" s="64">
        <f>AA244*795</f>
        <v>763.19999999999993</v>
      </c>
      <c r="BU244" s="64">
        <f>BR244+BS244+BT244</f>
        <v>3276.48</v>
      </c>
      <c r="BV244" s="64">
        <f>IF(G244="YES",3.5*18.2,0)</f>
        <v>63.699999999999996</v>
      </c>
      <c r="BW244" s="64">
        <f>BU244-BV244</f>
        <v>3212.78</v>
      </c>
    </row>
    <row r="245" spans="1:75" x14ac:dyDescent="0.15">
      <c r="A245" s="29" t="s">
        <v>789</v>
      </c>
      <c r="B245" s="29">
        <v>46</v>
      </c>
      <c r="C245" s="29" t="s">
        <v>136</v>
      </c>
      <c r="D245" s="29" t="s">
        <v>136</v>
      </c>
      <c r="E245" s="29" t="str">
        <f>VLOOKUP(D245,Harvest_2017_Formulae!$C$2:$D$968,2,FALSE)</f>
        <v>Endanachan</v>
      </c>
      <c r="F245" s="29" t="s">
        <v>777</v>
      </c>
      <c r="G245" s="61" t="s">
        <v>548</v>
      </c>
      <c r="H245" s="29" t="s">
        <v>568</v>
      </c>
      <c r="I245" s="29" t="s">
        <v>548</v>
      </c>
      <c r="J245" s="29" t="s">
        <v>546</v>
      </c>
      <c r="K245" s="29" t="s">
        <v>548</v>
      </c>
      <c r="L245" s="29" t="s">
        <v>2221</v>
      </c>
      <c r="M245" s="29" t="s">
        <v>548</v>
      </c>
      <c r="N245" s="29" t="s">
        <v>548</v>
      </c>
      <c r="O245" s="29" t="s">
        <v>793</v>
      </c>
      <c r="P245" s="29">
        <v>0.25</v>
      </c>
      <c r="Q245" s="29">
        <v>17.5</v>
      </c>
      <c r="R245" s="29">
        <v>0</v>
      </c>
      <c r="S245" s="29" t="s">
        <v>548</v>
      </c>
      <c r="T245" s="29">
        <v>1</v>
      </c>
      <c r="U245" s="29">
        <v>8</v>
      </c>
      <c r="V245" s="29" t="s">
        <v>551</v>
      </c>
      <c r="W245" s="30">
        <v>1.92</v>
      </c>
      <c r="Y245" s="29">
        <v>999</v>
      </c>
      <c r="Z245" s="29" t="s">
        <v>551</v>
      </c>
      <c r="AA245" s="62"/>
      <c r="AC245" s="29">
        <v>999</v>
      </c>
      <c r="AD245" s="29" t="s">
        <v>551</v>
      </c>
      <c r="AE245" s="62"/>
      <c r="AF245" s="29" t="s">
        <v>546</v>
      </c>
      <c r="AG245" s="29" t="s">
        <v>546</v>
      </c>
      <c r="AH245" s="29" t="s">
        <v>546</v>
      </c>
      <c r="AI245" s="29" t="s">
        <v>546</v>
      </c>
      <c r="AJ245" s="29" t="s">
        <v>546</v>
      </c>
      <c r="AK245" s="29">
        <v>0</v>
      </c>
      <c r="AL245" s="29">
        <v>3</v>
      </c>
      <c r="AM245" s="29" t="s">
        <v>802</v>
      </c>
      <c r="AN245" s="29" t="s">
        <v>803</v>
      </c>
      <c r="AO245" s="29">
        <v>-4.3232874870300293</v>
      </c>
      <c r="AP245" s="29">
        <v>35.713558197021484</v>
      </c>
      <c r="AQ245" s="29">
        <v>1342.4000244140625</v>
      </c>
      <c r="AR245" s="29">
        <v>10</v>
      </c>
      <c r="AS245" s="29">
        <v>1705231439</v>
      </c>
      <c r="AT245" s="29" t="s">
        <v>804</v>
      </c>
      <c r="AU245" s="31">
        <v>42908.292708333334</v>
      </c>
      <c r="AV245" s="31">
        <v>42901.602511574078</v>
      </c>
      <c r="AW245" s="31">
        <v>42908.291458333333</v>
      </c>
      <c r="AX245" s="32">
        <v>42737</v>
      </c>
      <c r="AZ245" s="44">
        <v>7.0931400966183586</v>
      </c>
      <c r="BA245" s="44">
        <v>5.734879227053141</v>
      </c>
      <c r="BB245" s="44">
        <v>5.0914529914529911</v>
      </c>
      <c r="BC245" s="44">
        <v>5.2242735042735049</v>
      </c>
      <c r="BD245" s="29" t="s">
        <v>2171</v>
      </c>
      <c r="BE245" s="29">
        <v>0.77230823039999996</v>
      </c>
      <c r="BF245" s="29" t="str">
        <f>IF(BE245&lt;0.5,"Depression",IF(BE245&lt;2,"Very gentle",IF(BE245&lt;5,"Gentle",IF(BE245&lt;9,"Moderate",IF(BE245&lt;15,"Strong",IF(BE245&lt;30,"Steep",IF(BE245&lt;1,"Very steep")))))))</f>
        <v>Very gentle</v>
      </c>
      <c r="BG245" s="29" t="s">
        <v>2173</v>
      </c>
      <c r="BH245" s="29">
        <v>-0.362559139729</v>
      </c>
      <c r="BI245" s="43">
        <v>10.6584386826</v>
      </c>
      <c r="BJ245" s="43">
        <f>VLOOKUP(D245,[1]SoilData!$G$15:$K$237,5,FALSE)</f>
        <v>304.09075937785911</v>
      </c>
      <c r="BK245" s="43">
        <f>VLOOKUP(D245,[1]SoilData!$G$245:$K$451,5,FALSE)</f>
        <v>356.43935089324413</v>
      </c>
      <c r="BL245" s="43">
        <f>VLOOKUP(D245,[1]SoilData!$G$15:$M$238,7,FALSE)</f>
        <v>1.27</v>
      </c>
      <c r="BM245" s="43">
        <f>VLOOKUP(D245,[1]SoilData!$G$245:$M$454,7,FALSE)</f>
        <v>1.5329999999999999</v>
      </c>
      <c r="BN245" s="60">
        <f>BL245-BM245</f>
        <v>-0.2629999999999999</v>
      </c>
      <c r="BO245" s="44">
        <f>AVERAGE(BB245:BC245)</f>
        <v>5.157863247863248</v>
      </c>
      <c r="BP245" s="44">
        <f>AVERAGE(AZ245:BA245)</f>
        <v>6.4140096618357498</v>
      </c>
      <c r="BQ245" s="43">
        <f>BP245-BO245</f>
        <v>1.2561464139725018</v>
      </c>
      <c r="BR245" s="64">
        <f>IF(W245&gt;0.000001,W245*352,0)</f>
        <v>675.83999999999992</v>
      </c>
      <c r="BS245" s="64">
        <f>IF(AE245&gt;0.0001,AE245*682,0)</f>
        <v>0</v>
      </c>
      <c r="BT245" s="64">
        <f>AA245*795</f>
        <v>0</v>
      </c>
      <c r="BU245" s="64">
        <f>BR245+BS245+BT245</f>
        <v>675.83999999999992</v>
      </c>
      <c r="BV245" s="64">
        <f>IF(G245="YES",3.5*18.2,0)</f>
        <v>63.699999999999996</v>
      </c>
      <c r="BW245" s="64">
        <f>BU245-BV245</f>
        <v>612.13999999999987</v>
      </c>
    </row>
    <row r="246" spans="1:75" x14ac:dyDescent="0.15">
      <c r="A246" s="29" t="s">
        <v>789</v>
      </c>
      <c r="B246" s="29">
        <v>36</v>
      </c>
      <c r="C246" s="29" t="s">
        <v>1497</v>
      </c>
      <c r="D246" s="29" t="s">
        <v>1497</v>
      </c>
      <c r="E246" s="29" t="e">
        <f>VLOOKUP(D246,Harvest_2017_Formulae!$C$2:$D$968,2,FALSE)</f>
        <v>#N/A</v>
      </c>
      <c r="F246" s="29" t="s">
        <v>1014</v>
      </c>
      <c r="G246" s="61" t="s">
        <v>548</v>
      </c>
      <c r="H246" s="29" t="s">
        <v>568</v>
      </c>
      <c r="I246" s="29" t="s">
        <v>548</v>
      </c>
      <c r="J246" s="29" t="s">
        <v>546</v>
      </c>
      <c r="K246" s="29" t="s">
        <v>548</v>
      </c>
      <c r="L246" s="29" t="s">
        <v>2221</v>
      </c>
      <c r="M246" s="29" t="s">
        <v>548</v>
      </c>
      <c r="N246" s="29" t="s">
        <v>548</v>
      </c>
      <c r="O246" s="29" t="s">
        <v>550</v>
      </c>
      <c r="P246" s="29">
        <v>1.5</v>
      </c>
      <c r="Q246" s="29">
        <v>10.5</v>
      </c>
      <c r="R246" s="29">
        <v>0</v>
      </c>
      <c r="S246" s="29" t="s">
        <v>546</v>
      </c>
      <c r="T246" s="29">
        <v>1</v>
      </c>
      <c r="U246" s="29">
        <v>7</v>
      </c>
      <c r="V246" s="29" t="s">
        <v>551</v>
      </c>
      <c r="W246" s="30">
        <v>1.6800000000000002</v>
      </c>
      <c r="X246" s="29">
        <v>1</v>
      </c>
      <c r="Y246" s="29">
        <v>1</v>
      </c>
      <c r="Z246" s="29" t="s">
        <v>551</v>
      </c>
      <c r="AA246" s="62">
        <v>0.24</v>
      </c>
      <c r="AB246" s="29">
        <v>1</v>
      </c>
      <c r="AC246" s="29">
        <v>3</v>
      </c>
      <c r="AD246" s="29" t="s">
        <v>551</v>
      </c>
      <c r="AE246" s="62">
        <v>0.72</v>
      </c>
      <c r="AF246" s="29" t="s">
        <v>546</v>
      </c>
      <c r="AG246" s="29" t="s">
        <v>548</v>
      </c>
      <c r="AH246" s="29" t="s">
        <v>546</v>
      </c>
      <c r="AI246" s="29" t="s">
        <v>548</v>
      </c>
      <c r="AJ246" s="29" t="s">
        <v>546</v>
      </c>
      <c r="AK246" s="29">
        <v>2</v>
      </c>
      <c r="AL246" s="29">
        <v>5</v>
      </c>
      <c r="AM246" s="29" t="s">
        <v>1499</v>
      </c>
      <c r="AN246" s="29" t="s">
        <v>1500</v>
      </c>
      <c r="AO246" s="29">
        <v>-4.3025317192077637</v>
      </c>
      <c r="AP246" s="29">
        <v>35.634777069091797</v>
      </c>
      <c r="AQ246" s="29">
        <v>1425.4000244140625</v>
      </c>
      <c r="AR246" s="29">
        <v>15</v>
      </c>
      <c r="AS246" s="29">
        <v>1705231439</v>
      </c>
      <c r="AT246" s="29" t="s">
        <v>1501</v>
      </c>
      <c r="AU246" s="31">
        <v>42908.292662037042</v>
      </c>
      <c r="AV246" s="31">
        <v>42899.496157407411</v>
      </c>
      <c r="AW246" s="31">
        <v>42908.289502314816</v>
      </c>
      <c r="AX246" s="32">
        <v>42746</v>
      </c>
      <c r="BD246" s="29" t="s">
        <v>2175</v>
      </c>
      <c r="BE246" s="29">
        <v>14.098661422699999</v>
      </c>
      <c r="BF246" s="29" t="str">
        <f>IF(BE246&lt;0.5,"Depression",IF(BE246&lt;2,"Very gentle",IF(BE246&lt;5,"Gentle",IF(BE246&lt;9,"Moderate",IF(BE246&lt;15,"Strong",IF(BE246&lt;30,"Steep",IF(BE246&lt;1,"Very steep")))))))</f>
        <v>Strong</v>
      </c>
      <c r="BG246" s="29" t="s">
        <v>2176</v>
      </c>
      <c r="BH246" s="29">
        <v>-1.1783361434899999</v>
      </c>
      <c r="BI246" s="43">
        <v>6.5800104141200002</v>
      </c>
      <c r="BJ246" s="43"/>
      <c r="BK246" s="43"/>
      <c r="BL246" s="43"/>
      <c r="BM246" s="43"/>
      <c r="BN246" s="60"/>
      <c r="BO246" s="43"/>
      <c r="BP246" s="43"/>
      <c r="BQ246" s="43"/>
      <c r="BR246" s="64">
        <f>IF(W246&gt;0.000001,W246*352,0)</f>
        <v>591.36</v>
      </c>
      <c r="BS246" s="64">
        <f>IF(AE246&gt;0.0001,AE246*682,0)</f>
        <v>491.03999999999996</v>
      </c>
      <c r="BT246" s="64">
        <f>AA246*795</f>
        <v>190.79999999999998</v>
      </c>
      <c r="BU246" s="64">
        <f>BR246+BS246+BT246</f>
        <v>1273.2</v>
      </c>
      <c r="BV246" s="64">
        <f>IF(G246="YES",3.5*18.2,0)</f>
        <v>63.699999999999996</v>
      </c>
      <c r="BW246" s="64">
        <f>BU246-BV246</f>
        <v>1209.5</v>
      </c>
    </row>
    <row r="247" spans="1:75" s="57" customFormat="1" x14ac:dyDescent="0.15">
      <c r="A247" s="29" t="s">
        <v>556</v>
      </c>
      <c r="B247" s="29">
        <v>145</v>
      </c>
      <c r="C247" s="29" t="s">
        <v>323</v>
      </c>
      <c r="D247" s="29" t="s">
        <v>323</v>
      </c>
      <c r="E247" s="29" t="str">
        <f>VLOOKUP(D247,Harvest_2017_Formulae!$C$2:$D$968,2,FALSE)</f>
        <v>AYAMANGO</v>
      </c>
      <c r="F247" s="29" t="s">
        <v>196</v>
      </c>
      <c r="G247" s="61" t="s">
        <v>548</v>
      </c>
      <c r="H247" s="29" t="s">
        <v>568</v>
      </c>
      <c r="I247" s="29" t="s">
        <v>548</v>
      </c>
      <c r="J247" s="29" t="s">
        <v>546</v>
      </c>
      <c r="K247" s="29" t="s">
        <v>548</v>
      </c>
      <c r="L247" s="29" t="s">
        <v>2221</v>
      </c>
      <c r="M247" s="29" t="s">
        <v>548</v>
      </c>
      <c r="N247" s="29" t="s">
        <v>548</v>
      </c>
      <c r="O247" s="29" t="s">
        <v>550</v>
      </c>
      <c r="P247" s="29">
        <v>0.25</v>
      </c>
      <c r="Q247" s="29">
        <v>0.75</v>
      </c>
      <c r="R247" s="29"/>
      <c r="S247" s="29" t="s">
        <v>548</v>
      </c>
      <c r="T247" s="29">
        <v>1</v>
      </c>
      <c r="U247" s="29">
        <v>8</v>
      </c>
      <c r="V247" s="29" t="s">
        <v>551</v>
      </c>
      <c r="W247" s="30">
        <v>1.92</v>
      </c>
      <c r="X247" s="29"/>
      <c r="Y247" s="29">
        <v>999</v>
      </c>
      <c r="Z247" s="29" t="s">
        <v>551</v>
      </c>
      <c r="AA247" s="62"/>
      <c r="AB247" s="29">
        <v>999</v>
      </c>
      <c r="AC247" s="29">
        <v>999</v>
      </c>
      <c r="AD247" s="29" t="s">
        <v>551</v>
      </c>
      <c r="AE247" s="62"/>
      <c r="AF247" s="29" t="s">
        <v>546</v>
      </c>
      <c r="AG247" s="29" t="s">
        <v>546</v>
      </c>
      <c r="AH247" s="29" t="s">
        <v>546</v>
      </c>
      <c r="AI247" s="29" t="s">
        <v>546</v>
      </c>
      <c r="AJ247" s="29" t="s">
        <v>546</v>
      </c>
      <c r="AK247" s="29">
        <v>0</v>
      </c>
      <c r="AL247" s="29">
        <v>4</v>
      </c>
      <c r="AM247" s="29" t="s">
        <v>629</v>
      </c>
      <c r="AN247" s="29" t="s">
        <v>630</v>
      </c>
      <c r="AO247" s="29">
        <v>-4.2373714447021484</v>
      </c>
      <c r="AP247" s="29">
        <v>35.906875610351562</v>
      </c>
      <c r="AQ247" s="29">
        <v>1236.699951171875</v>
      </c>
      <c r="AR247" s="29">
        <v>5</v>
      </c>
      <c r="AS247" s="29">
        <v>1706031849</v>
      </c>
      <c r="AT247" s="29" t="s">
        <v>631</v>
      </c>
      <c r="AU247" s="31">
        <v>42909.495856481481</v>
      </c>
      <c r="AV247" s="31">
        <v>42908.558611111112</v>
      </c>
      <c r="AW247" s="31">
        <v>42908.567245370374</v>
      </c>
      <c r="AX247" s="32">
        <v>42786</v>
      </c>
      <c r="AY247" s="29"/>
      <c r="AZ247" s="44">
        <v>3.7526104417670694</v>
      </c>
      <c r="BA247" s="44">
        <v>3.7526104417670694</v>
      </c>
      <c r="BB247" s="44">
        <v>2.9098039215686273</v>
      </c>
      <c r="BC247" s="44">
        <v>6.0062745098039221</v>
      </c>
      <c r="BD247" s="29" t="s">
        <v>2171</v>
      </c>
      <c r="BE247" s="29">
        <v>2.7351534366600001</v>
      </c>
      <c r="BF247" s="29" t="str">
        <f>IF(BE247&lt;0.5,"Depression",IF(BE247&lt;2,"Very gentle",IF(BE247&lt;5,"Gentle",IF(BE247&lt;9,"Moderate",IF(BE247&lt;15,"Strong",IF(BE247&lt;30,"Steep",IF(BE247&lt;1,"Very steep")))))))</f>
        <v>Gentle</v>
      </c>
      <c r="BG247" s="29" t="s">
        <v>2172</v>
      </c>
      <c r="BH247" s="29">
        <v>-0.725126743317</v>
      </c>
      <c r="BI247" s="43">
        <v>8.2997674941999993</v>
      </c>
      <c r="BJ247" s="43">
        <f>VLOOKUP(D247,[1]SoilData!$G$15:$K$237,5,FALSE)</f>
        <v>232.87391247503351</v>
      </c>
      <c r="BK247" s="43">
        <f>VLOOKUP(D247,[1]SoilData!$G$245:$K$451,5,FALSE)</f>
        <v>334.00142634333417</v>
      </c>
      <c r="BL247" s="43">
        <f>VLOOKUP(D247,[1]SoilData!$G$15:$M$238,7,FALSE)</f>
        <v>1.627</v>
      </c>
      <c r="BM247" s="43">
        <f>VLOOKUP(D247,[1]SoilData!$G$245:$M$454,7,FALSE)</f>
        <v>2.2530000000000001</v>
      </c>
      <c r="BN247" s="60">
        <f>BL247-BM247</f>
        <v>-0.62600000000000011</v>
      </c>
      <c r="BO247" s="44">
        <f>AVERAGE(BB247:BC247)</f>
        <v>4.4580392156862745</v>
      </c>
      <c r="BP247" s="44">
        <f>AVERAGE(AZ247:BA247)</f>
        <v>3.7526104417670694</v>
      </c>
      <c r="BQ247" s="43">
        <f>BP247-BO247</f>
        <v>-0.70542877391920511</v>
      </c>
      <c r="BR247" s="64">
        <f>IF(W247&gt;0.000001,W247*352,0)</f>
        <v>675.83999999999992</v>
      </c>
      <c r="BS247" s="64">
        <f>IF(AE247&gt;0.0001,AE247*682,0)</f>
        <v>0</v>
      </c>
      <c r="BT247" s="64">
        <f>AA247*795</f>
        <v>0</v>
      </c>
      <c r="BU247" s="64">
        <f>BR247+BS247+BT247</f>
        <v>675.83999999999992</v>
      </c>
      <c r="BV247" s="64">
        <f>IF(G247="YES",3.5*18.2,0)</f>
        <v>63.699999999999996</v>
      </c>
      <c r="BW247" s="64">
        <f>BU247-BV247</f>
        <v>612.13999999999987</v>
      </c>
    </row>
  </sheetData>
  <pageMargins left="0.75" right="0.75" top="1" bottom="1" header="0.5" footer="0.5"/>
  <pageSetup orientation="portrait"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357"/>
  <sheetViews>
    <sheetView topLeftCell="A322" workbookViewId="0">
      <selection activeCell="L230" sqref="L230"/>
    </sheetView>
  </sheetViews>
  <sheetFormatPr baseColWidth="10" defaultColWidth="8.83203125" defaultRowHeight="15" x14ac:dyDescent="0.2"/>
  <cols>
    <col min="2" max="2" width="40.33203125" bestFit="1" customWidth="1"/>
  </cols>
  <sheetData>
    <row r="1" spans="1:12" x14ac:dyDescent="0.2">
      <c r="A1" t="s">
        <v>419</v>
      </c>
      <c r="B1" t="s">
        <v>435</v>
      </c>
      <c r="C1" t="s">
        <v>533</v>
      </c>
      <c r="D1" t="s">
        <v>534</v>
      </c>
      <c r="E1" t="s">
        <v>535</v>
      </c>
      <c r="F1" t="s">
        <v>1562</v>
      </c>
      <c r="G1" s="29" t="s">
        <v>2166</v>
      </c>
      <c r="H1" s="29" t="s">
        <v>2167</v>
      </c>
      <c r="I1" s="29" t="s">
        <v>2204</v>
      </c>
      <c r="J1" s="29" t="s">
        <v>2168</v>
      </c>
      <c r="K1" s="29" t="s">
        <v>2169</v>
      </c>
      <c r="L1" s="29" t="s">
        <v>2170</v>
      </c>
    </row>
    <row r="2" spans="1:12" x14ac:dyDescent="0.2">
      <c r="A2">
        <v>133</v>
      </c>
      <c r="B2" t="s">
        <v>414</v>
      </c>
      <c r="C2">
        <v>-4.2431855201721191</v>
      </c>
      <c r="D2">
        <v>35.889804840087891</v>
      </c>
      <c r="E2">
        <v>1231.699951171875</v>
      </c>
      <c r="F2">
        <v>2017</v>
      </c>
      <c r="G2" t="s">
        <v>2171</v>
      </c>
      <c r="H2">
        <v>2.15328860283</v>
      </c>
      <c r="I2" t="str">
        <f>IF(H2&lt;0.5,"Depression",IF(H2&lt;2,"very gentle",IF(H2&lt;5,"Gentle",IF(H2&lt;9,"Moderate",IF(H2&lt;15,"Strong",IF(H2&lt;30,"Steep",IF(H2&lt;1,"very steep")))))))</f>
        <v>Gentle</v>
      </c>
      <c r="J2" t="s">
        <v>2172</v>
      </c>
      <c r="K2">
        <v>-0.725126743317</v>
      </c>
      <c r="L2">
        <v>9.7927923202499993</v>
      </c>
    </row>
    <row r="3" spans="1:12" x14ac:dyDescent="0.2">
      <c r="A3">
        <v>139</v>
      </c>
      <c r="B3" t="s">
        <v>415</v>
      </c>
      <c r="C3">
        <v>-4.2229156494140625</v>
      </c>
      <c r="D3">
        <v>35.878105163574219</v>
      </c>
      <c r="E3">
        <v>1278.300048828125</v>
      </c>
      <c r="F3">
        <v>2017</v>
      </c>
      <c r="G3" t="s">
        <v>2171</v>
      </c>
      <c r="H3">
        <v>2.0308978557600001</v>
      </c>
      <c r="I3" t="str">
        <f t="shared" ref="I3:I66" si="0">IF(H3&lt;0.5,"Depression",IF(H3&lt;2,"very gentle",IF(H3&lt;5,"Gentle",IF(H3&lt;9,"Moderate",IF(H3&lt;15,"Strong",IF(H3&lt;30,"Steep",IF(H3&lt;1,"very steep")))))))</f>
        <v>Gentle</v>
      </c>
      <c r="J3" t="s">
        <v>2173</v>
      </c>
      <c r="K3">
        <v>-0.45320102572400001</v>
      </c>
      <c r="L3">
        <v>9.1417102813700009</v>
      </c>
    </row>
    <row r="4" spans="1:12" x14ac:dyDescent="0.2">
      <c r="A4">
        <v>118</v>
      </c>
      <c r="B4" t="s">
        <v>313</v>
      </c>
      <c r="C4">
        <v>-4.2385525703430176</v>
      </c>
      <c r="D4">
        <v>35.887550354003906</v>
      </c>
      <c r="E4">
        <v>1242.9000244140625</v>
      </c>
      <c r="F4">
        <v>2017</v>
      </c>
      <c r="G4" t="s">
        <v>2174</v>
      </c>
      <c r="H4">
        <v>9.2816181182899999</v>
      </c>
      <c r="I4" t="str">
        <f t="shared" si="0"/>
        <v>Strong</v>
      </c>
      <c r="J4" t="s">
        <v>2172</v>
      </c>
      <c r="K4">
        <v>-0.725126743317</v>
      </c>
      <c r="L4">
        <v>6.8796205520599996</v>
      </c>
    </row>
    <row r="5" spans="1:12" x14ac:dyDescent="0.2">
      <c r="A5">
        <v>233</v>
      </c>
      <c r="B5" t="s">
        <v>574</v>
      </c>
      <c r="C5">
        <v>-4.3398313522338867</v>
      </c>
      <c r="D5">
        <v>35.44287109375</v>
      </c>
      <c r="E5">
        <v>1590.5999755859375</v>
      </c>
      <c r="F5">
        <v>2017</v>
      </c>
      <c r="G5" t="s">
        <v>2171</v>
      </c>
      <c r="H5">
        <v>3.3609845638300002</v>
      </c>
      <c r="I5" t="str">
        <f t="shared" si="0"/>
        <v>Gentle</v>
      </c>
      <c r="J5" t="s">
        <v>2173</v>
      </c>
      <c r="K5">
        <v>-9.0633422136300004E-2</v>
      </c>
      <c r="L5">
        <v>9.3972558975199991</v>
      </c>
    </row>
    <row r="6" spans="1:12" x14ac:dyDescent="0.2">
      <c r="A6">
        <v>119</v>
      </c>
      <c r="B6" t="s">
        <v>579</v>
      </c>
      <c r="C6">
        <v>-4.2388768196105957</v>
      </c>
      <c r="D6">
        <v>35.887691497802734</v>
      </c>
      <c r="E6">
        <v>1216.199951171875</v>
      </c>
      <c r="F6">
        <v>2017</v>
      </c>
      <c r="G6" t="s">
        <v>2174</v>
      </c>
      <c r="H6">
        <v>9.2816181182899999</v>
      </c>
      <c r="I6" t="str">
        <f t="shared" si="0"/>
        <v>Strong</v>
      </c>
      <c r="J6" t="s">
        <v>2172</v>
      </c>
      <c r="K6">
        <v>-0.725126743317</v>
      </c>
      <c r="L6">
        <v>6.8796205520599996</v>
      </c>
    </row>
    <row r="7" spans="1:12" x14ac:dyDescent="0.2">
      <c r="A7">
        <v>142</v>
      </c>
      <c r="B7" t="s">
        <v>428</v>
      </c>
      <c r="C7">
        <v>-4.2444829940795898</v>
      </c>
      <c r="D7">
        <v>35.892040252685547</v>
      </c>
      <c r="E7">
        <v>1224.199951171875</v>
      </c>
      <c r="F7">
        <v>2017</v>
      </c>
      <c r="G7" t="s">
        <v>2171</v>
      </c>
      <c r="H7">
        <v>1.0756396055199999</v>
      </c>
      <c r="I7" t="str">
        <f t="shared" si="0"/>
        <v>very gentle</v>
      </c>
      <c r="J7" t="s">
        <v>2173</v>
      </c>
      <c r="K7">
        <v>-0.18127532303300001</v>
      </c>
      <c r="L7">
        <v>10.502039909400001</v>
      </c>
    </row>
    <row r="8" spans="1:12" x14ac:dyDescent="0.2">
      <c r="A8">
        <v>132</v>
      </c>
      <c r="B8" t="s">
        <v>588</v>
      </c>
      <c r="C8">
        <v>-4.2328548431396484</v>
      </c>
      <c r="D8">
        <v>35.877830505371094</v>
      </c>
      <c r="E8">
        <v>1275.9000244140625</v>
      </c>
      <c r="F8">
        <v>2017</v>
      </c>
      <c r="G8" t="s">
        <v>2171</v>
      </c>
      <c r="H8">
        <v>2.2400188445999998</v>
      </c>
      <c r="I8" t="str">
        <f t="shared" si="0"/>
        <v>Gentle</v>
      </c>
      <c r="J8" t="s">
        <v>2173</v>
      </c>
      <c r="K8">
        <v>0.18129228055499999</v>
      </c>
      <c r="L8">
        <v>8.0240240096999997</v>
      </c>
    </row>
    <row r="9" spans="1:12" x14ac:dyDescent="0.2">
      <c r="A9">
        <v>141</v>
      </c>
      <c r="B9" t="s">
        <v>592</v>
      </c>
      <c r="C9">
        <v>-4.2444863319396973</v>
      </c>
      <c r="D9">
        <v>35.892360687255859</v>
      </c>
      <c r="E9">
        <v>1236.800048828125</v>
      </c>
      <c r="F9">
        <v>2017</v>
      </c>
      <c r="G9" t="s">
        <v>2171</v>
      </c>
      <c r="H9">
        <v>0.92674517631499997</v>
      </c>
      <c r="I9" t="str">
        <f t="shared" si="0"/>
        <v>very gentle</v>
      </c>
      <c r="J9" t="s">
        <v>2173</v>
      </c>
      <c r="K9">
        <v>-0.45320102572400001</v>
      </c>
      <c r="L9">
        <v>11.6241054535</v>
      </c>
    </row>
    <row r="10" spans="1:12" x14ac:dyDescent="0.2">
      <c r="A10">
        <v>149</v>
      </c>
      <c r="B10" t="s">
        <v>316</v>
      </c>
      <c r="C10">
        <v>-4.2389602661132812</v>
      </c>
      <c r="D10">
        <v>35.907527923583984</v>
      </c>
      <c r="E10">
        <v>1229.199951171875</v>
      </c>
      <c r="F10">
        <v>2017</v>
      </c>
      <c r="G10" t="s">
        <v>2171</v>
      </c>
      <c r="H10">
        <v>2.5200860500300002</v>
      </c>
      <c r="I10" t="str">
        <f t="shared" si="0"/>
        <v>Gentle</v>
      </c>
      <c r="J10" t="s">
        <v>2173</v>
      </c>
      <c r="K10">
        <v>9.0650379657699995E-2</v>
      </c>
      <c r="L10">
        <v>8.7876567840599993</v>
      </c>
    </row>
    <row r="11" spans="1:12" x14ac:dyDescent="0.2">
      <c r="A11">
        <v>148</v>
      </c>
      <c r="B11" t="s">
        <v>317</v>
      </c>
      <c r="C11">
        <v>-4.2413992881774902</v>
      </c>
      <c r="D11">
        <v>35.917690277099609</v>
      </c>
      <c r="E11">
        <v>1233.800048828125</v>
      </c>
      <c r="F11">
        <v>2017</v>
      </c>
      <c r="G11" t="s">
        <v>2171</v>
      </c>
      <c r="H11">
        <v>0.54612094163900005</v>
      </c>
      <c r="I11" t="str">
        <f t="shared" si="0"/>
        <v>very gentle</v>
      </c>
      <c r="J11" t="s">
        <v>2173</v>
      </c>
      <c r="K11">
        <v>0.18129228055499999</v>
      </c>
      <c r="L11">
        <v>11.5399780273</v>
      </c>
    </row>
    <row r="12" spans="1:12" x14ac:dyDescent="0.2">
      <c r="A12">
        <v>143</v>
      </c>
      <c r="B12" t="s">
        <v>318</v>
      </c>
      <c r="C12">
        <v>-4.244534969329834</v>
      </c>
      <c r="D12">
        <v>35.891998291015625</v>
      </c>
      <c r="E12">
        <v>1224.9000244140625</v>
      </c>
      <c r="F12">
        <v>2017</v>
      </c>
      <c r="G12" t="s">
        <v>2171</v>
      </c>
      <c r="H12">
        <v>1.0756396055199999</v>
      </c>
      <c r="I12" t="str">
        <f t="shared" si="0"/>
        <v>very gentle</v>
      </c>
      <c r="J12" t="s">
        <v>2173</v>
      </c>
      <c r="K12">
        <v>-0.18127532303300001</v>
      </c>
      <c r="L12">
        <v>10.502039909400001</v>
      </c>
    </row>
    <row r="13" spans="1:12" x14ac:dyDescent="0.2">
      <c r="A13">
        <v>116</v>
      </c>
      <c r="B13" t="s">
        <v>606</v>
      </c>
      <c r="C13">
        <v>-4.2380671501159668</v>
      </c>
      <c r="D13">
        <v>35.888984680175781</v>
      </c>
      <c r="E13">
        <v>1197.300048828125</v>
      </c>
      <c r="F13">
        <v>2017</v>
      </c>
      <c r="G13" t="s">
        <v>2171</v>
      </c>
      <c r="H13">
        <v>1.6122988462400001</v>
      </c>
      <c r="I13" t="str">
        <f t="shared" si="0"/>
        <v>very gentle</v>
      </c>
      <c r="J13" t="s">
        <v>2173</v>
      </c>
      <c r="K13">
        <v>8.4776775111099995E-6</v>
      </c>
      <c r="L13">
        <v>9.8180866241500002</v>
      </c>
    </row>
    <row r="14" spans="1:12" x14ac:dyDescent="0.2">
      <c r="A14">
        <v>137</v>
      </c>
      <c r="B14" t="s">
        <v>319</v>
      </c>
      <c r="C14">
        <v>-4.2445802688598633</v>
      </c>
      <c r="D14">
        <v>35.888114929199219</v>
      </c>
      <c r="E14">
        <v>1230</v>
      </c>
      <c r="F14">
        <v>2017</v>
      </c>
      <c r="G14" t="s">
        <v>2175</v>
      </c>
      <c r="H14">
        <v>2.6646602153800001</v>
      </c>
      <c r="I14" t="str">
        <f t="shared" si="0"/>
        <v>Gentle</v>
      </c>
      <c r="J14" t="s">
        <v>2176</v>
      </c>
      <c r="K14">
        <v>-1.08769440651</v>
      </c>
      <c r="L14">
        <v>9.2721815109300003</v>
      </c>
    </row>
    <row r="15" spans="1:12" x14ac:dyDescent="0.2">
      <c r="A15">
        <v>138</v>
      </c>
      <c r="B15" t="s">
        <v>320</v>
      </c>
      <c r="C15">
        <v>-4.2297592163085938</v>
      </c>
      <c r="D15">
        <v>35.877033233642578</v>
      </c>
      <c r="E15">
        <v>1274.0999755859375</v>
      </c>
      <c r="F15">
        <v>2017</v>
      </c>
      <c r="G15" t="s">
        <v>2171</v>
      </c>
      <c r="H15">
        <v>2.5200860500300002</v>
      </c>
      <c r="I15" t="str">
        <f t="shared" si="0"/>
        <v>Gentle</v>
      </c>
      <c r="J15" t="s">
        <v>2173</v>
      </c>
      <c r="K15">
        <v>8.4776775111099995E-6</v>
      </c>
      <c r="L15">
        <v>9.1653385162400003</v>
      </c>
    </row>
    <row r="16" spans="1:12" x14ac:dyDescent="0.2">
      <c r="A16">
        <v>134</v>
      </c>
      <c r="B16" t="s">
        <v>321</v>
      </c>
      <c r="C16">
        <v>-4.2300820350646973</v>
      </c>
      <c r="D16">
        <v>35.874034881591797</v>
      </c>
      <c r="E16">
        <v>1280.800048828125</v>
      </c>
      <c r="F16">
        <v>2017</v>
      </c>
      <c r="G16" t="s">
        <v>2171</v>
      </c>
      <c r="H16">
        <v>2.8894991874699998</v>
      </c>
      <c r="I16" t="str">
        <f t="shared" si="0"/>
        <v>Gentle</v>
      </c>
      <c r="J16" t="s">
        <v>2173</v>
      </c>
      <c r="K16">
        <v>8.4776775111099995E-6</v>
      </c>
      <c r="L16">
        <v>8.6223344802900002</v>
      </c>
    </row>
    <row r="17" spans="1:12" x14ac:dyDescent="0.2">
      <c r="A17">
        <v>136</v>
      </c>
      <c r="B17" t="s">
        <v>624</v>
      </c>
      <c r="C17">
        <v>-4.2445392608642578</v>
      </c>
      <c r="D17">
        <v>35.887638092041016</v>
      </c>
      <c r="E17">
        <v>1231.199951171875</v>
      </c>
      <c r="F17">
        <v>2017</v>
      </c>
      <c r="G17" t="s">
        <v>2171</v>
      </c>
      <c r="H17">
        <v>2.25062417984</v>
      </c>
      <c r="I17" t="str">
        <f t="shared" si="0"/>
        <v>Gentle</v>
      </c>
      <c r="J17" t="s">
        <v>2177</v>
      </c>
      <c r="K17">
        <v>0.54385989904400001</v>
      </c>
      <c r="L17">
        <v>7.9989366531400004</v>
      </c>
    </row>
    <row r="18" spans="1:12" x14ac:dyDescent="0.2">
      <c r="A18">
        <v>145</v>
      </c>
      <c r="B18" t="s">
        <v>323</v>
      </c>
      <c r="C18">
        <v>-4.2373714447021484</v>
      </c>
      <c r="D18">
        <v>35.906875610351562</v>
      </c>
      <c r="E18">
        <v>1236.699951171875</v>
      </c>
      <c r="F18">
        <v>2017</v>
      </c>
      <c r="G18" t="s">
        <v>2171</v>
      </c>
      <c r="H18">
        <v>2.7351534366600001</v>
      </c>
      <c r="I18" t="str">
        <f t="shared" si="0"/>
        <v>Gentle</v>
      </c>
      <c r="J18" t="s">
        <v>2172</v>
      </c>
      <c r="K18">
        <v>-0.725126743317</v>
      </c>
      <c r="L18">
        <v>8.2997674941999993</v>
      </c>
    </row>
    <row r="19" spans="1:12" x14ac:dyDescent="0.2">
      <c r="A19">
        <v>144</v>
      </c>
      <c r="B19" t="s">
        <v>324</v>
      </c>
      <c r="C19">
        <v>-4.2444968223571777</v>
      </c>
      <c r="D19">
        <v>35.890701293945312</v>
      </c>
      <c r="E19">
        <v>1201.4000244140625</v>
      </c>
      <c r="F19">
        <v>2017</v>
      </c>
      <c r="G19" t="s">
        <v>2171</v>
      </c>
      <c r="H19">
        <v>0.93315756320999999</v>
      </c>
      <c r="I19" t="str">
        <f t="shared" si="0"/>
        <v>very gentle</v>
      </c>
      <c r="J19" t="s">
        <v>2173</v>
      </c>
      <c r="K19">
        <v>9.0650379657699995E-2</v>
      </c>
      <c r="L19">
        <v>10.5559015274</v>
      </c>
    </row>
    <row r="20" spans="1:12" x14ac:dyDescent="0.2">
      <c r="A20">
        <v>120</v>
      </c>
      <c r="B20" t="s">
        <v>325</v>
      </c>
      <c r="C20">
        <v>-4.2508773803710938</v>
      </c>
      <c r="D20">
        <v>35.8819580078125</v>
      </c>
      <c r="E20">
        <v>1289.4000244140625</v>
      </c>
      <c r="F20">
        <v>2017</v>
      </c>
      <c r="G20" t="s">
        <v>2171</v>
      </c>
      <c r="H20">
        <v>1.31504225731</v>
      </c>
      <c r="I20" t="str">
        <f t="shared" si="0"/>
        <v>very gentle</v>
      </c>
      <c r="J20" t="s">
        <v>2173</v>
      </c>
      <c r="K20">
        <v>9.0650379657699995E-2</v>
      </c>
      <c r="L20">
        <v>9.6666603088399992</v>
      </c>
    </row>
    <row r="21" spans="1:12" x14ac:dyDescent="0.2">
      <c r="A21">
        <v>135</v>
      </c>
      <c r="B21" t="s">
        <v>91</v>
      </c>
      <c r="C21">
        <v>-4.2432055473327637</v>
      </c>
      <c r="D21">
        <v>35.889610290527344</v>
      </c>
      <c r="E21">
        <v>1224.300048828125</v>
      </c>
      <c r="F21">
        <v>2017</v>
      </c>
      <c r="G21" t="s">
        <v>2171</v>
      </c>
      <c r="H21">
        <v>3.3183093070999998</v>
      </c>
      <c r="I21" t="str">
        <f t="shared" si="0"/>
        <v>Gentle</v>
      </c>
      <c r="J21" t="s">
        <v>2173</v>
      </c>
      <c r="K21">
        <v>0.18129228055499999</v>
      </c>
      <c r="L21">
        <v>8.6197080612200008</v>
      </c>
    </row>
    <row r="22" spans="1:12" x14ac:dyDescent="0.2">
      <c r="A22">
        <v>209</v>
      </c>
      <c r="B22" t="s">
        <v>91</v>
      </c>
      <c r="C22">
        <v>-4.2430806159973145</v>
      </c>
      <c r="D22">
        <v>35.890705108642578</v>
      </c>
      <c r="E22">
        <v>1231.699951171875</v>
      </c>
      <c r="F22">
        <v>2017</v>
      </c>
      <c r="G22" t="s">
        <v>2171</v>
      </c>
      <c r="H22">
        <v>3.3183093070999998</v>
      </c>
      <c r="I22" t="str">
        <f t="shared" si="0"/>
        <v>Gentle</v>
      </c>
      <c r="J22" t="s">
        <v>2173</v>
      </c>
      <c r="K22">
        <v>0.18129228055499999</v>
      </c>
      <c r="L22">
        <v>8.6197080612200008</v>
      </c>
    </row>
    <row r="23" spans="1:12" x14ac:dyDescent="0.2">
      <c r="A23">
        <v>164</v>
      </c>
      <c r="B23" t="s">
        <v>326</v>
      </c>
      <c r="C23">
        <v>-4.3194785118103027</v>
      </c>
      <c r="D23">
        <v>35.6044921875</v>
      </c>
      <c r="E23">
        <v>1588.4000244140625</v>
      </c>
      <c r="F23">
        <v>2017</v>
      </c>
      <c r="G23" t="s">
        <v>2174</v>
      </c>
      <c r="H23">
        <v>12.976887702899999</v>
      </c>
      <c r="I23" t="str">
        <f t="shared" si="0"/>
        <v>Strong</v>
      </c>
      <c r="J23" t="s">
        <v>2178</v>
      </c>
      <c r="K23">
        <v>-0.27191722393000001</v>
      </c>
      <c r="L23">
        <v>7.2643718719499999</v>
      </c>
    </row>
    <row r="24" spans="1:12" x14ac:dyDescent="0.2">
      <c r="A24">
        <v>166</v>
      </c>
      <c r="B24" t="s">
        <v>421</v>
      </c>
      <c r="C24">
        <v>-4.319150447845459</v>
      </c>
      <c r="D24">
        <v>35.604507446289062</v>
      </c>
      <c r="E24">
        <v>1590.5999755859375</v>
      </c>
      <c r="F24">
        <v>2017</v>
      </c>
      <c r="G24" t="s">
        <v>2174</v>
      </c>
      <c r="H24">
        <v>12.976887702899999</v>
      </c>
      <c r="I24" t="str">
        <f t="shared" si="0"/>
        <v>Strong</v>
      </c>
      <c r="J24" t="s">
        <v>2178</v>
      </c>
      <c r="K24">
        <v>-0.27191722393000001</v>
      </c>
      <c r="L24">
        <v>7.2643718719499999</v>
      </c>
    </row>
    <row r="25" spans="1:12" x14ac:dyDescent="0.2">
      <c r="A25">
        <v>182</v>
      </c>
      <c r="B25" t="s">
        <v>94</v>
      </c>
      <c r="C25">
        <v>-4.3583149909973145</v>
      </c>
      <c r="D25">
        <v>35.590850830078125</v>
      </c>
      <c r="E25">
        <v>1538.5999755859375</v>
      </c>
      <c r="F25">
        <v>2017</v>
      </c>
      <c r="G25" t="s">
        <v>2179</v>
      </c>
      <c r="H25">
        <v>2.7974951267199999</v>
      </c>
      <c r="I25" t="str">
        <f t="shared" si="0"/>
        <v>Gentle</v>
      </c>
      <c r="J25" t="s">
        <v>2172</v>
      </c>
      <c r="K25">
        <v>-0.725126743317</v>
      </c>
      <c r="L25">
        <v>10.1518363953</v>
      </c>
    </row>
    <row r="26" spans="1:12" x14ac:dyDescent="0.2">
      <c r="A26">
        <v>178</v>
      </c>
      <c r="B26" t="s">
        <v>656</v>
      </c>
      <c r="C26">
        <v>-4.3101954460144043</v>
      </c>
      <c r="D26">
        <v>35.596420288085938</v>
      </c>
      <c r="E26">
        <v>1636.4000244140625</v>
      </c>
      <c r="F26">
        <v>2017</v>
      </c>
      <c r="G26" t="s">
        <v>2180</v>
      </c>
      <c r="H26">
        <v>4.7960176467900002</v>
      </c>
      <c r="I26" t="str">
        <f t="shared" si="0"/>
        <v>Gentle</v>
      </c>
      <c r="J26" t="s">
        <v>2173</v>
      </c>
      <c r="K26">
        <v>0.18129228055499999</v>
      </c>
      <c r="L26">
        <v>7.3213319778399999</v>
      </c>
    </row>
    <row r="27" spans="1:12" x14ac:dyDescent="0.2">
      <c r="A27">
        <v>179</v>
      </c>
      <c r="B27" t="s">
        <v>660</v>
      </c>
      <c r="C27">
        <v>-4.310173511505127</v>
      </c>
      <c r="D27">
        <v>35.596302032470703</v>
      </c>
      <c r="E27">
        <v>1637.5</v>
      </c>
      <c r="F27">
        <v>2017</v>
      </c>
      <c r="G27" t="s">
        <v>2180</v>
      </c>
      <c r="H27">
        <v>4.7960176467900002</v>
      </c>
      <c r="I27" t="str">
        <f t="shared" si="0"/>
        <v>Gentle</v>
      </c>
      <c r="J27" t="s">
        <v>2173</v>
      </c>
      <c r="K27">
        <v>0.18129228055499999</v>
      </c>
      <c r="L27">
        <v>7.3213319778399999</v>
      </c>
    </row>
    <row r="28" spans="1:12" x14ac:dyDescent="0.2">
      <c r="A28">
        <v>165</v>
      </c>
      <c r="B28" t="s">
        <v>328</v>
      </c>
      <c r="C28">
        <v>-4.3192477226257324</v>
      </c>
      <c r="D28">
        <v>35.6043701171875</v>
      </c>
      <c r="E28">
        <v>1589.9000244140625</v>
      </c>
      <c r="F28">
        <v>2017</v>
      </c>
      <c r="G28" t="s">
        <v>2175</v>
      </c>
      <c r="H28">
        <v>12.7252845764</v>
      </c>
      <c r="I28" t="str">
        <f t="shared" si="0"/>
        <v>Strong</v>
      </c>
      <c r="J28" t="s">
        <v>2176</v>
      </c>
      <c r="K28">
        <v>-1.35961997509</v>
      </c>
      <c r="L28">
        <v>7.5343203544600001</v>
      </c>
    </row>
    <row r="29" spans="1:12" x14ac:dyDescent="0.2">
      <c r="A29">
        <v>177</v>
      </c>
      <c r="B29" t="s">
        <v>329</v>
      </c>
      <c r="C29">
        <v>-4.3098268508911133</v>
      </c>
      <c r="D29">
        <v>35.596477508544922</v>
      </c>
      <c r="E29">
        <v>1644.199951171875</v>
      </c>
      <c r="F29">
        <v>2017</v>
      </c>
      <c r="G29" t="s">
        <v>2181</v>
      </c>
      <c r="H29">
        <v>2.5552546978000001</v>
      </c>
      <c r="I29" t="str">
        <f t="shared" si="0"/>
        <v>Gentle</v>
      </c>
      <c r="J29" t="s">
        <v>2182</v>
      </c>
      <c r="K29">
        <v>1.35963702202</v>
      </c>
      <c r="L29">
        <v>7.52337741852</v>
      </c>
    </row>
    <row r="30" spans="1:12" x14ac:dyDescent="0.2">
      <c r="A30">
        <v>183</v>
      </c>
      <c r="B30" t="s">
        <v>330</v>
      </c>
      <c r="C30">
        <v>-4.3584175109863281</v>
      </c>
      <c r="D30">
        <v>35.589954376220703</v>
      </c>
      <c r="E30">
        <v>1514.5999755859375</v>
      </c>
      <c r="F30">
        <v>2017</v>
      </c>
      <c r="G30" t="s">
        <v>2179</v>
      </c>
      <c r="H30">
        <v>0.10922735929500001</v>
      </c>
      <c r="I30" t="str">
        <f t="shared" si="0"/>
        <v>Depression</v>
      </c>
      <c r="J30" t="s">
        <v>2173</v>
      </c>
      <c r="K30">
        <v>8.4776775111099995E-6</v>
      </c>
      <c r="L30">
        <v>12.6122112274</v>
      </c>
    </row>
    <row r="31" spans="1:12" x14ac:dyDescent="0.2">
      <c r="A31">
        <v>174</v>
      </c>
      <c r="B31" t="s">
        <v>331</v>
      </c>
      <c r="C31">
        <v>-4.3184409141540527</v>
      </c>
      <c r="D31">
        <v>35.595367431640625</v>
      </c>
      <c r="E31">
        <v>1528.4000244140625</v>
      </c>
      <c r="F31">
        <v>2017</v>
      </c>
      <c r="G31" t="s">
        <v>2171</v>
      </c>
      <c r="H31">
        <v>2.1943719387099998</v>
      </c>
      <c r="I31" t="str">
        <f t="shared" si="0"/>
        <v>Gentle</v>
      </c>
      <c r="J31" t="s">
        <v>2172</v>
      </c>
      <c r="K31">
        <v>-0.54384291171999999</v>
      </c>
      <c r="L31">
        <v>10.636289596599999</v>
      </c>
    </row>
    <row r="32" spans="1:12" x14ac:dyDescent="0.2">
      <c r="A32">
        <v>173</v>
      </c>
      <c r="B32" t="s">
        <v>676</v>
      </c>
      <c r="C32">
        <v>-4.3187379837036133</v>
      </c>
      <c r="D32">
        <v>35.596546173095703</v>
      </c>
      <c r="E32">
        <v>1526.4000244140625</v>
      </c>
      <c r="F32">
        <v>2017</v>
      </c>
      <c r="G32" t="s">
        <v>2179</v>
      </c>
      <c r="H32">
        <v>1.52882194519</v>
      </c>
      <c r="I32" t="str">
        <f t="shared" si="0"/>
        <v>very gentle</v>
      </c>
      <c r="J32" t="s">
        <v>2173</v>
      </c>
      <c r="K32">
        <v>0.27193418145199999</v>
      </c>
      <c r="L32">
        <v>10.7503194809</v>
      </c>
    </row>
    <row r="33" spans="1:12" x14ac:dyDescent="0.2">
      <c r="A33">
        <v>210</v>
      </c>
      <c r="B33" t="s">
        <v>680</v>
      </c>
      <c r="C33">
        <v>-4.310267448425293</v>
      </c>
      <c r="D33">
        <v>35.595977783203125</v>
      </c>
      <c r="E33">
        <v>1642.5999755859375</v>
      </c>
      <c r="F33">
        <v>2017</v>
      </c>
      <c r="G33" t="s">
        <v>2180</v>
      </c>
      <c r="H33">
        <v>5.0538773536699999</v>
      </c>
      <c r="I33" t="str">
        <f t="shared" si="0"/>
        <v>Moderate</v>
      </c>
      <c r="J33" t="s">
        <v>2178</v>
      </c>
      <c r="K33">
        <v>0.18129228055499999</v>
      </c>
      <c r="L33">
        <v>7.6397376060499997</v>
      </c>
    </row>
    <row r="34" spans="1:12" x14ac:dyDescent="0.2">
      <c r="A34">
        <v>175</v>
      </c>
      <c r="B34" t="s">
        <v>333</v>
      </c>
      <c r="C34">
        <v>-4.3097758293151855</v>
      </c>
      <c r="D34">
        <v>35.596157073974609</v>
      </c>
      <c r="E34">
        <v>1632.5</v>
      </c>
      <c r="F34">
        <v>2017</v>
      </c>
      <c r="G34" t="s">
        <v>2181</v>
      </c>
      <c r="H34">
        <v>2.5552546978000001</v>
      </c>
      <c r="I34" t="str">
        <f t="shared" si="0"/>
        <v>Gentle</v>
      </c>
      <c r="J34" t="s">
        <v>2182</v>
      </c>
      <c r="K34">
        <v>1.35963702202</v>
      </c>
      <c r="L34">
        <v>7.52337741852</v>
      </c>
    </row>
    <row r="35" spans="1:12" x14ac:dyDescent="0.2">
      <c r="A35">
        <v>184</v>
      </c>
      <c r="B35" t="s">
        <v>687</v>
      </c>
      <c r="C35">
        <v>-4.3478708267211914</v>
      </c>
      <c r="D35">
        <v>35.596324920654297</v>
      </c>
      <c r="E35">
        <v>1521.0999755859375</v>
      </c>
      <c r="F35">
        <v>2017</v>
      </c>
      <c r="G35" t="s">
        <v>2179</v>
      </c>
      <c r="H35">
        <v>3.5332040786699999</v>
      </c>
      <c r="I35" t="str">
        <f t="shared" si="0"/>
        <v>Gentle</v>
      </c>
      <c r="J35" t="s">
        <v>2173</v>
      </c>
      <c r="K35">
        <v>0.27193418145199999</v>
      </c>
      <c r="L35">
        <v>9.6542224884000003</v>
      </c>
    </row>
    <row r="36" spans="1:12" x14ac:dyDescent="0.2">
      <c r="A36">
        <v>163</v>
      </c>
      <c r="B36" t="s">
        <v>691</v>
      </c>
      <c r="C36">
        <v>-4.3193278312683105</v>
      </c>
      <c r="D36">
        <v>35.604427337646484</v>
      </c>
      <c r="E36">
        <v>1582.5999755859375</v>
      </c>
      <c r="F36">
        <v>2017</v>
      </c>
      <c r="G36" t="s">
        <v>2175</v>
      </c>
      <c r="H36">
        <v>12.7252845764</v>
      </c>
      <c r="I36" t="str">
        <f t="shared" si="0"/>
        <v>Strong</v>
      </c>
      <c r="J36" t="s">
        <v>2176</v>
      </c>
      <c r="K36">
        <v>-1.35961997509</v>
      </c>
      <c r="L36">
        <v>7.5343203544600001</v>
      </c>
    </row>
    <row r="37" spans="1:12" x14ac:dyDescent="0.2">
      <c r="A37">
        <v>172</v>
      </c>
      <c r="B37" t="s">
        <v>335</v>
      </c>
      <c r="C37">
        <v>-4.3725309371948242</v>
      </c>
      <c r="D37">
        <v>35.595748901367188</v>
      </c>
      <c r="E37">
        <v>1536.5999755859375</v>
      </c>
      <c r="F37">
        <v>2017</v>
      </c>
      <c r="G37" t="s">
        <v>2171</v>
      </c>
      <c r="H37">
        <v>1.85621762276</v>
      </c>
      <c r="I37" t="str">
        <f t="shared" si="0"/>
        <v>very gentle</v>
      </c>
      <c r="J37" t="s">
        <v>2172</v>
      </c>
      <c r="K37">
        <v>-0.54384291171999999</v>
      </c>
      <c r="L37">
        <v>12.278872489899999</v>
      </c>
    </row>
    <row r="38" spans="1:12" x14ac:dyDescent="0.2">
      <c r="A38">
        <v>180</v>
      </c>
      <c r="B38" t="s">
        <v>698</v>
      </c>
      <c r="C38">
        <v>-4.3102412223815918</v>
      </c>
      <c r="D38">
        <v>35.59613037109375</v>
      </c>
      <c r="E38">
        <v>1639.5</v>
      </c>
      <c r="F38">
        <v>2017</v>
      </c>
      <c r="G38" t="s">
        <v>2180</v>
      </c>
      <c r="H38">
        <v>4.7960176467900002</v>
      </c>
      <c r="I38" t="str">
        <f t="shared" si="0"/>
        <v>Gentle</v>
      </c>
      <c r="J38" t="s">
        <v>2173</v>
      </c>
      <c r="K38">
        <v>0.18129228055499999</v>
      </c>
      <c r="L38">
        <v>7.3213319778399999</v>
      </c>
    </row>
    <row r="39" spans="1:12" x14ac:dyDescent="0.2">
      <c r="A39">
        <v>171</v>
      </c>
      <c r="B39" t="s">
        <v>337</v>
      </c>
      <c r="C39">
        <v>-4.3727331161499023</v>
      </c>
      <c r="D39">
        <v>35.595802307128906</v>
      </c>
      <c r="E39">
        <v>1517.9000244140625</v>
      </c>
      <c r="F39">
        <v>2017</v>
      </c>
      <c r="G39" t="s">
        <v>2171</v>
      </c>
      <c r="H39">
        <v>1.85621762276</v>
      </c>
      <c r="I39" t="str">
        <f t="shared" si="0"/>
        <v>very gentle</v>
      </c>
      <c r="J39" t="s">
        <v>2172</v>
      </c>
      <c r="K39">
        <v>-0.54384291171999999</v>
      </c>
      <c r="L39">
        <v>12.278872489899999</v>
      </c>
    </row>
    <row r="40" spans="1:12" x14ac:dyDescent="0.2">
      <c r="A40">
        <v>185</v>
      </c>
      <c r="B40" t="s">
        <v>110</v>
      </c>
      <c r="C40">
        <v>-4.3386101722717285</v>
      </c>
      <c r="D40">
        <v>35.597995758056641</v>
      </c>
      <c r="E40">
        <v>1525.4000244140625</v>
      </c>
      <c r="F40">
        <v>2017</v>
      </c>
      <c r="G40" t="s">
        <v>2171</v>
      </c>
      <c r="H40">
        <v>4.2950010299699999</v>
      </c>
      <c r="I40" t="str">
        <f t="shared" si="0"/>
        <v>Gentle</v>
      </c>
      <c r="J40" t="s">
        <v>2173</v>
      </c>
      <c r="K40">
        <v>-0.362559139729</v>
      </c>
      <c r="L40">
        <v>9.4648399353000006</v>
      </c>
    </row>
    <row r="41" spans="1:12" x14ac:dyDescent="0.2">
      <c r="A41">
        <v>167</v>
      </c>
      <c r="B41" t="s">
        <v>708</v>
      </c>
      <c r="C41">
        <v>-4.318840503692627</v>
      </c>
      <c r="D41">
        <v>35.602306365966797</v>
      </c>
      <c r="E41">
        <v>1577.300048828125</v>
      </c>
      <c r="F41">
        <v>2017</v>
      </c>
      <c r="G41" t="s">
        <v>2179</v>
      </c>
      <c r="H41">
        <v>6.5252904891999997</v>
      </c>
      <c r="I41" t="str">
        <f t="shared" si="0"/>
        <v>Moderate</v>
      </c>
      <c r="J41" t="s">
        <v>2172</v>
      </c>
      <c r="K41">
        <v>-0.54384291171999999</v>
      </c>
      <c r="L41">
        <v>8.6506910324100001</v>
      </c>
    </row>
    <row r="42" spans="1:12" x14ac:dyDescent="0.2">
      <c r="A42">
        <v>170</v>
      </c>
      <c r="B42" t="s">
        <v>338</v>
      </c>
      <c r="C42">
        <v>-4.3720178604125977</v>
      </c>
      <c r="D42">
        <v>35.598808288574219</v>
      </c>
      <c r="E42">
        <v>1543.800048828125</v>
      </c>
      <c r="F42">
        <v>2017</v>
      </c>
      <c r="G42" t="s">
        <v>2171</v>
      </c>
      <c r="H42">
        <v>1.6524535417599999</v>
      </c>
      <c r="I42" t="str">
        <f t="shared" si="0"/>
        <v>very gentle</v>
      </c>
      <c r="J42" t="s">
        <v>2173</v>
      </c>
      <c r="K42">
        <v>9.0650379657699995E-2</v>
      </c>
      <c r="L42">
        <v>12.8858118057</v>
      </c>
    </row>
    <row r="43" spans="1:12" x14ac:dyDescent="0.2">
      <c r="A43">
        <v>162</v>
      </c>
      <c r="B43" t="s">
        <v>112</v>
      </c>
      <c r="C43">
        <v>-4.3193373680114746</v>
      </c>
      <c r="D43">
        <v>35.602512359619141</v>
      </c>
      <c r="E43">
        <v>1566.0999755859375</v>
      </c>
      <c r="F43">
        <v>2017</v>
      </c>
      <c r="G43" t="s">
        <v>2174</v>
      </c>
      <c r="H43">
        <v>9.2199697494499997</v>
      </c>
      <c r="I43" t="str">
        <f t="shared" si="0"/>
        <v>Strong</v>
      </c>
      <c r="J43" t="s">
        <v>2178</v>
      </c>
      <c r="K43">
        <v>-0.27191722393000001</v>
      </c>
      <c r="L43">
        <v>8.0099620819100004</v>
      </c>
    </row>
    <row r="44" spans="1:12" x14ac:dyDescent="0.2">
      <c r="A44">
        <v>181</v>
      </c>
      <c r="B44" t="s">
        <v>339</v>
      </c>
      <c r="C44">
        <v>-4.3116297721862793</v>
      </c>
      <c r="D44">
        <v>35.589282989501953</v>
      </c>
      <c r="E44">
        <v>1543.4000244140625</v>
      </c>
      <c r="F44">
        <v>2017</v>
      </c>
      <c r="G44" t="s">
        <v>2171</v>
      </c>
      <c r="H44">
        <v>4.2950010299699999</v>
      </c>
      <c r="I44" t="str">
        <f t="shared" si="0"/>
        <v>Gentle</v>
      </c>
      <c r="J44" t="s">
        <v>2177</v>
      </c>
      <c r="K44">
        <v>0.63450175523800001</v>
      </c>
      <c r="L44">
        <v>8.7873973846400002</v>
      </c>
    </row>
    <row r="45" spans="1:12" x14ac:dyDescent="0.2">
      <c r="A45">
        <v>161</v>
      </c>
      <c r="B45" t="s">
        <v>114</v>
      </c>
      <c r="C45">
        <v>-4.3182868957519531</v>
      </c>
      <c r="D45">
        <v>35.600315093994141</v>
      </c>
      <c r="E45">
        <v>1546.699951171875</v>
      </c>
      <c r="F45">
        <v>2017</v>
      </c>
      <c r="G45" t="s">
        <v>2179</v>
      </c>
      <c r="H45">
        <v>3.8651583194699999</v>
      </c>
      <c r="I45" t="str">
        <f t="shared" si="0"/>
        <v>Gentle</v>
      </c>
      <c r="J45" t="s">
        <v>2173</v>
      </c>
      <c r="K45">
        <v>-9.0633422136300004E-2</v>
      </c>
      <c r="L45">
        <v>9.7114906311000002</v>
      </c>
    </row>
    <row r="46" spans="1:12" x14ac:dyDescent="0.2">
      <c r="A46">
        <v>169</v>
      </c>
      <c r="B46" t="s">
        <v>340</v>
      </c>
      <c r="C46">
        <v>-4.3723134994506836</v>
      </c>
      <c r="D46">
        <v>35.598838806152344</v>
      </c>
      <c r="E46">
        <v>1537.699951171875</v>
      </c>
      <c r="F46">
        <v>2017</v>
      </c>
      <c r="G46" t="s">
        <v>2171</v>
      </c>
      <c r="H46">
        <v>2.6241705417599999</v>
      </c>
      <c r="I46" t="str">
        <f t="shared" si="0"/>
        <v>Gentle</v>
      </c>
      <c r="J46" t="s">
        <v>2172</v>
      </c>
      <c r="K46">
        <v>-0.54384291171999999</v>
      </c>
      <c r="L46">
        <v>12.4529352188</v>
      </c>
    </row>
    <row r="47" spans="1:12" x14ac:dyDescent="0.2">
      <c r="A47">
        <v>168</v>
      </c>
      <c r="B47" t="s">
        <v>116</v>
      </c>
      <c r="C47">
        <v>-4.3188738822937012</v>
      </c>
      <c r="D47">
        <v>35.602344512939453</v>
      </c>
      <c r="E47">
        <v>1566.699951171875</v>
      </c>
      <c r="F47">
        <v>2017</v>
      </c>
      <c r="G47" t="s">
        <v>2179</v>
      </c>
      <c r="H47">
        <v>6.5252904891999997</v>
      </c>
      <c r="I47" t="str">
        <f t="shared" si="0"/>
        <v>Moderate</v>
      </c>
      <c r="J47" t="s">
        <v>2172</v>
      </c>
      <c r="K47">
        <v>-0.54384291171999999</v>
      </c>
      <c r="L47">
        <v>8.6506910324100001</v>
      </c>
    </row>
    <row r="48" spans="1:12" x14ac:dyDescent="0.2">
      <c r="A48">
        <v>224</v>
      </c>
      <c r="B48" t="s">
        <v>731</v>
      </c>
      <c r="C48">
        <v>-4.3510293960571289</v>
      </c>
      <c r="D48">
        <v>35.656917572021484</v>
      </c>
      <c r="E48">
        <v>1612.300048828125</v>
      </c>
      <c r="F48">
        <v>2017</v>
      </c>
      <c r="G48" t="s">
        <v>2174</v>
      </c>
      <c r="H48">
        <v>9.2043313980099999</v>
      </c>
      <c r="I48" t="str">
        <f t="shared" si="0"/>
        <v>Strong</v>
      </c>
      <c r="J48" t="s">
        <v>2177</v>
      </c>
      <c r="K48">
        <v>0.54385989904400001</v>
      </c>
      <c r="L48">
        <v>7.2545471191399997</v>
      </c>
    </row>
    <row r="49" spans="1:12" x14ac:dyDescent="0.2">
      <c r="A49">
        <v>228</v>
      </c>
      <c r="B49" t="s">
        <v>119</v>
      </c>
      <c r="C49">
        <v>-4.3860979080200195</v>
      </c>
      <c r="D49">
        <v>35.655014038085938</v>
      </c>
      <c r="E49">
        <v>1659.4000244140625</v>
      </c>
      <c r="F49">
        <v>2017</v>
      </c>
      <c r="G49" t="s">
        <v>2180</v>
      </c>
      <c r="H49">
        <v>8.3536539077800001</v>
      </c>
      <c r="I49" t="str">
        <f t="shared" si="0"/>
        <v>Moderate</v>
      </c>
      <c r="J49" t="s">
        <v>2178</v>
      </c>
      <c r="K49">
        <v>-9.0633422136300004E-2</v>
      </c>
      <c r="L49">
        <v>7.43101072311</v>
      </c>
    </row>
    <row r="50" spans="1:12" x14ac:dyDescent="0.2">
      <c r="A50">
        <v>213</v>
      </c>
      <c r="B50" t="s">
        <v>341</v>
      </c>
      <c r="C50">
        <v>-4.3540863990783691</v>
      </c>
      <c r="D50">
        <v>35.648262023925781</v>
      </c>
      <c r="E50">
        <v>1601.300048828125</v>
      </c>
      <c r="F50">
        <v>2017</v>
      </c>
      <c r="G50" t="s">
        <v>2174</v>
      </c>
      <c r="H50">
        <v>6.2356286048899996</v>
      </c>
      <c r="I50" t="str">
        <f t="shared" si="0"/>
        <v>Moderate</v>
      </c>
      <c r="J50" t="s">
        <v>2178</v>
      </c>
      <c r="K50">
        <v>-9.0633422136300004E-2</v>
      </c>
      <c r="L50">
        <v>7.4885134697</v>
      </c>
    </row>
    <row r="51" spans="1:12" x14ac:dyDescent="0.2">
      <c r="A51">
        <v>196</v>
      </c>
      <c r="B51" t="s">
        <v>121</v>
      </c>
      <c r="C51">
        <v>-4.3547811508178711</v>
      </c>
      <c r="D51">
        <v>35.648090362548828</v>
      </c>
      <c r="E51">
        <v>1588.5</v>
      </c>
      <c r="F51">
        <v>2017</v>
      </c>
      <c r="G51" t="s">
        <v>2183</v>
      </c>
      <c r="H51">
        <v>4.7364945411699999</v>
      </c>
      <c r="I51" t="str">
        <f t="shared" si="0"/>
        <v>Gentle</v>
      </c>
      <c r="J51" t="s">
        <v>2182</v>
      </c>
      <c r="K51">
        <v>1.26899504662</v>
      </c>
      <c r="L51">
        <v>7.4302625656099996</v>
      </c>
    </row>
    <row r="52" spans="1:12" x14ac:dyDescent="0.2">
      <c r="A52">
        <v>211</v>
      </c>
      <c r="B52" t="s">
        <v>342</v>
      </c>
      <c r="C52">
        <v>-4.3565845489501953</v>
      </c>
      <c r="D52">
        <v>35.647743225097656</v>
      </c>
      <c r="E52">
        <v>1576.4000244140625</v>
      </c>
      <c r="F52">
        <v>2017</v>
      </c>
      <c r="G52" t="s">
        <v>2171</v>
      </c>
      <c r="H52">
        <v>3.7037451267199999</v>
      </c>
      <c r="I52" t="str">
        <f t="shared" si="0"/>
        <v>Gentle</v>
      </c>
      <c r="J52" t="s">
        <v>2173</v>
      </c>
      <c r="K52">
        <v>-0.18127532303300001</v>
      </c>
      <c r="L52">
        <v>9.8761577606199999</v>
      </c>
    </row>
    <row r="53" spans="1:12" x14ac:dyDescent="0.2">
      <c r="A53">
        <v>227</v>
      </c>
      <c r="B53" t="s">
        <v>123</v>
      </c>
      <c r="C53">
        <v>-4.3532028198242188</v>
      </c>
      <c r="D53">
        <v>35.6519775390625</v>
      </c>
      <c r="E53">
        <v>1571.5</v>
      </c>
      <c r="F53">
        <v>2017</v>
      </c>
      <c r="G53" t="s">
        <v>2179</v>
      </c>
      <c r="H53">
        <v>3.2550628185299999</v>
      </c>
      <c r="I53" t="str">
        <f t="shared" si="0"/>
        <v>Gentle</v>
      </c>
      <c r="J53" t="s">
        <v>2173</v>
      </c>
      <c r="K53">
        <v>0.27193418145199999</v>
      </c>
      <c r="L53">
        <v>9.8630743026700003</v>
      </c>
    </row>
    <row r="54" spans="1:12" x14ac:dyDescent="0.2">
      <c r="A54">
        <v>229</v>
      </c>
      <c r="B54" t="s">
        <v>752</v>
      </c>
      <c r="C54">
        <v>-4.3854074478149414</v>
      </c>
      <c r="D54">
        <v>35.653667449951172</v>
      </c>
      <c r="E54">
        <v>1661</v>
      </c>
      <c r="F54">
        <v>2017</v>
      </c>
      <c r="G54" t="s">
        <v>2174</v>
      </c>
      <c r="H54">
        <v>6.4429926872300003</v>
      </c>
      <c r="I54" t="str">
        <f t="shared" si="0"/>
        <v>Moderate</v>
      </c>
      <c r="J54" t="s">
        <v>2177</v>
      </c>
      <c r="K54">
        <v>0.99706941842999997</v>
      </c>
      <c r="L54">
        <v>7.3048858642600001</v>
      </c>
    </row>
    <row r="55" spans="1:12" x14ac:dyDescent="0.2">
      <c r="A55">
        <v>226</v>
      </c>
      <c r="B55" t="s">
        <v>756</v>
      </c>
      <c r="C55">
        <v>-4.3485698699951172</v>
      </c>
      <c r="D55">
        <v>35.658477783203125</v>
      </c>
      <c r="E55">
        <v>1633.4000244140625</v>
      </c>
      <c r="F55">
        <v>2017</v>
      </c>
      <c r="G55" t="s">
        <v>2180</v>
      </c>
      <c r="H55">
        <v>11.3292856216</v>
      </c>
      <c r="I55" t="str">
        <f t="shared" si="0"/>
        <v>Strong</v>
      </c>
      <c r="J55" t="s">
        <v>2178</v>
      </c>
      <c r="K55">
        <v>9.0650379657699995E-2</v>
      </c>
      <c r="L55">
        <v>6.8279480934099999</v>
      </c>
    </row>
    <row r="56" spans="1:12" x14ac:dyDescent="0.2">
      <c r="A56">
        <v>225</v>
      </c>
      <c r="B56" t="s">
        <v>760</v>
      </c>
      <c r="C56">
        <v>-4.3530073165893555</v>
      </c>
      <c r="D56">
        <v>35.664936065673828</v>
      </c>
      <c r="E56">
        <v>1588.9000244140625</v>
      </c>
      <c r="F56">
        <v>2017</v>
      </c>
      <c r="G56" t="s">
        <v>2174</v>
      </c>
      <c r="H56">
        <v>7.41308259964</v>
      </c>
      <c r="I56" t="str">
        <f t="shared" si="0"/>
        <v>Moderate</v>
      </c>
      <c r="J56" t="s">
        <v>2178</v>
      </c>
      <c r="K56">
        <v>0.45321798324599999</v>
      </c>
      <c r="L56">
        <v>7.4754891395599996</v>
      </c>
    </row>
    <row r="57" spans="1:12" x14ac:dyDescent="0.2">
      <c r="A57">
        <v>234</v>
      </c>
      <c r="B57" t="s">
        <v>573</v>
      </c>
      <c r="C57">
        <v>-4.2783560752868652</v>
      </c>
      <c r="D57">
        <v>35.890415191650391</v>
      </c>
      <c r="E57">
        <v>1226.0999755859375</v>
      </c>
      <c r="F57">
        <v>2017</v>
      </c>
      <c r="G57" t="s">
        <v>2171</v>
      </c>
      <c r="H57">
        <v>0.900638759136</v>
      </c>
      <c r="I57" t="str">
        <f t="shared" si="0"/>
        <v>very gentle</v>
      </c>
      <c r="J57" t="s">
        <v>2173</v>
      </c>
      <c r="K57">
        <v>0.18129228055499999</v>
      </c>
      <c r="L57">
        <v>8.7377004623399994</v>
      </c>
    </row>
    <row r="58" spans="1:12" x14ac:dyDescent="0.2">
      <c r="A58">
        <v>237</v>
      </c>
      <c r="B58" t="s">
        <v>573</v>
      </c>
      <c r="C58">
        <v>-4.3494272232055664</v>
      </c>
      <c r="D58">
        <v>35.646892547607422</v>
      </c>
      <c r="E58">
        <v>1614.4000244140625</v>
      </c>
      <c r="F58">
        <v>2017</v>
      </c>
      <c r="G58" t="s">
        <v>2171</v>
      </c>
      <c r="H58">
        <v>0.900638759136</v>
      </c>
      <c r="I58" t="str">
        <f t="shared" si="0"/>
        <v>very gentle</v>
      </c>
      <c r="J58" t="s">
        <v>2173</v>
      </c>
      <c r="K58">
        <v>0.18129228055499999</v>
      </c>
      <c r="L58">
        <v>8.7377004623399994</v>
      </c>
    </row>
    <row r="59" spans="1:12" x14ac:dyDescent="0.2">
      <c r="A59">
        <v>235</v>
      </c>
      <c r="B59" t="s">
        <v>573</v>
      </c>
      <c r="C59">
        <v>-4.3537940979003906</v>
      </c>
      <c r="D59">
        <v>35.646560668945312</v>
      </c>
      <c r="E59">
        <v>1611.9000244140625</v>
      </c>
      <c r="F59">
        <v>2017</v>
      </c>
      <c r="G59" t="s">
        <v>2171</v>
      </c>
      <c r="H59">
        <v>0.900638759136</v>
      </c>
      <c r="I59" t="str">
        <f t="shared" si="0"/>
        <v>very gentle</v>
      </c>
      <c r="J59" t="s">
        <v>2173</v>
      </c>
      <c r="K59">
        <v>0.18129228055499999</v>
      </c>
      <c r="L59">
        <v>8.7377004623399994</v>
      </c>
    </row>
    <row r="60" spans="1:12" x14ac:dyDescent="0.2">
      <c r="A60">
        <v>214</v>
      </c>
      <c r="B60" t="s">
        <v>344</v>
      </c>
      <c r="C60">
        <v>-4.3520464897155762</v>
      </c>
      <c r="D60">
        <v>35.650688171386719</v>
      </c>
      <c r="E60">
        <v>1591.699951171875</v>
      </c>
      <c r="F60">
        <v>2017</v>
      </c>
      <c r="G60" t="s">
        <v>2179</v>
      </c>
      <c r="H60">
        <v>3.9993274211899998</v>
      </c>
      <c r="I60" t="str">
        <f t="shared" si="0"/>
        <v>Gentle</v>
      </c>
      <c r="J60" t="s">
        <v>2172</v>
      </c>
      <c r="K60">
        <v>-0.725126743317</v>
      </c>
      <c r="L60">
        <v>10.1581029892</v>
      </c>
    </row>
    <row r="61" spans="1:12" x14ac:dyDescent="0.2">
      <c r="A61">
        <v>216</v>
      </c>
      <c r="B61" t="s">
        <v>131</v>
      </c>
      <c r="C61">
        <v>-4.3781700134277344</v>
      </c>
      <c r="D61">
        <v>35.645359039306641</v>
      </c>
      <c r="E61">
        <v>1671.199951171875</v>
      </c>
      <c r="F61">
        <v>2017</v>
      </c>
      <c r="G61" t="s">
        <v>2180</v>
      </c>
      <c r="H61">
        <v>1.3195674419400001</v>
      </c>
      <c r="I61" t="str">
        <f t="shared" si="0"/>
        <v>very gentle</v>
      </c>
      <c r="J61" t="s">
        <v>2177</v>
      </c>
      <c r="K61">
        <v>0.815785527229</v>
      </c>
      <c r="L61">
        <v>7.9470510482799996</v>
      </c>
    </row>
    <row r="62" spans="1:12" x14ac:dyDescent="0.2">
      <c r="A62">
        <v>215</v>
      </c>
      <c r="B62" t="s">
        <v>345</v>
      </c>
      <c r="C62">
        <v>-4.3547134399414062</v>
      </c>
      <c r="D62">
        <v>35.649200439453125</v>
      </c>
      <c r="E62">
        <v>1602.9000244140625</v>
      </c>
      <c r="F62">
        <v>2017</v>
      </c>
      <c r="G62" t="s">
        <v>2174</v>
      </c>
      <c r="H62">
        <v>5.1887135505700002</v>
      </c>
      <c r="I62" t="str">
        <f t="shared" si="0"/>
        <v>Moderate</v>
      </c>
      <c r="J62" t="s">
        <v>2178</v>
      </c>
      <c r="K62">
        <v>0.45321798324599999</v>
      </c>
      <c r="L62">
        <v>7.4710698127699997</v>
      </c>
    </row>
    <row r="63" spans="1:12" x14ac:dyDescent="0.2">
      <c r="A63">
        <v>236</v>
      </c>
      <c r="B63" t="s">
        <v>785</v>
      </c>
      <c r="C63">
        <v>-4.37982177734375</v>
      </c>
      <c r="D63">
        <v>35.647148132324219</v>
      </c>
      <c r="E63">
        <v>1693.699951171875</v>
      </c>
      <c r="F63">
        <v>2017</v>
      </c>
      <c r="G63" t="s">
        <v>2180</v>
      </c>
      <c r="H63">
        <v>7.8896226882900002</v>
      </c>
      <c r="I63" t="str">
        <f t="shared" si="0"/>
        <v>Moderate</v>
      </c>
      <c r="J63" t="s">
        <v>2178</v>
      </c>
      <c r="K63">
        <v>0.45321798324599999</v>
      </c>
      <c r="L63">
        <v>6.9400124549899997</v>
      </c>
    </row>
    <row r="64" spans="1:12" x14ac:dyDescent="0.2">
      <c r="A64">
        <v>64</v>
      </c>
      <c r="B64" t="s">
        <v>790</v>
      </c>
      <c r="C64">
        <v>-4.3273377418518066</v>
      </c>
      <c r="D64">
        <v>35.708187103271484</v>
      </c>
      <c r="E64">
        <v>1350.800048828125</v>
      </c>
      <c r="F64">
        <v>2017</v>
      </c>
      <c r="G64" t="s">
        <v>2171</v>
      </c>
      <c r="H64">
        <v>0.39381912350699999</v>
      </c>
      <c r="I64" t="str">
        <f t="shared" si="0"/>
        <v>Depression</v>
      </c>
      <c r="J64" t="s">
        <v>2173</v>
      </c>
      <c r="K64">
        <v>0.27193418145199999</v>
      </c>
      <c r="L64">
        <v>9.0892667770400006</v>
      </c>
    </row>
    <row r="65" spans="1:12" x14ac:dyDescent="0.2">
      <c r="A65">
        <v>70</v>
      </c>
      <c r="B65" t="s">
        <v>346</v>
      </c>
      <c r="C65">
        <v>-4.3501195907592773</v>
      </c>
      <c r="D65">
        <v>35.712425231933594</v>
      </c>
      <c r="E65">
        <v>1373.4000244140625</v>
      </c>
      <c r="F65">
        <v>2017</v>
      </c>
      <c r="G65" t="s">
        <v>2171</v>
      </c>
      <c r="H65">
        <v>1.62334883213</v>
      </c>
      <c r="I65" t="str">
        <f t="shared" si="0"/>
        <v>very gentle</v>
      </c>
      <c r="J65" t="s">
        <v>2173</v>
      </c>
      <c r="K65">
        <v>-9.0633422136300004E-2</v>
      </c>
      <c r="L65">
        <v>9.0073556900000007</v>
      </c>
    </row>
    <row r="66" spans="1:12" x14ac:dyDescent="0.2">
      <c r="A66">
        <v>46</v>
      </c>
      <c r="B66" t="s">
        <v>136</v>
      </c>
      <c r="C66">
        <v>-4.3232874870300293</v>
      </c>
      <c r="D66">
        <v>35.713558197021484</v>
      </c>
      <c r="E66">
        <v>1342.4000244140625</v>
      </c>
      <c r="F66">
        <v>2017</v>
      </c>
      <c r="G66" t="s">
        <v>2171</v>
      </c>
      <c r="H66">
        <v>0.77230823039999996</v>
      </c>
      <c r="I66" t="str">
        <f t="shared" si="0"/>
        <v>very gentle</v>
      </c>
      <c r="J66" t="s">
        <v>2173</v>
      </c>
      <c r="K66">
        <v>-0.362559139729</v>
      </c>
      <c r="L66">
        <v>10.6584386826</v>
      </c>
    </row>
    <row r="67" spans="1:12" x14ac:dyDescent="0.2">
      <c r="A67">
        <v>76</v>
      </c>
      <c r="B67" t="s">
        <v>423</v>
      </c>
      <c r="C67">
        <v>-4.3533873558044434</v>
      </c>
      <c r="D67">
        <v>35.696643829345703</v>
      </c>
      <c r="E67">
        <v>1402.5999755859375</v>
      </c>
      <c r="F67">
        <v>2017</v>
      </c>
      <c r="G67" t="s">
        <v>2179</v>
      </c>
      <c r="H67">
        <v>6.8519463539099998</v>
      </c>
      <c r="I67" t="str">
        <f t="shared" ref="I67:I130" si="1">IF(H67&lt;0.5,"Depression",IF(H67&lt;2,"very gentle",IF(H67&lt;5,"Gentle",IF(H67&lt;9,"Moderate",IF(H67&lt;15,"Strong",IF(H67&lt;30,"Steep",IF(H67&lt;1,"very steep")))))))</f>
        <v>Moderate</v>
      </c>
      <c r="J67" t="s">
        <v>2178</v>
      </c>
      <c r="K67">
        <v>8.4776775111099995E-6</v>
      </c>
      <c r="L67">
        <v>8.0385475158700004</v>
      </c>
    </row>
    <row r="68" spans="1:12" x14ac:dyDescent="0.2">
      <c r="A68">
        <v>72</v>
      </c>
      <c r="B68" t="s">
        <v>810</v>
      </c>
      <c r="C68">
        <v>-4.3854942321777344</v>
      </c>
      <c r="D68">
        <v>35.689628601074219</v>
      </c>
      <c r="E68">
        <v>1353.4000244140625</v>
      </c>
      <c r="F68">
        <v>2017</v>
      </c>
      <c r="G68" t="s">
        <v>2171</v>
      </c>
      <c r="H68">
        <v>3.6667199134800001</v>
      </c>
      <c r="I68" t="str">
        <f t="shared" si="1"/>
        <v>Gentle</v>
      </c>
      <c r="J68" t="s">
        <v>2177</v>
      </c>
      <c r="K68">
        <v>0.815785527229</v>
      </c>
      <c r="L68">
        <v>7.6353573799100003</v>
      </c>
    </row>
    <row r="69" spans="1:12" x14ac:dyDescent="0.2">
      <c r="A69">
        <v>66</v>
      </c>
      <c r="B69" t="s">
        <v>139</v>
      </c>
      <c r="C69">
        <v>-4.355586051940918</v>
      </c>
      <c r="D69">
        <v>35.701301574707031</v>
      </c>
      <c r="E69">
        <v>1409.0999755859375</v>
      </c>
      <c r="F69">
        <v>2017</v>
      </c>
      <c r="G69" t="s">
        <v>2171</v>
      </c>
      <c r="H69">
        <v>4.12190485001</v>
      </c>
      <c r="I69" t="str">
        <f t="shared" si="1"/>
        <v>Gentle</v>
      </c>
      <c r="J69" t="s">
        <v>2173</v>
      </c>
      <c r="K69">
        <v>-9.0633422136300004E-2</v>
      </c>
      <c r="L69">
        <v>7.5884537696800001</v>
      </c>
    </row>
    <row r="70" spans="1:12" x14ac:dyDescent="0.2">
      <c r="A70">
        <v>63</v>
      </c>
      <c r="B70" t="s">
        <v>140</v>
      </c>
      <c r="C70">
        <v>-4.3305182456970215</v>
      </c>
      <c r="D70">
        <v>35.700538635253906</v>
      </c>
      <c r="E70">
        <v>1358.300048828125</v>
      </c>
      <c r="F70">
        <v>2017</v>
      </c>
      <c r="G70" t="s">
        <v>2171</v>
      </c>
      <c r="H70">
        <v>0.79513710737200005</v>
      </c>
      <c r="I70" t="str">
        <f t="shared" si="1"/>
        <v>very gentle</v>
      </c>
      <c r="J70" t="s">
        <v>2173</v>
      </c>
      <c r="K70">
        <v>0.27193418145199999</v>
      </c>
      <c r="L70">
        <v>8.5437145233200003</v>
      </c>
    </row>
    <row r="71" spans="1:12" x14ac:dyDescent="0.2">
      <c r="A71">
        <v>74</v>
      </c>
      <c r="B71" t="s">
        <v>142</v>
      </c>
      <c r="C71">
        <v>-4.3456454277038574</v>
      </c>
      <c r="D71">
        <v>35.705318450927734</v>
      </c>
      <c r="E71">
        <v>1358</v>
      </c>
      <c r="F71">
        <v>2017</v>
      </c>
      <c r="G71" t="s">
        <v>2171</v>
      </c>
      <c r="H71">
        <v>1.7505050897600001</v>
      </c>
      <c r="I71" t="str">
        <f t="shared" si="1"/>
        <v>very gentle</v>
      </c>
      <c r="J71" t="s">
        <v>2173</v>
      </c>
      <c r="K71">
        <v>0.27193418145199999</v>
      </c>
      <c r="L71">
        <v>8.9792985916100001</v>
      </c>
    </row>
    <row r="72" spans="1:12" x14ac:dyDescent="0.2">
      <c r="A72">
        <v>73</v>
      </c>
      <c r="B72" t="s">
        <v>347</v>
      </c>
      <c r="C72">
        <v>-4.3438310623168945</v>
      </c>
      <c r="D72">
        <v>35.712303161621094</v>
      </c>
      <c r="E72">
        <v>1349.9000244140625</v>
      </c>
      <c r="F72">
        <v>2017</v>
      </c>
      <c r="G72" t="s">
        <v>2171</v>
      </c>
      <c r="H72">
        <v>1.0303390026100001</v>
      </c>
      <c r="I72" t="str">
        <f t="shared" si="1"/>
        <v>very gentle</v>
      </c>
      <c r="J72" t="s">
        <v>2172</v>
      </c>
      <c r="K72">
        <v>-0.54384291171999999</v>
      </c>
      <c r="L72">
        <v>10.306281089800001</v>
      </c>
    </row>
    <row r="73" spans="1:12" x14ac:dyDescent="0.2">
      <c r="A73">
        <v>65</v>
      </c>
      <c r="B73" t="s">
        <v>836</v>
      </c>
      <c r="C73">
        <v>-4.353522777557373</v>
      </c>
      <c r="D73">
        <v>35.700599670410156</v>
      </c>
      <c r="E73">
        <v>1381.4000244140625</v>
      </c>
      <c r="F73">
        <v>2017</v>
      </c>
      <c r="G73" t="s">
        <v>2171</v>
      </c>
      <c r="H73">
        <v>4.2408928871200002</v>
      </c>
      <c r="I73" t="str">
        <f t="shared" si="1"/>
        <v>Gentle</v>
      </c>
      <c r="J73" t="s">
        <v>2177</v>
      </c>
      <c r="K73">
        <v>0.815785527229</v>
      </c>
      <c r="L73">
        <v>7.5383791923499999</v>
      </c>
    </row>
    <row r="74" spans="1:12" x14ac:dyDescent="0.2">
      <c r="A74">
        <v>242</v>
      </c>
      <c r="B74" t="s">
        <v>842</v>
      </c>
      <c r="C74">
        <v>-4.2665257453918457</v>
      </c>
      <c r="D74">
        <v>35.845909118652344</v>
      </c>
      <c r="E74">
        <v>1390.699951171875</v>
      </c>
      <c r="F74">
        <v>2017</v>
      </c>
      <c r="G74" t="s">
        <v>2171</v>
      </c>
      <c r="H74">
        <v>3.4926533699000002</v>
      </c>
      <c r="I74" t="str">
        <f t="shared" si="1"/>
        <v>Gentle</v>
      </c>
      <c r="J74" t="s">
        <v>2173</v>
      </c>
      <c r="K74">
        <v>0.27193418145199999</v>
      </c>
      <c r="L74">
        <v>11.186497688299999</v>
      </c>
    </row>
    <row r="75" spans="1:12" x14ac:dyDescent="0.2">
      <c r="A75">
        <v>194</v>
      </c>
      <c r="B75" t="s">
        <v>847</v>
      </c>
      <c r="C75">
        <v>-4.2835335731506348</v>
      </c>
      <c r="D75">
        <v>35.856357574462891</v>
      </c>
      <c r="E75">
        <v>1295.300048828125</v>
      </c>
      <c r="F75">
        <v>2017</v>
      </c>
      <c r="G75" t="s">
        <v>2171</v>
      </c>
      <c r="H75">
        <v>1.72651553154</v>
      </c>
      <c r="I75" t="str">
        <f t="shared" si="1"/>
        <v>very gentle</v>
      </c>
      <c r="J75" t="s">
        <v>2173</v>
      </c>
      <c r="K75">
        <v>8.4776775111099995E-6</v>
      </c>
      <c r="L75">
        <v>10.6290960312</v>
      </c>
    </row>
    <row r="76" spans="1:12" x14ac:dyDescent="0.2">
      <c r="A76">
        <v>248</v>
      </c>
      <c r="B76" t="s">
        <v>853</v>
      </c>
      <c r="C76">
        <v>-4.2677412033081055</v>
      </c>
      <c r="D76">
        <v>35.853012084960938</v>
      </c>
      <c r="E76">
        <v>1341.199951171875</v>
      </c>
      <c r="F76">
        <v>2017</v>
      </c>
      <c r="G76" t="s">
        <v>2171</v>
      </c>
      <c r="H76">
        <v>2.1943719387099998</v>
      </c>
      <c r="I76" t="str">
        <f t="shared" si="1"/>
        <v>Gentle</v>
      </c>
      <c r="J76" t="s">
        <v>2173</v>
      </c>
      <c r="K76">
        <v>-0.27191722393000001</v>
      </c>
      <c r="L76">
        <v>11.7191648483</v>
      </c>
    </row>
    <row r="77" spans="1:12" x14ac:dyDescent="0.2">
      <c r="A77">
        <v>244</v>
      </c>
      <c r="B77" t="s">
        <v>858</v>
      </c>
      <c r="C77">
        <v>-4.2666606903076172</v>
      </c>
      <c r="D77">
        <v>35.845355987548828</v>
      </c>
      <c r="E77">
        <v>1384.0999755859375</v>
      </c>
      <c r="F77">
        <v>2017</v>
      </c>
      <c r="G77" t="s">
        <v>2171</v>
      </c>
      <c r="H77">
        <v>2.9485585689499998</v>
      </c>
      <c r="I77" t="str">
        <f t="shared" si="1"/>
        <v>Gentle</v>
      </c>
      <c r="J77" t="s">
        <v>2173</v>
      </c>
      <c r="K77">
        <v>9.0650379657699995E-2</v>
      </c>
      <c r="L77">
        <v>11.392010688799999</v>
      </c>
    </row>
    <row r="78" spans="1:12" x14ac:dyDescent="0.2">
      <c r="A78">
        <v>250</v>
      </c>
      <c r="B78" t="s">
        <v>865</v>
      </c>
      <c r="C78">
        <v>-4.2733011245727539</v>
      </c>
      <c r="D78">
        <v>35.857265472412109</v>
      </c>
      <c r="E78">
        <v>1324</v>
      </c>
      <c r="F78">
        <v>2017</v>
      </c>
      <c r="G78" t="s">
        <v>2171</v>
      </c>
      <c r="H78">
        <v>1.69868314266</v>
      </c>
      <c r="I78" t="str">
        <f t="shared" si="1"/>
        <v>very gentle</v>
      </c>
      <c r="J78" t="s">
        <v>2173</v>
      </c>
      <c r="K78">
        <v>0.45321798324599999</v>
      </c>
      <c r="L78">
        <v>11.231022834799999</v>
      </c>
    </row>
    <row r="79" spans="1:12" x14ac:dyDescent="0.2">
      <c r="A79">
        <v>12</v>
      </c>
      <c r="B79" t="s">
        <v>870</v>
      </c>
      <c r="C79">
        <v>-4.2597823143005371</v>
      </c>
      <c r="D79">
        <v>35.859699249267578</v>
      </c>
      <c r="E79">
        <v>1312.5</v>
      </c>
      <c r="F79">
        <v>2017</v>
      </c>
      <c r="G79" t="s">
        <v>2171</v>
      </c>
      <c r="H79">
        <v>2.3941514491999998</v>
      </c>
      <c r="I79" t="str">
        <f t="shared" si="1"/>
        <v>Gentle</v>
      </c>
      <c r="J79" t="s">
        <v>2173</v>
      </c>
      <c r="K79">
        <v>-0.362559139729</v>
      </c>
      <c r="L79">
        <v>10.828481674200001</v>
      </c>
    </row>
    <row r="80" spans="1:12" x14ac:dyDescent="0.2">
      <c r="A80">
        <v>193</v>
      </c>
      <c r="B80" t="s">
        <v>349</v>
      </c>
      <c r="C80">
        <v>-4.2804141044616699</v>
      </c>
      <c r="D80">
        <v>35.863021850585938</v>
      </c>
      <c r="E80">
        <v>1295.300048828125</v>
      </c>
      <c r="F80">
        <v>2017</v>
      </c>
      <c r="G80" t="s">
        <v>2171</v>
      </c>
      <c r="H80">
        <v>1.96835184097</v>
      </c>
      <c r="I80" t="str">
        <f t="shared" si="1"/>
        <v>very gentle</v>
      </c>
      <c r="J80" t="s">
        <v>2173</v>
      </c>
      <c r="K80">
        <v>-0.18127532303300001</v>
      </c>
      <c r="L80">
        <v>11.303222656299999</v>
      </c>
    </row>
    <row r="81" spans="1:12" x14ac:dyDescent="0.2">
      <c r="A81">
        <v>190</v>
      </c>
      <c r="B81" t="s">
        <v>152</v>
      </c>
      <c r="C81">
        <v>-4.2762656211853027</v>
      </c>
      <c r="D81">
        <v>35.860355377197266</v>
      </c>
      <c r="E81">
        <v>1305.5999755859375</v>
      </c>
      <c r="F81">
        <v>2017</v>
      </c>
      <c r="G81" t="s">
        <v>2171</v>
      </c>
      <c r="H81">
        <v>2.34390521049</v>
      </c>
      <c r="I81" t="str">
        <f t="shared" si="1"/>
        <v>Gentle</v>
      </c>
      <c r="J81" t="s">
        <v>2173</v>
      </c>
      <c r="K81">
        <v>-0.18127532303300001</v>
      </c>
      <c r="L81">
        <v>10.0238084793</v>
      </c>
    </row>
    <row r="82" spans="1:12" x14ac:dyDescent="0.2">
      <c r="A82">
        <v>107</v>
      </c>
      <c r="B82" t="s">
        <v>424</v>
      </c>
      <c r="C82">
        <v>-4.259559154510498</v>
      </c>
      <c r="D82">
        <v>35.857692718505859</v>
      </c>
      <c r="E82">
        <v>1323</v>
      </c>
      <c r="F82">
        <v>2017</v>
      </c>
      <c r="G82" t="s">
        <v>2171</v>
      </c>
      <c r="H82">
        <v>4.4811401367199997</v>
      </c>
      <c r="I82" t="str">
        <f t="shared" si="1"/>
        <v>Gentle</v>
      </c>
      <c r="J82" t="s">
        <v>2173</v>
      </c>
      <c r="K82">
        <v>0.45321798324599999</v>
      </c>
      <c r="L82">
        <v>8.7215080261200004</v>
      </c>
    </row>
    <row r="83" spans="1:12" x14ac:dyDescent="0.2">
      <c r="A83">
        <v>245</v>
      </c>
      <c r="B83" t="s">
        <v>884</v>
      </c>
      <c r="C83">
        <v>-4.265164852142334</v>
      </c>
      <c r="D83">
        <v>35.841716766357422</v>
      </c>
      <c r="E83">
        <v>1403.0999755859375</v>
      </c>
      <c r="F83">
        <v>2017</v>
      </c>
      <c r="G83" t="s">
        <v>2171</v>
      </c>
      <c r="H83">
        <v>3.8559429645500001</v>
      </c>
      <c r="I83" t="str">
        <f t="shared" si="1"/>
        <v>Gentle</v>
      </c>
      <c r="J83" t="s">
        <v>2177</v>
      </c>
      <c r="K83">
        <v>0.63450175523800001</v>
      </c>
      <c r="L83">
        <v>10.945163726800001</v>
      </c>
    </row>
    <row r="84" spans="1:12" x14ac:dyDescent="0.2">
      <c r="A84">
        <v>251</v>
      </c>
      <c r="B84" t="s">
        <v>889</v>
      </c>
      <c r="C84">
        <v>-4.2766251564025879</v>
      </c>
      <c r="D84">
        <v>35.858478546142578</v>
      </c>
      <c r="E84">
        <v>1309.5999755859375</v>
      </c>
      <c r="F84">
        <v>2017</v>
      </c>
      <c r="G84" t="s">
        <v>2171</v>
      </c>
      <c r="H84">
        <v>1.54433584213</v>
      </c>
      <c r="I84" t="str">
        <f t="shared" si="1"/>
        <v>very gentle</v>
      </c>
      <c r="J84" t="s">
        <v>2173</v>
      </c>
      <c r="K84">
        <v>-9.0633422136300004E-2</v>
      </c>
      <c r="L84">
        <v>12.183077812200001</v>
      </c>
    </row>
    <row r="85" spans="1:12" x14ac:dyDescent="0.2">
      <c r="A85">
        <v>195</v>
      </c>
      <c r="B85" t="s">
        <v>894</v>
      </c>
      <c r="C85">
        <v>-4.2657060623168945</v>
      </c>
      <c r="D85">
        <v>35.845195770263672</v>
      </c>
      <c r="E85">
        <v>1368.4000244140625</v>
      </c>
      <c r="F85">
        <v>2017</v>
      </c>
      <c r="G85" t="s">
        <v>2171</v>
      </c>
      <c r="H85">
        <v>3.1718769073500002</v>
      </c>
      <c r="I85" t="str">
        <f t="shared" si="1"/>
        <v>Gentle</v>
      </c>
      <c r="J85" t="s">
        <v>2173</v>
      </c>
      <c r="K85">
        <v>9.0650379657699995E-2</v>
      </c>
      <c r="L85">
        <v>12.1861162186</v>
      </c>
    </row>
    <row r="86" spans="1:12" x14ac:dyDescent="0.2">
      <c r="A86">
        <v>247</v>
      </c>
      <c r="B86" t="s">
        <v>158</v>
      </c>
      <c r="C86">
        <v>-4.2666792869567871</v>
      </c>
      <c r="D86">
        <v>35.846050262451172</v>
      </c>
      <c r="E86">
        <v>1378.9000244140625</v>
      </c>
      <c r="F86">
        <v>2017</v>
      </c>
      <c r="G86" t="s">
        <v>2171</v>
      </c>
      <c r="H86">
        <v>3.4926533699000002</v>
      </c>
      <c r="I86" t="str">
        <f t="shared" si="1"/>
        <v>Gentle</v>
      </c>
      <c r="J86" t="s">
        <v>2173</v>
      </c>
      <c r="K86">
        <v>0.27193418145199999</v>
      </c>
      <c r="L86">
        <v>11.186497688299999</v>
      </c>
    </row>
    <row r="87" spans="1:12" x14ac:dyDescent="0.2">
      <c r="A87">
        <v>246</v>
      </c>
      <c r="B87" t="s">
        <v>160</v>
      </c>
      <c r="C87">
        <v>-4.2683243751525879</v>
      </c>
      <c r="D87">
        <v>35.845981597900391</v>
      </c>
      <c r="E87">
        <v>1378.199951171875</v>
      </c>
      <c r="F87">
        <v>2017</v>
      </c>
      <c r="G87" t="s">
        <v>2171</v>
      </c>
      <c r="H87">
        <v>3.4858486652399998</v>
      </c>
      <c r="I87" t="str">
        <f t="shared" si="1"/>
        <v>Gentle</v>
      </c>
      <c r="J87" t="s">
        <v>2173</v>
      </c>
      <c r="K87">
        <v>8.4776775111099995E-6</v>
      </c>
      <c r="L87">
        <v>11.2769908905</v>
      </c>
    </row>
    <row r="88" spans="1:12" x14ac:dyDescent="0.2">
      <c r="A88">
        <v>243</v>
      </c>
      <c r="B88" t="s">
        <v>906</v>
      </c>
      <c r="C88">
        <v>-4.2654929161071777</v>
      </c>
      <c r="D88">
        <v>35.845199584960938</v>
      </c>
      <c r="E88">
        <v>1373.9000244140625</v>
      </c>
      <c r="F88">
        <v>2017</v>
      </c>
      <c r="G88" t="s">
        <v>2171</v>
      </c>
      <c r="H88">
        <v>3.1718769073500002</v>
      </c>
      <c r="I88" t="str">
        <f t="shared" si="1"/>
        <v>Gentle</v>
      </c>
      <c r="J88" t="s">
        <v>2173</v>
      </c>
      <c r="K88">
        <v>9.0650379657699995E-2</v>
      </c>
      <c r="L88">
        <v>12.1861162186</v>
      </c>
    </row>
    <row r="89" spans="1:12" x14ac:dyDescent="0.2">
      <c r="A89">
        <v>13</v>
      </c>
      <c r="B89" t="s">
        <v>910</v>
      </c>
      <c r="C89">
        <v>-4.2598285675048828</v>
      </c>
      <c r="D89">
        <v>35.859825134277344</v>
      </c>
      <c r="E89">
        <v>1326.199951171875</v>
      </c>
      <c r="F89">
        <v>2017</v>
      </c>
      <c r="G89" t="s">
        <v>2171</v>
      </c>
      <c r="H89">
        <v>2.3941514491999998</v>
      </c>
      <c r="I89" t="str">
        <f t="shared" si="1"/>
        <v>Gentle</v>
      </c>
      <c r="J89" t="s">
        <v>2173</v>
      </c>
      <c r="K89">
        <v>-0.362559139729</v>
      </c>
      <c r="L89">
        <v>10.828481674200001</v>
      </c>
    </row>
    <row r="90" spans="1:12" x14ac:dyDescent="0.2">
      <c r="A90">
        <v>106</v>
      </c>
      <c r="B90" t="s">
        <v>351</v>
      </c>
      <c r="C90">
        <v>-4.2591938972473145</v>
      </c>
      <c r="D90">
        <v>35.857143402099609</v>
      </c>
      <c r="E90">
        <v>1322.0999755859375</v>
      </c>
      <c r="F90">
        <v>2017</v>
      </c>
      <c r="G90" t="s">
        <v>2171</v>
      </c>
      <c r="H90">
        <v>4.6913475990300002</v>
      </c>
      <c r="I90" t="str">
        <f t="shared" si="1"/>
        <v>Gentle</v>
      </c>
      <c r="J90" t="s">
        <v>2173</v>
      </c>
      <c r="K90">
        <v>0.36257606744799997</v>
      </c>
      <c r="L90">
        <v>8.6527519226099994</v>
      </c>
    </row>
    <row r="91" spans="1:12" x14ac:dyDescent="0.2">
      <c r="A91">
        <v>192</v>
      </c>
      <c r="B91" t="s">
        <v>352</v>
      </c>
      <c r="C91">
        <v>-4.2807283401489258</v>
      </c>
      <c r="D91">
        <v>35.866661071777344</v>
      </c>
      <c r="E91">
        <v>1283.0999755859375</v>
      </c>
      <c r="F91">
        <v>2017</v>
      </c>
      <c r="G91" t="s">
        <v>2171</v>
      </c>
      <c r="H91">
        <v>1.2451889514900001</v>
      </c>
      <c r="I91" t="str">
        <f t="shared" si="1"/>
        <v>very gentle</v>
      </c>
      <c r="J91" t="s">
        <v>2172</v>
      </c>
      <c r="K91">
        <v>-0.725126743317</v>
      </c>
      <c r="L91">
        <v>12.6087989807</v>
      </c>
    </row>
    <row r="92" spans="1:12" x14ac:dyDescent="0.2">
      <c r="A92">
        <v>189</v>
      </c>
      <c r="B92" t="s">
        <v>165</v>
      </c>
      <c r="C92">
        <v>-4.2676372528076172</v>
      </c>
      <c r="D92">
        <v>35.848148345947266</v>
      </c>
      <c r="E92">
        <v>1371.199951171875</v>
      </c>
      <c r="F92">
        <v>2017</v>
      </c>
      <c r="G92" t="s">
        <v>2171</v>
      </c>
      <c r="H92">
        <v>2.8312993049599999</v>
      </c>
      <c r="I92" t="str">
        <f t="shared" si="1"/>
        <v>Gentle</v>
      </c>
      <c r="J92" t="s">
        <v>2173</v>
      </c>
      <c r="K92">
        <v>0.36257606744799997</v>
      </c>
      <c r="L92">
        <v>10.637519836399999</v>
      </c>
    </row>
    <row r="93" spans="1:12" x14ac:dyDescent="0.2">
      <c r="A93">
        <v>188</v>
      </c>
      <c r="B93" t="s">
        <v>353</v>
      </c>
      <c r="C93">
        <v>-4.2555704116821289</v>
      </c>
      <c r="D93">
        <v>35.879535675048828</v>
      </c>
      <c r="E93">
        <v>1262</v>
      </c>
      <c r="F93">
        <v>2017</v>
      </c>
      <c r="G93" t="s">
        <v>2171</v>
      </c>
      <c r="H93">
        <v>1.0975884199099999</v>
      </c>
      <c r="I93" t="str">
        <f t="shared" si="1"/>
        <v>very gentle</v>
      </c>
      <c r="J93" t="s">
        <v>2173</v>
      </c>
      <c r="K93">
        <v>9.0650379657699995E-2</v>
      </c>
      <c r="L93">
        <v>9.8140182495099992</v>
      </c>
    </row>
    <row r="94" spans="1:12" x14ac:dyDescent="0.2">
      <c r="A94">
        <v>249</v>
      </c>
      <c r="B94" t="s">
        <v>926</v>
      </c>
      <c r="C94">
        <v>-4.2664370536804199</v>
      </c>
      <c r="D94">
        <v>35.852615356445312</v>
      </c>
      <c r="E94">
        <v>1339.9000244140625</v>
      </c>
      <c r="F94">
        <v>2017</v>
      </c>
      <c r="G94" t="s">
        <v>2171</v>
      </c>
      <c r="H94">
        <v>2.2105906009699998</v>
      </c>
      <c r="I94" t="str">
        <f t="shared" si="1"/>
        <v>Gentle</v>
      </c>
      <c r="J94" t="s">
        <v>2177</v>
      </c>
      <c r="K94">
        <v>0.906427502632</v>
      </c>
      <c r="L94">
        <v>10.7165288925</v>
      </c>
    </row>
    <row r="95" spans="1:12" x14ac:dyDescent="0.2">
      <c r="A95">
        <v>191</v>
      </c>
      <c r="B95" t="s">
        <v>930</v>
      </c>
      <c r="C95">
        <v>-4.2758526802062988</v>
      </c>
      <c r="D95">
        <v>35.874324798583984</v>
      </c>
      <c r="E95">
        <v>1271.5999755859375</v>
      </c>
      <c r="F95">
        <v>2017</v>
      </c>
      <c r="G95" t="s">
        <v>2171</v>
      </c>
      <c r="H95">
        <v>1.27826285362</v>
      </c>
      <c r="I95" t="str">
        <f t="shared" si="1"/>
        <v>very gentle</v>
      </c>
      <c r="J95" t="s">
        <v>2173</v>
      </c>
      <c r="K95">
        <v>-0.18127532303300001</v>
      </c>
      <c r="L95">
        <v>11.157617568999999</v>
      </c>
    </row>
    <row r="96" spans="1:12" x14ac:dyDescent="0.2">
      <c r="A96">
        <v>14</v>
      </c>
      <c r="B96" t="s">
        <v>934</v>
      </c>
      <c r="C96">
        <v>-4.2597346305847168</v>
      </c>
      <c r="D96">
        <v>35.859542846679688</v>
      </c>
      <c r="E96">
        <v>1313.0999755859375</v>
      </c>
      <c r="F96">
        <v>2017</v>
      </c>
      <c r="G96" t="s">
        <v>2171</v>
      </c>
      <c r="H96">
        <v>3.0261540412899999</v>
      </c>
      <c r="I96" t="str">
        <f t="shared" si="1"/>
        <v>Gentle</v>
      </c>
      <c r="J96" t="s">
        <v>2173</v>
      </c>
      <c r="K96">
        <v>-0.18127532303300001</v>
      </c>
      <c r="L96">
        <v>8.8983516693099993</v>
      </c>
    </row>
    <row r="97" spans="1:12" x14ac:dyDescent="0.2">
      <c r="A97">
        <v>126</v>
      </c>
      <c r="B97" t="s">
        <v>356</v>
      </c>
      <c r="C97">
        <v>-4.2834782600402832</v>
      </c>
      <c r="D97">
        <v>35.898475646972656</v>
      </c>
      <c r="E97">
        <v>1213.0999755859375</v>
      </c>
      <c r="F97">
        <v>2017</v>
      </c>
      <c r="G97" t="s">
        <v>2171</v>
      </c>
      <c r="H97">
        <v>2.4237968921699999</v>
      </c>
      <c r="I97" t="str">
        <f t="shared" si="1"/>
        <v>Gentle</v>
      </c>
      <c r="J97" t="s">
        <v>2177</v>
      </c>
      <c r="K97">
        <v>0.63450175523800001</v>
      </c>
      <c r="L97">
        <v>8.6444921493500004</v>
      </c>
    </row>
    <row r="98" spans="1:12" x14ac:dyDescent="0.2">
      <c r="A98">
        <v>156</v>
      </c>
      <c r="B98" t="s">
        <v>173</v>
      </c>
      <c r="C98">
        <v>-4.2874345779418945</v>
      </c>
      <c r="D98">
        <v>35.901123046875</v>
      </c>
      <c r="E98">
        <v>1195.699951171875</v>
      </c>
      <c r="F98">
        <v>2017</v>
      </c>
      <c r="G98" t="s">
        <v>2171</v>
      </c>
      <c r="H98">
        <v>0.85303092002900005</v>
      </c>
      <c r="I98" t="str">
        <f t="shared" si="1"/>
        <v>very gentle</v>
      </c>
      <c r="J98" t="s">
        <v>2173</v>
      </c>
      <c r="K98">
        <v>0.45321798324599999</v>
      </c>
      <c r="L98">
        <v>9.7213468551600002</v>
      </c>
    </row>
    <row r="99" spans="1:12" x14ac:dyDescent="0.2">
      <c r="A99">
        <v>124</v>
      </c>
      <c r="B99" t="s">
        <v>355</v>
      </c>
      <c r="C99">
        <v>-4.2821521759033203</v>
      </c>
      <c r="D99">
        <v>35.894252777099609</v>
      </c>
      <c r="E99">
        <v>1223.5999755859375</v>
      </c>
      <c r="F99">
        <v>2017</v>
      </c>
      <c r="G99" t="s">
        <v>2171</v>
      </c>
      <c r="H99">
        <v>1.0303390026100001</v>
      </c>
      <c r="I99" t="str">
        <f t="shared" si="1"/>
        <v>very gentle</v>
      </c>
      <c r="J99" t="s">
        <v>2173</v>
      </c>
      <c r="K99">
        <v>0.36257606744799997</v>
      </c>
      <c r="L99">
        <v>8.6220817565899992</v>
      </c>
    </row>
    <row r="100" spans="1:12" x14ac:dyDescent="0.2">
      <c r="A100">
        <v>131</v>
      </c>
      <c r="B100" t="s">
        <v>174</v>
      </c>
      <c r="C100">
        <v>-4.28460693359375</v>
      </c>
      <c r="D100">
        <v>35.8924560546875</v>
      </c>
      <c r="E100">
        <v>1222.0999755859375</v>
      </c>
      <c r="F100">
        <v>2017</v>
      </c>
      <c r="G100" t="s">
        <v>2171</v>
      </c>
      <c r="H100">
        <v>0.87375217676200001</v>
      </c>
      <c r="I100" t="str">
        <f t="shared" si="1"/>
        <v>very gentle</v>
      </c>
      <c r="J100" t="s">
        <v>2173</v>
      </c>
      <c r="K100">
        <v>-9.0633422136300004E-2</v>
      </c>
      <c r="L100">
        <v>10.7202291489</v>
      </c>
    </row>
    <row r="101" spans="1:12" x14ac:dyDescent="0.2">
      <c r="A101">
        <v>150</v>
      </c>
      <c r="B101" t="s">
        <v>175</v>
      </c>
      <c r="C101">
        <v>-4.3047881126403809</v>
      </c>
      <c r="D101">
        <v>35.890499114990234</v>
      </c>
      <c r="E101">
        <v>1218.4000244140625</v>
      </c>
      <c r="F101">
        <v>2017</v>
      </c>
      <c r="G101" t="s">
        <v>2171</v>
      </c>
      <c r="H101">
        <v>1.4196667671200001</v>
      </c>
      <c r="I101" t="str">
        <f t="shared" si="1"/>
        <v>very gentle</v>
      </c>
      <c r="J101" t="s">
        <v>2173</v>
      </c>
      <c r="K101">
        <v>-0.18127532303300001</v>
      </c>
      <c r="L101">
        <v>9.1224098205599997</v>
      </c>
    </row>
    <row r="102" spans="1:12" x14ac:dyDescent="0.2">
      <c r="A102">
        <v>154</v>
      </c>
      <c r="B102" t="s">
        <v>956</v>
      </c>
      <c r="C102">
        <v>-4.2781267166137695</v>
      </c>
      <c r="D102">
        <v>35.889247894287109</v>
      </c>
      <c r="E102">
        <v>1225.5</v>
      </c>
      <c r="F102">
        <v>2017</v>
      </c>
      <c r="G102" t="s">
        <v>2171</v>
      </c>
      <c r="H102">
        <v>0.699362456799</v>
      </c>
      <c r="I102" t="str">
        <f t="shared" si="1"/>
        <v>very gentle</v>
      </c>
      <c r="J102" t="s">
        <v>2173</v>
      </c>
      <c r="K102">
        <v>0.18129228055499999</v>
      </c>
      <c r="L102">
        <v>8.7419023513800003</v>
      </c>
    </row>
    <row r="103" spans="1:12" x14ac:dyDescent="0.2">
      <c r="A103">
        <v>146</v>
      </c>
      <c r="B103" t="s">
        <v>357</v>
      </c>
      <c r="C103">
        <v>-4.3046340942382812</v>
      </c>
      <c r="D103">
        <v>35.909893035888672</v>
      </c>
      <c r="E103">
        <v>1180</v>
      </c>
      <c r="F103">
        <v>2017</v>
      </c>
      <c r="G103" t="s">
        <v>2171</v>
      </c>
      <c r="H103">
        <v>0.85303092002900005</v>
      </c>
      <c r="I103" t="str">
        <f t="shared" si="1"/>
        <v>very gentle</v>
      </c>
      <c r="J103" t="s">
        <v>2173</v>
      </c>
      <c r="K103">
        <v>9.0650379657699995E-2</v>
      </c>
      <c r="L103">
        <v>8.7994308471699991</v>
      </c>
    </row>
    <row r="104" spans="1:12" x14ac:dyDescent="0.2">
      <c r="A104">
        <v>157</v>
      </c>
      <c r="B104" t="s">
        <v>964</v>
      </c>
      <c r="C104">
        <v>-4.2881870269775391</v>
      </c>
      <c r="D104">
        <v>35.897674560546875</v>
      </c>
      <c r="E104">
        <v>1205.300048828125</v>
      </c>
      <c r="F104">
        <v>2017</v>
      </c>
      <c r="G104" t="s">
        <v>2171</v>
      </c>
      <c r="H104">
        <v>2.1752965450300001</v>
      </c>
      <c r="I104" t="str">
        <f t="shared" si="1"/>
        <v>Gentle</v>
      </c>
      <c r="J104" t="s">
        <v>2173</v>
      </c>
      <c r="K104">
        <v>0.36257606744799997</v>
      </c>
      <c r="L104">
        <v>8.4629182815600004</v>
      </c>
    </row>
    <row r="105" spans="1:12" x14ac:dyDescent="0.2">
      <c r="A105">
        <v>130</v>
      </c>
      <c r="B105" t="s">
        <v>178</v>
      </c>
      <c r="C105">
        <v>-4.2846708297729492</v>
      </c>
      <c r="D105">
        <v>35.892807006835938</v>
      </c>
      <c r="E105">
        <v>1226.4000244140625</v>
      </c>
      <c r="F105">
        <v>2017</v>
      </c>
      <c r="G105" t="s">
        <v>2171</v>
      </c>
      <c r="H105">
        <v>0.87375217676200001</v>
      </c>
      <c r="I105" t="str">
        <f t="shared" si="1"/>
        <v>very gentle</v>
      </c>
      <c r="J105" t="s">
        <v>2173</v>
      </c>
      <c r="K105">
        <v>-9.0633422136300004E-2</v>
      </c>
      <c r="L105">
        <v>10.7202291489</v>
      </c>
    </row>
    <row r="106" spans="1:12" x14ac:dyDescent="0.2">
      <c r="A106">
        <v>155</v>
      </c>
      <c r="B106" t="s">
        <v>179</v>
      </c>
      <c r="C106">
        <v>-4.266695499420166</v>
      </c>
      <c r="D106">
        <v>35.880573272705078</v>
      </c>
      <c r="E106">
        <v>1252.199951171875</v>
      </c>
      <c r="F106">
        <v>2017</v>
      </c>
      <c r="G106" t="s">
        <v>2171</v>
      </c>
      <c r="H106">
        <v>1.0361100435299999</v>
      </c>
      <c r="I106" t="str">
        <f t="shared" si="1"/>
        <v>very gentle</v>
      </c>
      <c r="J106" t="s">
        <v>2173</v>
      </c>
      <c r="K106">
        <v>8.4776775111099995E-6</v>
      </c>
      <c r="L106">
        <v>10.2860393524</v>
      </c>
    </row>
    <row r="107" spans="1:12" x14ac:dyDescent="0.2">
      <c r="A107">
        <v>159</v>
      </c>
      <c r="B107" t="s">
        <v>425</v>
      </c>
      <c r="C107">
        <v>-4.2848515510559082</v>
      </c>
      <c r="D107">
        <v>35.895671844482422</v>
      </c>
      <c r="E107">
        <v>1215.699951171875</v>
      </c>
      <c r="F107">
        <v>2017</v>
      </c>
      <c r="G107" t="s">
        <v>2171</v>
      </c>
      <c r="H107">
        <v>1.5749045610400001</v>
      </c>
      <c r="I107" t="str">
        <f t="shared" si="1"/>
        <v>very gentle</v>
      </c>
      <c r="J107" t="s">
        <v>2173</v>
      </c>
      <c r="K107">
        <v>-0.362559139729</v>
      </c>
      <c r="L107">
        <v>9.9196262359599991</v>
      </c>
    </row>
    <row r="108" spans="1:12" x14ac:dyDescent="0.2">
      <c r="A108">
        <v>152</v>
      </c>
      <c r="B108" t="s">
        <v>978</v>
      </c>
      <c r="C108">
        <v>-4.2948718070983887</v>
      </c>
      <c r="D108">
        <v>35.893413543701172</v>
      </c>
      <c r="E108">
        <v>1230.9000244140625</v>
      </c>
      <c r="F108">
        <v>2017</v>
      </c>
      <c r="G108" t="s">
        <v>2171</v>
      </c>
      <c r="H108">
        <v>1.0756396055199999</v>
      </c>
      <c r="I108" t="str">
        <f t="shared" si="1"/>
        <v>very gentle</v>
      </c>
      <c r="J108" t="s">
        <v>2173</v>
      </c>
      <c r="K108">
        <v>0.45321798324599999</v>
      </c>
      <c r="L108">
        <v>8.1580381393400003</v>
      </c>
    </row>
    <row r="109" spans="1:12" x14ac:dyDescent="0.2">
      <c r="A109">
        <v>160</v>
      </c>
      <c r="B109" t="s">
        <v>359</v>
      </c>
      <c r="C109">
        <v>-4.2845678329467773</v>
      </c>
      <c r="D109">
        <v>35.895767211914062</v>
      </c>
      <c r="E109">
        <v>1230.699951171875</v>
      </c>
      <c r="F109">
        <v>2017</v>
      </c>
      <c r="G109" t="s">
        <v>2171</v>
      </c>
      <c r="H109">
        <v>1.5749045610400001</v>
      </c>
      <c r="I109" t="str">
        <f t="shared" si="1"/>
        <v>very gentle</v>
      </c>
      <c r="J109" t="s">
        <v>2173</v>
      </c>
      <c r="K109">
        <v>-0.362559139729</v>
      </c>
      <c r="L109">
        <v>9.9196262359599991</v>
      </c>
    </row>
    <row r="110" spans="1:12" x14ac:dyDescent="0.2">
      <c r="A110">
        <v>147</v>
      </c>
      <c r="B110" t="s">
        <v>985</v>
      </c>
      <c r="C110">
        <v>-4.2914495468139648</v>
      </c>
      <c r="D110">
        <v>35.891063690185547</v>
      </c>
      <c r="E110">
        <v>1221.0999755859375</v>
      </c>
      <c r="F110">
        <v>2017</v>
      </c>
      <c r="G110" t="s">
        <v>2171</v>
      </c>
      <c r="H110">
        <v>1.3508191108700001</v>
      </c>
      <c r="I110" t="str">
        <f t="shared" si="1"/>
        <v>very gentle</v>
      </c>
      <c r="J110" t="s">
        <v>2173</v>
      </c>
      <c r="K110">
        <v>0.36257606744799997</v>
      </c>
      <c r="L110">
        <v>10.9778470993</v>
      </c>
    </row>
    <row r="111" spans="1:12" x14ac:dyDescent="0.2">
      <c r="A111">
        <v>123</v>
      </c>
      <c r="B111" t="s">
        <v>184</v>
      </c>
      <c r="C111">
        <v>-4.2634353637695312</v>
      </c>
      <c r="D111">
        <v>35.890480041503906</v>
      </c>
      <c r="E111">
        <v>1237.800048828125</v>
      </c>
      <c r="F111">
        <v>2017</v>
      </c>
      <c r="G111" t="s">
        <v>2171</v>
      </c>
      <c r="H111">
        <v>1.16094529629</v>
      </c>
      <c r="I111" t="str">
        <f t="shared" si="1"/>
        <v>very gentle</v>
      </c>
      <c r="J111" t="s">
        <v>2173</v>
      </c>
      <c r="K111">
        <v>-0.362559139729</v>
      </c>
      <c r="L111">
        <v>10.698633193999999</v>
      </c>
    </row>
    <row r="112" spans="1:12" x14ac:dyDescent="0.2">
      <c r="A112">
        <v>125</v>
      </c>
      <c r="B112" t="s">
        <v>996</v>
      </c>
      <c r="C112">
        <v>-4.2831096649169922</v>
      </c>
      <c r="D112">
        <v>35.898578643798828</v>
      </c>
      <c r="E112">
        <v>1205</v>
      </c>
      <c r="F112">
        <v>2017</v>
      </c>
      <c r="G112" t="s">
        <v>2171</v>
      </c>
      <c r="H112">
        <v>2.4237968921699999</v>
      </c>
      <c r="I112" t="str">
        <f t="shared" si="1"/>
        <v>Gentle</v>
      </c>
      <c r="J112" t="s">
        <v>2177</v>
      </c>
      <c r="K112">
        <v>0.63450175523800001</v>
      </c>
      <c r="L112">
        <v>8.6444921493500004</v>
      </c>
    </row>
    <row r="113" spans="1:12" x14ac:dyDescent="0.2">
      <c r="A113">
        <v>158</v>
      </c>
      <c r="B113" t="s">
        <v>1001</v>
      </c>
      <c r="C113">
        <v>-4.2881665229797363</v>
      </c>
      <c r="D113">
        <v>35.896720886230469</v>
      </c>
      <c r="E113">
        <v>1215.4000244140625</v>
      </c>
      <c r="F113">
        <v>2017</v>
      </c>
      <c r="G113" t="s">
        <v>2171</v>
      </c>
      <c r="H113">
        <v>1.9347803592699999</v>
      </c>
      <c r="I113" t="str">
        <f t="shared" si="1"/>
        <v>very gentle</v>
      </c>
      <c r="J113" t="s">
        <v>2173</v>
      </c>
      <c r="K113">
        <v>0.36257606744799997</v>
      </c>
      <c r="L113">
        <v>8.62525939941</v>
      </c>
    </row>
    <row r="114" spans="1:12" x14ac:dyDescent="0.2">
      <c r="A114">
        <v>151</v>
      </c>
      <c r="B114" t="s">
        <v>361</v>
      </c>
      <c r="C114">
        <v>-4.2970290184020996</v>
      </c>
      <c r="D114">
        <v>35.890232086181641</v>
      </c>
      <c r="E114">
        <v>1214.300048828125</v>
      </c>
      <c r="F114">
        <v>2017</v>
      </c>
      <c r="G114" t="s">
        <v>2171</v>
      </c>
      <c r="H114">
        <v>0.66437512636200002</v>
      </c>
      <c r="I114" t="str">
        <f t="shared" si="1"/>
        <v>very gentle</v>
      </c>
      <c r="J114" t="s">
        <v>2173</v>
      </c>
      <c r="K114">
        <v>-0.27191722393000001</v>
      </c>
      <c r="L114">
        <v>9.5276403427100007</v>
      </c>
    </row>
    <row r="115" spans="1:12" x14ac:dyDescent="0.2">
      <c r="A115">
        <v>129</v>
      </c>
      <c r="B115" t="s">
        <v>190</v>
      </c>
      <c r="C115">
        <v>-4.2768597602844238</v>
      </c>
      <c r="D115">
        <v>35.906410217285156</v>
      </c>
      <c r="E115">
        <v>1206</v>
      </c>
      <c r="F115">
        <v>2017</v>
      </c>
      <c r="G115" t="s">
        <v>2171</v>
      </c>
      <c r="H115">
        <v>2.1000916957900002</v>
      </c>
      <c r="I115" t="str">
        <f t="shared" si="1"/>
        <v>Gentle</v>
      </c>
      <c r="J115" t="s">
        <v>2173</v>
      </c>
      <c r="K115">
        <v>-0.18127532303300001</v>
      </c>
      <c r="L115">
        <v>8.7581186294600002</v>
      </c>
    </row>
    <row r="116" spans="1:12" x14ac:dyDescent="0.2">
      <c r="A116">
        <v>128</v>
      </c>
      <c r="B116" t="s">
        <v>362</v>
      </c>
      <c r="C116">
        <v>-4.2721366882324219</v>
      </c>
      <c r="D116">
        <v>35.909992218017578</v>
      </c>
      <c r="E116">
        <v>1197.5999755859375</v>
      </c>
      <c r="F116">
        <v>2017</v>
      </c>
      <c r="G116" t="s">
        <v>2171</v>
      </c>
      <c r="H116">
        <v>3.2385981082900002</v>
      </c>
      <c r="I116" t="str">
        <f t="shared" si="1"/>
        <v>Gentle</v>
      </c>
      <c r="J116" t="s">
        <v>2177</v>
      </c>
      <c r="K116">
        <v>0.54385989904400001</v>
      </c>
      <c r="L116">
        <v>8.7041940689100006</v>
      </c>
    </row>
    <row r="117" spans="1:12" x14ac:dyDescent="0.2">
      <c r="A117">
        <v>54</v>
      </c>
      <c r="B117" t="s">
        <v>193</v>
      </c>
      <c r="C117">
        <v>-4.3519630432128906</v>
      </c>
      <c r="D117">
        <v>35.427867889404297</v>
      </c>
      <c r="E117">
        <v>1650.4000244140625</v>
      </c>
      <c r="F117">
        <v>2017</v>
      </c>
      <c r="G117" t="s">
        <v>2171</v>
      </c>
      <c r="H117">
        <v>4.8935842514000001</v>
      </c>
      <c r="I117" t="str">
        <f t="shared" si="1"/>
        <v>Gentle</v>
      </c>
      <c r="J117" t="s">
        <v>2177</v>
      </c>
      <c r="K117">
        <v>0.63450175523800001</v>
      </c>
      <c r="L117">
        <v>7.66307353973</v>
      </c>
    </row>
    <row r="118" spans="1:12" x14ac:dyDescent="0.2">
      <c r="A118">
        <v>50</v>
      </c>
      <c r="B118" t="s">
        <v>1019</v>
      </c>
      <c r="C118">
        <v>-4.3397197723388672</v>
      </c>
      <c r="D118">
        <v>35.431865692138672</v>
      </c>
      <c r="E118">
        <v>1596</v>
      </c>
      <c r="F118">
        <v>2017</v>
      </c>
      <c r="G118" t="s">
        <v>2171</v>
      </c>
      <c r="H118">
        <v>2.5459241867100002</v>
      </c>
      <c r="I118" t="str">
        <f t="shared" si="1"/>
        <v>Gentle</v>
      </c>
      <c r="J118" t="s">
        <v>2173</v>
      </c>
      <c r="K118">
        <v>-0.27191722393000001</v>
      </c>
      <c r="L118">
        <v>11.442844390899999</v>
      </c>
    </row>
    <row r="119" spans="1:12" x14ac:dyDescent="0.2">
      <c r="A119">
        <v>47</v>
      </c>
      <c r="B119" t="s">
        <v>363</v>
      </c>
      <c r="C119">
        <v>-4.3403301239013672</v>
      </c>
      <c r="D119">
        <v>35.421199798583984</v>
      </c>
      <c r="E119">
        <v>1633.300048828125</v>
      </c>
      <c r="F119">
        <v>2017</v>
      </c>
      <c r="G119" t="s">
        <v>2171</v>
      </c>
      <c r="H119">
        <v>3.7037451267199999</v>
      </c>
      <c r="I119" t="str">
        <f t="shared" si="1"/>
        <v>Gentle</v>
      </c>
      <c r="J119" t="s">
        <v>2173</v>
      </c>
      <c r="K119">
        <v>-0.18127532303300001</v>
      </c>
      <c r="L119">
        <v>8.8814735412600001</v>
      </c>
    </row>
    <row r="120" spans="1:12" x14ac:dyDescent="0.2">
      <c r="A120">
        <v>82</v>
      </c>
      <c r="B120" t="s">
        <v>198</v>
      </c>
      <c r="C120">
        <v>-4.3320112228393555</v>
      </c>
      <c r="D120">
        <v>35.442691802978516</v>
      </c>
      <c r="E120">
        <v>1564</v>
      </c>
      <c r="F120">
        <v>2017</v>
      </c>
      <c r="G120" t="s">
        <v>2171</v>
      </c>
      <c r="H120">
        <v>0.65533638000500005</v>
      </c>
      <c r="I120" t="str">
        <f t="shared" si="1"/>
        <v>very gentle</v>
      </c>
      <c r="J120" t="s">
        <v>2173</v>
      </c>
      <c r="K120">
        <v>8.4776775111099995E-6</v>
      </c>
      <c r="L120">
        <v>11.811529159499999</v>
      </c>
    </row>
    <row r="121" spans="1:12" x14ac:dyDescent="0.2">
      <c r="A121">
        <v>81</v>
      </c>
      <c r="B121" t="s">
        <v>199</v>
      </c>
      <c r="C121">
        <v>-4.3300871849060059</v>
      </c>
      <c r="D121">
        <v>35.443668365478516</v>
      </c>
      <c r="E121">
        <v>1549.699951171875</v>
      </c>
      <c r="F121">
        <v>2017</v>
      </c>
      <c r="G121" t="s">
        <v>2171</v>
      </c>
      <c r="H121">
        <v>0</v>
      </c>
      <c r="I121" t="str">
        <f t="shared" si="1"/>
        <v>Depression</v>
      </c>
      <c r="J121" t="s">
        <v>2173</v>
      </c>
      <c r="K121">
        <v>8.4776775111099995E-6</v>
      </c>
      <c r="L121">
        <v>11.4374370575</v>
      </c>
    </row>
    <row r="122" spans="1:12" x14ac:dyDescent="0.2">
      <c r="A122">
        <v>51</v>
      </c>
      <c r="B122" t="s">
        <v>201</v>
      </c>
      <c r="C122">
        <v>-4.3366756439208984</v>
      </c>
      <c r="D122">
        <v>35.433216094970703</v>
      </c>
      <c r="E122">
        <v>1580.5</v>
      </c>
      <c r="F122">
        <v>2017</v>
      </c>
      <c r="G122" t="s">
        <v>2171</v>
      </c>
      <c r="H122">
        <v>0.48846834898000002</v>
      </c>
      <c r="I122" t="str">
        <f t="shared" si="1"/>
        <v>Depression</v>
      </c>
      <c r="J122" t="s">
        <v>2173</v>
      </c>
      <c r="K122">
        <v>-0.18127532303300001</v>
      </c>
      <c r="L122">
        <v>10.178800582899999</v>
      </c>
    </row>
    <row r="123" spans="1:12" x14ac:dyDescent="0.2">
      <c r="A123">
        <v>186</v>
      </c>
      <c r="B123" t="s">
        <v>364</v>
      </c>
      <c r="C123">
        <v>-4.329749584197998</v>
      </c>
      <c r="D123">
        <v>35.460727691650391</v>
      </c>
      <c r="E123">
        <v>1553</v>
      </c>
      <c r="F123">
        <v>2017</v>
      </c>
      <c r="G123" t="s">
        <v>2171</v>
      </c>
      <c r="H123">
        <v>0</v>
      </c>
      <c r="I123" t="str">
        <f t="shared" si="1"/>
        <v>Depression</v>
      </c>
      <c r="J123" t="s">
        <v>2173</v>
      </c>
      <c r="K123">
        <v>8.4776775111099995E-6</v>
      </c>
      <c r="L123">
        <v>11.4374370575</v>
      </c>
    </row>
    <row r="124" spans="1:12" x14ac:dyDescent="0.2">
      <c r="A124">
        <v>79</v>
      </c>
      <c r="B124" t="s">
        <v>203</v>
      </c>
      <c r="C124">
        <v>-4.3285355567932129</v>
      </c>
      <c r="D124">
        <v>35.444652557373047</v>
      </c>
      <c r="E124">
        <v>1545.4000244140625</v>
      </c>
      <c r="F124">
        <v>2017</v>
      </c>
      <c r="G124" t="s">
        <v>2171</v>
      </c>
      <c r="H124">
        <v>0</v>
      </c>
      <c r="I124" t="str">
        <f t="shared" si="1"/>
        <v>Depression</v>
      </c>
      <c r="J124" t="s">
        <v>2173</v>
      </c>
      <c r="K124">
        <v>8.4776775111099995E-6</v>
      </c>
      <c r="L124">
        <v>11.4374370575</v>
      </c>
    </row>
    <row r="125" spans="1:12" x14ac:dyDescent="0.2">
      <c r="A125">
        <v>48</v>
      </c>
      <c r="B125" t="s">
        <v>204</v>
      </c>
      <c r="C125">
        <v>-4.3407421112060547</v>
      </c>
      <c r="D125">
        <v>35.420608520507812</v>
      </c>
      <c r="E125">
        <v>1624.800048828125</v>
      </c>
      <c r="F125">
        <v>2017</v>
      </c>
      <c r="G125" t="s">
        <v>2171</v>
      </c>
      <c r="H125">
        <v>2.8647022247299998</v>
      </c>
      <c r="I125" t="str">
        <f t="shared" si="1"/>
        <v>Gentle</v>
      </c>
      <c r="J125" t="s">
        <v>2173</v>
      </c>
      <c r="K125">
        <v>-0.27191722393000001</v>
      </c>
      <c r="L125">
        <v>8.7366437912000006</v>
      </c>
    </row>
    <row r="126" spans="1:12" x14ac:dyDescent="0.2">
      <c r="A126">
        <v>59</v>
      </c>
      <c r="B126" t="s">
        <v>205</v>
      </c>
      <c r="C126">
        <v>-4.3316545486450195</v>
      </c>
      <c r="D126">
        <v>35.45123291015625</v>
      </c>
      <c r="E126">
        <v>1566</v>
      </c>
      <c r="F126">
        <v>2017</v>
      </c>
      <c r="G126" t="s">
        <v>2171</v>
      </c>
      <c r="H126">
        <v>0</v>
      </c>
      <c r="I126" t="str">
        <f t="shared" si="1"/>
        <v>Depression</v>
      </c>
      <c r="J126" t="s">
        <v>2173</v>
      </c>
      <c r="K126">
        <v>8.4776775111099995E-6</v>
      </c>
      <c r="L126">
        <v>11.4374370575</v>
      </c>
    </row>
    <row r="127" spans="1:12" x14ac:dyDescent="0.2">
      <c r="A127">
        <v>56</v>
      </c>
      <c r="B127" t="s">
        <v>365</v>
      </c>
      <c r="C127">
        <v>-4.3269343376159668</v>
      </c>
      <c r="D127">
        <v>35.441261291503906</v>
      </c>
      <c r="E127">
        <v>1566</v>
      </c>
      <c r="F127">
        <v>2017</v>
      </c>
      <c r="G127" t="s">
        <v>2171</v>
      </c>
      <c r="H127">
        <v>0</v>
      </c>
      <c r="I127" t="str">
        <f t="shared" si="1"/>
        <v>Depression</v>
      </c>
      <c r="J127" t="s">
        <v>2173</v>
      </c>
      <c r="K127">
        <v>8.4776775111099995E-6</v>
      </c>
      <c r="L127">
        <v>11.4374370575</v>
      </c>
    </row>
    <row r="128" spans="1:12" x14ac:dyDescent="0.2">
      <c r="A128">
        <v>212</v>
      </c>
      <c r="B128" t="s">
        <v>366</v>
      </c>
      <c r="C128">
        <v>-4.3393521308898926</v>
      </c>
      <c r="D128">
        <v>35.444431304931641</v>
      </c>
      <c r="E128">
        <v>1585.300048828125</v>
      </c>
      <c r="F128">
        <v>2017</v>
      </c>
      <c r="G128" t="s">
        <v>2171</v>
      </c>
      <c r="H128">
        <v>3.3609845638300002</v>
      </c>
      <c r="I128" t="str">
        <f t="shared" si="1"/>
        <v>Gentle</v>
      </c>
      <c r="J128" t="s">
        <v>2173</v>
      </c>
      <c r="K128">
        <v>9.0650379657699995E-2</v>
      </c>
      <c r="L128">
        <v>9.5012483596799999</v>
      </c>
    </row>
    <row r="129" spans="1:12" x14ac:dyDescent="0.2">
      <c r="A129">
        <v>58</v>
      </c>
      <c r="B129" t="s">
        <v>209</v>
      </c>
      <c r="C129">
        <v>-4.3318023681640625</v>
      </c>
      <c r="D129">
        <v>35.450305938720703</v>
      </c>
      <c r="E129">
        <v>1565.4000244140625</v>
      </c>
      <c r="F129">
        <v>2017</v>
      </c>
      <c r="G129" t="s">
        <v>2171</v>
      </c>
      <c r="H129">
        <v>0</v>
      </c>
      <c r="I129" t="str">
        <f t="shared" si="1"/>
        <v>Depression</v>
      </c>
      <c r="J129" t="s">
        <v>2173</v>
      </c>
      <c r="K129">
        <v>8.4776775111099995E-6</v>
      </c>
      <c r="L129">
        <v>11.4374370575</v>
      </c>
    </row>
    <row r="130" spans="1:12" x14ac:dyDescent="0.2">
      <c r="A130">
        <v>49</v>
      </c>
      <c r="B130" t="s">
        <v>210</v>
      </c>
      <c r="C130">
        <v>-4.3409576416015625</v>
      </c>
      <c r="D130">
        <v>35.425041198730469</v>
      </c>
      <c r="E130">
        <v>1617.699951171875</v>
      </c>
      <c r="F130">
        <v>2017</v>
      </c>
      <c r="G130" t="s">
        <v>2171</v>
      </c>
      <c r="H130">
        <v>4.1733207702600001</v>
      </c>
      <c r="I130" t="str">
        <f t="shared" si="1"/>
        <v>Gentle</v>
      </c>
      <c r="J130" t="s">
        <v>2173</v>
      </c>
      <c r="K130">
        <v>-0.27191722393000001</v>
      </c>
      <c r="L130">
        <v>9.3243646621699998</v>
      </c>
    </row>
    <row r="131" spans="1:12" x14ac:dyDescent="0.2">
      <c r="A131">
        <v>238</v>
      </c>
      <c r="B131" t="s">
        <v>573</v>
      </c>
      <c r="C131">
        <v>-4.2970261573791504</v>
      </c>
      <c r="D131">
        <v>35.864570617675781</v>
      </c>
      <c r="E131">
        <v>1262.4000244140625</v>
      </c>
      <c r="F131">
        <v>2017</v>
      </c>
      <c r="G131" t="s">
        <v>2171</v>
      </c>
      <c r="H131">
        <v>0.900638759136</v>
      </c>
      <c r="I131" t="str">
        <f t="shared" ref="I131:I194" si="2">IF(H131&lt;0.5,"Depression",IF(H131&lt;2,"very gentle",IF(H131&lt;5,"Gentle",IF(H131&lt;9,"Moderate",IF(H131&lt;15,"Strong",IF(H131&lt;30,"Steep",IF(H131&lt;1,"very steep")))))))</f>
        <v>very gentle</v>
      </c>
      <c r="J131" t="s">
        <v>2173</v>
      </c>
      <c r="K131">
        <v>0.18129228055499999</v>
      </c>
      <c r="L131">
        <v>8.7377004623399994</v>
      </c>
    </row>
    <row r="132" spans="1:12" x14ac:dyDescent="0.2">
      <c r="A132">
        <v>52</v>
      </c>
      <c r="B132" t="s">
        <v>211</v>
      </c>
      <c r="C132">
        <v>-4.3561315536499023</v>
      </c>
      <c r="D132">
        <v>35.444972991943359</v>
      </c>
      <c r="E132">
        <v>1723.199951171875</v>
      </c>
      <c r="F132">
        <v>2017</v>
      </c>
      <c r="G132" t="s">
        <v>2174</v>
      </c>
      <c r="H132">
        <v>6.78757381439</v>
      </c>
      <c r="I132" t="str">
        <f t="shared" si="2"/>
        <v>Moderate</v>
      </c>
      <c r="J132" t="s">
        <v>2177</v>
      </c>
      <c r="K132">
        <v>0.63450175523800001</v>
      </c>
      <c r="L132">
        <v>7.2923617363000002</v>
      </c>
    </row>
    <row r="133" spans="1:12" x14ac:dyDescent="0.2">
      <c r="A133">
        <v>57</v>
      </c>
      <c r="B133" t="s">
        <v>367</v>
      </c>
      <c r="C133">
        <v>-4.3272275924682617</v>
      </c>
      <c r="D133">
        <v>35.441505432128906</v>
      </c>
      <c r="E133">
        <v>1555.800048828125</v>
      </c>
      <c r="F133">
        <v>2017</v>
      </c>
      <c r="G133" t="s">
        <v>2171</v>
      </c>
      <c r="H133">
        <v>0</v>
      </c>
      <c r="I133" t="str">
        <f t="shared" si="2"/>
        <v>Depression</v>
      </c>
      <c r="J133" t="s">
        <v>2173</v>
      </c>
      <c r="K133">
        <v>8.4776775111099995E-6</v>
      </c>
      <c r="L133">
        <v>11.4374370575</v>
      </c>
    </row>
    <row r="134" spans="1:12" x14ac:dyDescent="0.2">
      <c r="A134">
        <v>53</v>
      </c>
      <c r="B134" t="s">
        <v>213</v>
      </c>
      <c r="C134">
        <v>-4.341313362121582</v>
      </c>
      <c r="D134">
        <v>35.419746398925781</v>
      </c>
      <c r="E134">
        <v>1642.9000244140625</v>
      </c>
      <c r="F134">
        <v>2017</v>
      </c>
      <c r="G134" t="s">
        <v>2171</v>
      </c>
      <c r="H134">
        <v>2.0972545146899999</v>
      </c>
      <c r="I134" t="str">
        <f t="shared" si="2"/>
        <v>Gentle</v>
      </c>
      <c r="J134" t="s">
        <v>2173</v>
      </c>
      <c r="K134">
        <v>9.0650379657699995E-2</v>
      </c>
      <c r="L134">
        <v>8.3043279647800006</v>
      </c>
    </row>
    <row r="135" spans="1:12" x14ac:dyDescent="0.2">
      <c r="A135">
        <v>80</v>
      </c>
      <c r="B135" t="s">
        <v>1088</v>
      </c>
      <c r="C135">
        <v>-4.331390380859375</v>
      </c>
      <c r="D135">
        <v>35.444061279296875</v>
      </c>
      <c r="E135">
        <v>1547.800048828125</v>
      </c>
      <c r="F135">
        <v>2017</v>
      </c>
      <c r="G135" t="s">
        <v>2171</v>
      </c>
      <c r="H135">
        <v>0</v>
      </c>
      <c r="I135" t="str">
        <f t="shared" si="2"/>
        <v>Depression</v>
      </c>
      <c r="J135" t="s">
        <v>2173</v>
      </c>
      <c r="K135">
        <v>8.4776775111099995E-6</v>
      </c>
      <c r="L135">
        <v>11.4374370575</v>
      </c>
    </row>
    <row r="136" spans="1:12" x14ac:dyDescent="0.2">
      <c r="A136">
        <v>55</v>
      </c>
      <c r="B136" t="s">
        <v>368</v>
      </c>
      <c r="C136">
        <v>-4.3410921096801758</v>
      </c>
      <c r="D136">
        <v>35.419467926025391</v>
      </c>
      <c r="E136">
        <v>1643</v>
      </c>
      <c r="F136">
        <v>2017</v>
      </c>
      <c r="G136" t="s">
        <v>2171</v>
      </c>
      <c r="H136">
        <v>2.0972545146899999</v>
      </c>
      <c r="I136" t="str">
        <f t="shared" si="2"/>
        <v>Gentle</v>
      </c>
      <c r="J136" t="s">
        <v>2173</v>
      </c>
      <c r="K136">
        <v>9.0650379657699995E-2</v>
      </c>
      <c r="L136">
        <v>8.3043279647800006</v>
      </c>
    </row>
    <row r="137" spans="1:12" x14ac:dyDescent="0.2">
      <c r="A137">
        <v>94</v>
      </c>
      <c r="B137" t="s">
        <v>1096</v>
      </c>
      <c r="C137">
        <v>-4.306312084197998</v>
      </c>
      <c r="D137">
        <v>35.864559173583984</v>
      </c>
      <c r="E137">
        <v>1244.800048828125</v>
      </c>
      <c r="F137">
        <v>2017</v>
      </c>
      <c r="G137" t="s">
        <v>2171</v>
      </c>
      <c r="H137">
        <v>1.4196667671200001</v>
      </c>
      <c r="I137" t="str">
        <f t="shared" si="2"/>
        <v>very gentle</v>
      </c>
      <c r="J137" t="s">
        <v>2173</v>
      </c>
      <c r="K137">
        <v>-0.27191722393000001</v>
      </c>
      <c r="L137">
        <v>10.268507957500001</v>
      </c>
    </row>
    <row r="138" spans="1:12" x14ac:dyDescent="0.2">
      <c r="A138">
        <v>221</v>
      </c>
      <c r="B138" t="s">
        <v>1100</v>
      </c>
      <c r="C138">
        <v>-4.3045344352722168</v>
      </c>
      <c r="D138">
        <v>35.866374969482422</v>
      </c>
      <c r="E138">
        <v>1243.699951171875</v>
      </c>
      <c r="F138">
        <v>2017</v>
      </c>
      <c r="G138" t="s">
        <v>2171</v>
      </c>
      <c r="H138">
        <v>1.0361100435299999</v>
      </c>
      <c r="I138" t="str">
        <f t="shared" si="2"/>
        <v>very gentle</v>
      </c>
      <c r="J138" t="s">
        <v>2177</v>
      </c>
      <c r="K138">
        <v>0.54385989904400001</v>
      </c>
      <c r="L138">
        <v>8.8965396881099998</v>
      </c>
    </row>
    <row r="139" spans="1:12" x14ac:dyDescent="0.2">
      <c r="A139">
        <v>11</v>
      </c>
      <c r="B139" t="s">
        <v>370</v>
      </c>
      <c r="C139">
        <v>-4.3042616844177246</v>
      </c>
      <c r="D139">
        <v>35.875431060791016</v>
      </c>
      <c r="E139">
        <v>1258.800048828125</v>
      </c>
      <c r="F139">
        <v>2017</v>
      </c>
      <c r="G139" t="s">
        <v>2171</v>
      </c>
      <c r="H139">
        <v>0.83179336786299995</v>
      </c>
      <c r="I139" t="str">
        <f t="shared" si="2"/>
        <v>very gentle</v>
      </c>
      <c r="J139" t="s">
        <v>2173</v>
      </c>
      <c r="K139">
        <v>-9.0633422136300004E-2</v>
      </c>
      <c r="L139">
        <v>7.9720454215999998</v>
      </c>
    </row>
    <row r="140" spans="1:12" x14ac:dyDescent="0.2">
      <c r="A140">
        <v>97</v>
      </c>
      <c r="B140" t="s">
        <v>1108</v>
      </c>
      <c r="C140">
        <v>-4.2969870567321777</v>
      </c>
      <c r="D140">
        <v>35.849224090576172</v>
      </c>
      <c r="E140">
        <v>1274.800048828125</v>
      </c>
      <c r="F140">
        <v>2017</v>
      </c>
      <c r="G140" t="s">
        <v>2171</v>
      </c>
      <c r="H140">
        <v>1.5327152013800001</v>
      </c>
      <c r="I140" t="str">
        <f t="shared" si="2"/>
        <v>very gentle</v>
      </c>
      <c r="J140" t="s">
        <v>2173</v>
      </c>
      <c r="K140">
        <v>-0.27191722393000001</v>
      </c>
      <c r="L140">
        <v>9.4327993392899998</v>
      </c>
    </row>
    <row r="141" spans="1:12" x14ac:dyDescent="0.2">
      <c r="A141">
        <v>2</v>
      </c>
      <c r="B141" t="s">
        <v>219</v>
      </c>
      <c r="C141">
        <v>-4.2959508895874023</v>
      </c>
      <c r="D141">
        <v>35.849796295166016</v>
      </c>
      <c r="E141">
        <v>1272.199951171875</v>
      </c>
      <c r="F141">
        <v>2017</v>
      </c>
      <c r="G141" t="s">
        <v>2171</v>
      </c>
      <c r="H141">
        <v>1.52882194519</v>
      </c>
      <c r="I141" t="str">
        <f t="shared" si="2"/>
        <v>very gentle</v>
      </c>
      <c r="J141" t="s">
        <v>2173</v>
      </c>
      <c r="K141">
        <v>-9.0633422136300004E-2</v>
      </c>
      <c r="L141">
        <v>9.7258768081699998</v>
      </c>
    </row>
    <row r="142" spans="1:12" x14ac:dyDescent="0.2">
      <c r="A142">
        <v>223</v>
      </c>
      <c r="B142" t="s">
        <v>1116</v>
      </c>
      <c r="C142">
        <v>-4.308568000793457</v>
      </c>
      <c r="D142">
        <v>35.865314483642578</v>
      </c>
      <c r="E142">
        <v>1237.800048828125</v>
      </c>
      <c r="F142">
        <v>2017</v>
      </c>
      <c r="G142" t="s">
        <v>2171</v>
      </c>
      <c r="H142">
        <v>0.48846834898000002</v>
      </c>
      <c r="I142" t="str">
        <f t="shared" si="2"/>
        <v>Depression</v>
      </c>
      <c r="J142" t="s">
        <v>2173</v>
      </c>
      <c r="K142">
        <v>0.18129228055499999</v>
      </c>
      <c r="L142">
        <v>8.6934442520099999</v>
      </c>
    </row>
    <row r="143" spans="1:12" x14ac:dyDescent="0.2">
      <c r="A143">
        <v>239</v>
      </c>
      <c r="B143" t="s">
        <v>1116</v>
      </c>
      <c r="C143">
        <v>-4.2963466644287109</v>
      </c>
      <c r="D143">
        <v>35.860977172851562</v>
      </c>
      <c r="E143">
        <v>1258.300048828125</v>
      </c>
      <c r="F143">
        <v>2017</v>
      </c>
      <c r="G143" t="s">
        <v>2171</v>
      </c>
      <c r="H143">
        <v>0.48846834898000002</v>
      </c>
      <c r="I143" t="str">
        <f t="shared" si="2"/>
        <v>Depression</v>
      </c>
      <c r="J143" t="s">
        <v>2173</v>
      </c>
      <c r="K143">
        <v>0.18129228055499999</v>
      </c>
      <c r="L143">
        <v>8.6934442520099999</v>
      </c>
    </row>
    <row r="144" spans="1:12" x14ac:dyDescent="0.2">
      <c r="A144">
        <v>218</v>
      </c>
      <c r="B144" t="s">
        <v>1120</v>
      </c>
      <c r="C144">
        <v>-4.2970547676086426</v>
      </c>
      <c r="D144">
        <v>35.864608764648438</v>
      </c>
      <c r="E144">
        <v>1259.199951171875</v>
      </c>
      <c r="F144">
        <v>2017</v>
      </c>
      <c r="G144" t="s">
        <v>2171</v>
      </c>
      <c r="H144">
        <v>0.93952620029400002</v>
      </c>
      <c r="I144" t="str">
        <f t="shared" si="2"/>
        <v>very gentle</v>
      </c>
      <c r="J144" t="s">
        <v>2173</v>
      </c>
      <c r="K144">
        <v>0.18129228055499999</v>
      </c>
      <c r="L144">
        <v>10.237704277000001</v>
      </c>
    </row>
    <row r="145" spans="1:12" x14ac:dyDescent="0.2">
      <c r="A145">
        <v>9</v>
      </c>
      <c r="B145" t="s">
        <v>1125</v>
      </c>
      <c r="C145">
        <v>-4.316126823425293</v>
      </c>
      <c r="D145">
        <v>35.874771118164062</v>
      </c>
      <c r="E145">
        <v>1232.699951171875</v>
      </c>
      <c r="F145">
        <v>2017</v>
      </c>
      <c r="G145" t="s">
        <v>2171</v>
      </c>
      <c r="H145">
        <v>0.900638759136</v>
      </c>
      <c r="I145" t="str">
        <f t="shared" si="2"/>
        <v>very gentle</v>
      </c>
      <c r="J145" t="s">
        <v>2173</v>
      </c>
      <c r="K145">
        <v>9.0650379657699995E-2</v>
      </c>
      <c r="L145">
        <v>9.4924430847199996</v>
      </c>
    </row>
    <row r="146" spans="1:12" x14ac:dyDescent="0.2">
      <c r="A146">
        <v>222</v>
      </c>
      <c r="B146" t="s">
        <v>1129</v>
      </c>
      <c r="C146">
        <v>-4.3123254776000977</v>
      </c>
      <c r="D146">
        <v>35.874874114990234</v>
      </c>
      <c r="E146">
        <v>1228.9000244140625</v>
      </c>
      <c r="F146">
        <v>2017</v>
      </c>
      <c r="G146" t="s">
        <v>2171</v>
      </c>
      <c r="H146">
        <v>0.10922735929500001</v>
      </c>
      <c r="I146" t="str">
        <f t="shared" si="2"/>
        <v>Depression</v>
      </c>
      <c r="J146" t="s">
        <v>2173</v>
      </c>
      <c r="K146">
        <v>0.36257606744799997</v>
      </c>
      <c r="L146">
        <v>11.4374370575</v>
      </c>
    </row>
    <row r="147" spans="1:12" x14ac:dyDescent="0.2">
      <c r="A147">
        <v>3</v>
      </c>
      <c r="B147" t="s">
        <v>373</v>
      </c>
      <c r="C147">
        <v>-4.2999958992004395</v>
      </c>
      <c r="D147">
        <v>35.850307464599609</v>
      </c>
      <c r="E147">
        <v>1270.4000244140625</v>
      </c>
      <c r="F147">
        <v>2017</v>
      </c>
      <c r="G147" t="s">
        <v>2171</v>
      </c>
      <c r="H147">
        <v>1.36835634708</v>
      </c>
      <c r="I147" t="str">
        <f t="shared" si="2"/>
        <v>very gentle</v>
      </c>
      <c r="J147" t="s">
        <v>2173</v>
      </c>
      <c r="K147">
        <v>-9.0633422136300004E-2</v>
      </c>
      <c r="L147">
        <v>8.9760036468499997</v>
      </c>
    </row>
    <row r="148" spans="1:12" x14ac:dyDescent="0.2">
      <c r="A148">
        <v>219</v>
      </c>
      <c r="B148" t="s">
        <v>1137</v>
      </c>
      <c r="C148">
        <v>-4.3043117523193359</v>
      </c>
      <c r="D148">
        <v>35.865875244140625</v>
      </c>
      <c r="E148">
        <v>1246.800048828125</v>
      </c>
      <c r="F148">
        <v>2017</v>
      </c>
      <c r="G148" t="s">
        <v>2171</v>
      </c>
      <c r="H148">
        <v>1.0361100435299999</v>
      </c>
      <c r="I148" t="str">
        <f t="shared" si="2"/>
        <v>very gentle</v>
      </c>
      <c r="J148" t="s">
        <v>2177</v>
      </c>
      <c r="K148">
        <v>0.54385989904400001</v>
      </c>
      <c r="L148">
        <v>8.8965396881099998</v>
      </c>
    </row>
    <row r="149" spans="1:12" x14ac:dyDescent="0.2">
      <c r="A149">
        <v>101</v>
      </c>
      <c r="B149" t="s">
        <v>229</v>
      </c>
      <c r="C149">
        <v>-4.2923345565795898</v>
      </c>
      <c r="D149">
        <v>35.850872039794922</v>
      </c>
      <c r="E149">
        <v>1304.699951171875</v>
      </c>
      <c r="F149">
        <v>2017</v>
      </c>
      <c r="G149" t="s">
        <v>2171</v>
      </c>
      <c r="H149">
        <v>0.46340289711999999</v>
      </c>
      <c r="I149" t="str">
        <f t="shared" si="2"/>
        <v>Depression</v>
      </c>
      <c r="J149" t="s">
        <v>2173</v>
      </c>
      <c r="K149">
        <v>-0.362559139729</v>
      </c>
      <c r="L149">
        <v>10.770300865199999</v>
      </c>
    </row>
    <row r="150" spans="1:12" x14ac:dyDescent="0.2">
      <c r="A150">
        <v>96</v>
      </c>
      <c r="B150" t="s">
        <v>374</v>
      </c>
      <c r="C150">
        <v>-4.3067183494567871</v>
      </c>
      <c r="D150">
        <v>35.864860534667969</v>
      </c>
      <c r="E150">
        <v>1241.5999755859375</v>
      </c>
      <c r="F150">
        <v>2017</v>
      </c>
      <c r="G150" t="s">
        <v>2171</v>
      </c>
      <c r="H150">
        <v>1.76406645775</v>
      </c>
      <c r="I150" t="str">
        <f t="shared" si="2"/>
        <v>very gentle</v>
      </c>
      <c r="J150" t="s">
        <v>2173</v>
      </c>
      <c r="K150">
        <v>0.45321798324599999</v>
      </c>
      <c r="L150">
        <v>9.2365970611599995</v>
      </c>
    </row>
    <row r="151" spans="1:12" x14ac:dyDescent="0.2">
      <c r="A151">
        <v>103</v>
      </c>
      <c r="B151" t="s">
        <v>1147</v>
      </c>
      <c r="C151">
        <v>-4.2892546653747559</v>
      </c>
      <c r="D151">
        <v>35.852764129638672</v>
      </c>
      <c r="E151">
        <v>1271.9000244140625</v>
      </c>
      <c r="F151">
        <v>2017</v>
      </c>
      <c r="G151" t="s">
        <v>2171</v>
      </c>
      <c r="H151">
        <v>1.22101557255</v>
      </c>
      <c r="I151" t="str">
        <f t="shared" si="2"/>
        <v>very gentle</v>
      </c>
      <c r="J151" t="s">
        <v>2173</v>
      </c>
      <c r="K151">
        <v>8.4776775111099995E-6</v>
      </c>
      <c r="L151">
        <v>10.5152492523</v>
      </c>
    </row>
    <row r="152" spans="1:12" x14ac:dyDescent="0.2">
      <c r="A152">
        <v>105</v>
      </c>
      <c r="B152" t="s">
        <v>375</v>
      </c>
      <c r="C152">
        <v>-4.2102713584899902</v>
      </c>
      <c r="D152">
        <v>35.743160247802734</v>
      </c>
      <c r="E152">
        <v>1345.300048828125</v>
      </c>
      <c r="F152">
        <v>2017</v>
      </c>
      <c r="G152" t="s">
        <v>2171</v>
      </c>
      <c r="H152">
        <v>1.22101557255</v>
      </c>
      <c r="I152" t="str">
        <f t="shared" si="2"/>
        <v>very gentle</v>
      </c>
      <c r="J152" t="s">
        <v>2173</v>
      </c>
      <c r="K152">
        <v>8.4776775111099995E-6</v>
      </c>
      <c r="L152">
        <v>10.5152492523</v>
      </c>
    </row>
    <row r="153" spans="1:12" x14ac:dyDescent="0.2">
      <c r="A153">
        <v>7</v>
      </c>
      <c r="B153" t="s">
        <v>432</v>
      </c>
      <c r="C153">
        <v>-4.310492992401123</v>
      </c>
      <c r="D153">
        <v>35.873733520507812</v>
      </c>
      <c r="E153">
        <v>1235.5</v>
      </c>
      <c r="F153">
        <v>2017</v>
      </c>
      <c r="G153" t="s">
        <v>2171</v>
      </c>
      <c r="H153">
        <v>1.1402179002799999</v>
      </c>
      <c r="I153" t="str">
        <f t="shared" si="2"/>
        <v>very gentle</v>
      </c>
      <c r="J153" t="s">
        <v>2173</v>
      </c>
      <c r="K153">
        <v>-0.27191722393000001</v>
      </c>
      <c r="L153">
        <v>11.7633571625</v>
      </c>
    </row>
    <row r="154" spans="1:12" x14ac:dyDescent="0.2">
      <c r="A154">
        <v>8</v>
      </c>
      <c r="B154" t="s">
        <v>1154</v>
      </c>
      <c r="C154">
        <v>-4.3064398765563965</v>
      </c>
      <c r="D154">
        <v>35.873340606689453</v>
      </c>
      <c r="E154">
        <v>1240.800048828125</v>
      </c>
      <c r="F154">
        <v>2017</v>
      </c>
      <c r="G154" t="s">
        <v>2171</v>
      </c>
      <c r="H154">
        <v>2.5459241867100002</v>
      </c>
      <c r="I154" t="str">
        <f t="shared" si="2"/>
        <v>Gentle</v>
      </c>
      <c r="J154" t="s">
        <v>2173</v>
      </c>
      <c r="K154">
        <v>8.4776775111099995E-6</v>
      </c>
      <c r="L154">
        <v>8.8782196044900008</v>
      </c>
    </row>
    <row r="155" spans="1:12" x14ac:dyDescent="0.2">
      <c r="A155">
        <v>220</v>
      </c>
      <c r="B155" t="s">
        <v>1158</v>
      </c>
      <c r="C155">
        <v>-4.3019556999206543</v>
      </c>
      <c r="D155">
        <v>35.868911743164062</v>
      </c>
      <c r="E155">
        <v>1252.300048828125</v>
      </c>
      <c r="F155">
        <v>2017</v>
      </c>
      <c r="G155" t="s">
        <v>2171</v>
      </c>
      <c r="H155">
        <v>0.699362456799</v>
      </c>
      <c r="I155" t="str">
        <f t="shared" si="2"/>
        <v>very gentle</v>
      </c>
      <c r="J155" t="s">
        <v>2173</v>
      </c>
      <c r="K155">
        <v>0.36257606744799997</v>
      </c>
      <c r="L155">
        <v>9.0593633651700003</v>
      </c>
    </row>
    <row r="156" spans="1:12" x14ac:dyDescent="0.2">
      <c r="A156">
        <v>98</v>
      </c>
      <c r="B156" t="s">
        <v>376</v>
      </c>
      <c r="C156">
        <v>-4.3180837631225586</v>
      </c>
      <c r="D156">
        <v>35.872280120849609</v>
      </c>
      <c r="E156">
        <v>1213.5</v>
      </c>
      <c r="F156">
        <v>2017</v>
      </c>
      <c r="G156" t="s">
        <v>2171</v>
      </c>
      <c r="H156">
        <v>0.66437512636200002</v>
      </c>
      <c r="I156" t="str">
        <f t="shared" si="2"/>
        <v>very gentle</v>
      </c>
      <c r="J156" t="s">
        <v>2173</v>
      </c>
      <c r="K156">
        <v>-0.27191722393000001</v>
      </c>
      <c r="L156">
        <v>10.6292409897</v>
      </c>
    </row>
    <row r="157" spans="1:12" x14ac:dyDescent="0.2">
      <c r="A157">
        <v>1</v>
      </c>
      <c r="B157" t="s">
        <v>377</v>
      </c>
      <c r="C157">
        <v>-4.3029470443725586</v>
      </c>
      <c r="D157">
        <v>35.849178314208984</v>
      </c>
      <c r="E157">
        <v>1252.199951171875</v>
      </c>
      <c r="F157">
        <v>2017</v>
      </c>
      <c r="G157" t="s">
        <v>2171</v>
      </c>
      <c r="H157">
        <v>1.00692403316</v>
      </c>
      <c r="I157" t="str">
        <f t="shared" si="2"/>
        <v>very gentle</v>
      </c>
      <c r="J157" t="s">
        <v>2173</v>
      </c>
      <c r="K157">
        <v>8.4776775111099995E-6</v>
      </c>
      <c r="L157">
        <v>9.9152717590300004</v>
      </c>
    </row>
    <row r="158" spans="1:12" x14ac:dyDescent="0.2">
      <c r="A158">
        <v>99</v>
      </c>
      <c r="B158" t="s">
        <v>1171</v>
      </c>
      <c r="C158">
        <v>-4.3177323341369629</v>
      </c>
      <c r="D158">
        <v>35.872314453125</v>
      </c>
      <c r="E158">
        <v>1228.0999755859375</v>
      </c>
      <c r="F158">
        <v>2017</v>
      </c>
      <c r="G158" t="s">
        <v>2171</v>
      </c>
      <c r="H158">
        <v>0.66437512636200002</v>
      </c>
      <c r="I158" t="str">
        <f t="shared" si="2"/>
        <v>very gentle</v>
      </c>
      <c r="J158" t="s">
        <v>2173</v>
      </c>
      <c r="K158">
        <v>-0.27191722393000001</v>
      </c>
      <c r="L158">
        <v>10.6292409897</v>
      </c>
    </row>
    <row r="159" spans="1:12" x14ac:dyDescent="0.2">
      <c r="A159">
        <v>26</v>
      </c>
      <c r="B159" t="s">
        <v>378</v>
      </c>
      <c r="C159">
        <v>-4.3631119728088379</v>
      </c>
      <c r="D159">
        <v>35.481925964355469</v>
      </c>
      <c r="E159">
        <v>1696.199951171875</v>
      </c>
      <c r="F159">
        <v>2017</v>
      </c>
      <c r="G159" t="s">
        <v>2171</v>
      </c>
      <c r="H159">
        <v>2.49159216881</v>
      </c>
      <c r="I159" t="str">
        <f t="shared" si="2"/>
        <v>Gentle</v>
      </c>
      <c r="J159" t="s">
        <v>2177</v>
      </c>
      <c r="K159">
        <v>0.72514367103599997</v>
      </c>
      <c r="L159">
        <v>7.96718549728</v>
      </c>
    </row>
    <row r="160" spans="1:12" x14ac:dyDescent="0.2">
      <c r="A160">
        <v>25</v>
      </c>
      <c r="B160" t="s">
        <v>241</v>
      </c>
      <c r="C160">
        <v>-4.3503084182739258</v>
      </c>
      <c r="D160">
        <v>35.483139038085938</v>
      </c>
      <c r="E160">
        <v>1654.0999755859375</v>
      </c>
      <c r="F160">
        <v>2017</v>
      </c>
      <c r="G160" t="s">
        <v>2171</v>
      </c>
      <c r="H160">
        <v>3.5533039569899998</v>
      </c>
      <c r="I160" t="str">
        <f t="shared" si="2"/>
        <v>Gentle</v>
      </c>
      <c r="J160" t="s">
        <v>2173</v>
      </c>
      <c r="K160">
        <v>-9.0633422136300004E-2</v>
      </c>
      <c r="L160">
        <v>8.7059078216600003</v>
      </c>
    </row>
    <row r="161" spans="1:12" x14ac:dyDescent="0.2">
      <c r="A161">
        <v>89</v>
      </c>
      <c r="B161" t="s">
        <v>242</v>
      </c>
      <c r="C161">
        <v>-4.3539328575134277</v>
      </c>
      <c r="D161">
        <v>35.488338470458984</v>
      </c>
      <c r="E161">
        <v>1676.0999755859375</v>
      </c>
      <c r="F161">
        <v>2017</v>
      </c>
      <c r="G161" t="s">
        <v>2171</v>
      </c>
      <c r="H161">
        <v>3.3021626472499999</v>
      </c>
      <c r="I161" t="str">
        <f t="shared" si="2"/>
        <v>Gentle</v>
      </c>
      <c r="J161" t="s">
        <v>2173</v>
      </c>
      <c r="K161">
        <v>9.0650379657699995E-2</v>
      </c>
      <c r="L161">
        <v>7.8596940040599996</v>
      </c>
    </row>
    <row r="162" spans="1:12" x14ac:dyDescent="0.2">
      <c r="A162">
        <v>84</v>
      </c>
      <c r="B162" t="s">
        <v>1187</v>
      </c>
      <c r="C162">
        <v>-4.3652324676513672</v>
      </c>
      <c r="D162">
        <v>35.470294952392578</v>
      </c>
      <c r="E162">
        <v>1703.4000244140625</v>
      </c>
      <c r="F162">
        <v>2017</v>
      </c>
      <c r="G162" t="s">
        <v>2171</v>
      </c>
      <c r="H162">
        <v>0.15447062253999999</v>
      </c>
      <c r="I162" t="str">
        <f t="shared" si="2"/>
        <v>Depression</v>
      </c>
      <c r="J162" t="s">
        <v>2173</v>
      </c>
      <c r="K162">
        <v>-0.18127532303300001</v>
      </c>
      <c r="L162">
        <v>12.658034324600001</v>
      </c>
    </row>
    <row r="163" spans="1:12" x14ac:dyDescent="0.2">
      <c r="A163">
        <v>60</v>
      </c>
      <c r="B163" t="s">
        <v>430</v>
      </c>
      <c r="C163">
        <v>-4.3434734344482422</v>
      </c>
      <c r="D163">
        <v>35.488506317138672</v>
      </c>
      <c r="E163">
        <v>1608.9000244140625</v>
      </c>
      <c r="F163">
        <v>2017</v>
      </c>
      <c r="G163" t="s">
        <v>2171</v>
      </c>
      <c r="H163">
        <v>2.7825758457199998</v>
      </c>
      <c r="I163" t="str">
        <f t="shared" si="2"/>
        <v>Gentle</v>
      </c>
      <c r="J163" t="s">
        <v>2173</v>
      </c>
      <c r="K163">
        <v>-0.362559139729</v>
      </c>
      <c r="L163">
        <v>9.3342838287400003</v>
      </c>
    </row>
    <row r="164" spans="1:12" x14ac:dyDescent="0.2">
      <c r="A164">
        <v>92</v>
      </c>
      <c r="B164" t="s">
        <v>412</v>
      </c>
      <c r="C164">
        <v>-4.3602652549743652</v>
      </c>
      <c r="D164">
        <v>35.487712860107422</v>
      </c>
      <c r="E164">
        <v>1703.699951171875</v>
      </c>
      <c r="F164">
        <v>2017</v>
      </c>
      <c r="G164" t="s">
        <v>2171</v>
      </c>
      <c r="H164">
        <v>1.79088056087</v>
      </c>
      <c r="I164" t="str">
        <f t="shared" si="2"/>
        <v>very gentle</v>
      </c>
      <c r="J164" t="s">
        <v>2173</v>
      </c>
      <c r="K164">
        <v>9.0650379657699995E-2</v>
      </c>
      <c r="L164">
        <v>8.58259773254</v>
      </c>
    </row>
    <row r="165" spans="1:12" x14ac:dyDescent="0.2">
      <c r="A165">
        <v>88</v>
      </c>
      <c r="B165" t="s">
        <v>379</v>
      </c>
      <c r="C165">
        <v>-4.3514118194580078</v>
      </c>
      <c r="D165">
        <v>35.465587615966797</v>
      </c>
      <c r="E165">
        <v>1658.300048828125</v>
      </c>
      <c r="F165">
        <v>2017</v>
      </c>
      <c r="G165" t="s">
        <v>2171</v>
      </c>
      <c r="H165">
        <v>2.10858082771</v>
      </c>
      <c r="I165" t="str">
        <f t="shared" si="2"/>
        <v>Gentle</v>
      </c>
      <c r="J165" t="s">
        <v>2172</v>
      </c>
      <c r="K165">
        <v>-0.725126743317</v>
      </c>
      <c r="L165">
        <v>11.665823936500001</v>
      </c>
    </row>
    <row r="166" spans="1:12" x14ac:dyDescent="0.2">
      <c r="A166">
        <v>19</v>
      </c>
      <c r="B166" t="s">
        <v>380</v>
      </c>
      <c r="C166">
        <v>-4.3649811744689941</v>
      </c>
      <c r="D166">
        <v>35.470508575439453</v>
      </c>
      <c r="E166">
        <v>1688.699951171875</v>
      </c>
      <c r="F166">
        <v>2017</v>
      </c>
      <c r="G166" t="s">
        <v>2171</v>
      </c>
      <c r="H166">
        <v>0.15447062253999999</v>
      </c>
      <c r="I166" t="str">
        <f t="shared" si="2"/>
        <v>Depression</v>
      </c>
      <c r="J166" t="s">
        <v>2173</v>
      </c>
      <c r="K166">
        <v>-0.18127532303300001</v>
      </c>
      <c r="L166">
        <v>12.658034324600001</v>
      </c>
    </row>
    <row r="167" spans="1:12" x14ac:dyDescent="0.2">
      <c r="A167">
        <v>18</v>
      </c>
      <c r="B167" t="s">
        <v>246</v>
      </c>
      <c r="C167">
        <v>-4.3597245216369629</v>
      </c>
      <c r="D167">
        <v>35.488910675048828</v>
      </c>
      <c r="E167">
        <v>1690.800048828125</v>
      </c>
      <c r="F167">
        <v>2017</v>
      </c>
      <c r="G167" t="s">
        <v>2171</v>
      </c>
      <c r="H167">
        <v>2.80598473549</v>
      </c>
      <c r="I167" t="str">
        <f t="shared" si="2"/>
        <v>Gentle</v>
      </c>
      <c r="J167" t="s">
        <v>2173</v>
      </c>
      <c r="K167">
        <v>0.36257606744799997</v>
      </c>
      <c r="L167">
        <v>8.7084684371899996</v>
      </c>
    </row>
    <row r="168" spans="1:12" x14ac:dyDescent="0.2">
      <c r="A168">
        <v>17</v>
      </c>
      <c r="B168" t="s">
        <v>427</v>
      </c>
      <c r="C168">
        <v>-4.3426685333251953</v>
      </c>
      <c r="D168">
        <v>35.492160797119141</v>
      </c>
      <c r="E168">
        <v>1616.0999755859375</v>
      </c>
      <c r="F168">
        <v>2017</v>
      </c>
      <c r="G168" t="s">
        <v>2183</v>
      </c>
      <c r="H168">
        <v>3.07292437553</v>
      </c>
      <c r="I168" t="str">
        <f t="shared" si="2"/>
        <v>Gentle</v>
      </c>
      <c r="J168" t="s">
        <v>2182</v>
      </c>
      <c r="K168">
        <v>1.26899504662</v>
      </c>
      <c r="L168">
        <v>7.5729436874399996</v>
      </c>
    </row>
    <row r="169" spans="1:12" x14ac:dyDescent="0.2">
      <c r="A169">
        <v>22</v>
      </c>
      <c r="B169" t="s">
        <v>1213</v>
      </c>
      <c r="C169">
        <v>-4.3578367233276367</v>
      </c>
      <c r="D169">
        <v>35.476325988769531</v>
      </c>
      <c r="E169">
        <v>1663.9000244140625</v>
      </c>
      <c r="F169">
        <v>2017</v>
      </c>
      <c r="G169" t="s">
        <v>2171</v>
      </c>
      <c r="H169">
        <v>3.36980676651</v>
      </c>
      <c r="I169" t="str">
        <f t="shared" si="2"/>
        <v>Gentle</v>
      </c>
      <c r="J169" t="s">
        <v>2173</v>
      </c>
      <c r="K169">
        <v>-0.45320102572400001</v>
      </c>
      <c r="L169">
        <v>10.7425298691</v>
      </c>
    </row>
    <row r="170" spans="1:12" x14ac:dyDescent="0.2">
      <c r="A170">
        <v>75</v>
      </c>
      <c r="B170" t="s">
        <v>247</v>
      </c>
      <c r="C170">
        <v>-4.3557915687561035</v>
      </c>
      <c r="D170">
        <v>35.483161926269531</v>
      </c>
      <c r="E170">
        <v>1687.9000244140625</v>
      </c>
      <c r="F170">
        <v>2017</v>
      </c>
      <c r="G170" t="s">
        <v>2174</v>
      </c>
      <c r="H170">
        <v>5.0304594039900001</v>
      </c>
      <c r="I170" t="str">
        <f t="shared" si="2"/>
        <v>Moderate</v>
      </c>
      <c r="J170" t="s">
        <v>2178</v>
      </c>
      <c r="K170">
        <v>-9.0633422136300004E-2</v>
      </c>
      <c r="L170">
        <v>8.4956922531100005</v>
      </c>
    </row>
    <row r="171" spans="1:12" x14ac:dyDescent="0.2">
      <c r="A171">
        <v>187</v>
      </c>
      <c r="B171" t="s">
        <v>433</v>
      </c>
      <c r="C171">
        <v>-4.3435859680175781</v>
      </c>
      <c r="D171">
        <v>35.478065490722656</v>
      </c>
      <c r="E171">
        <v>1623.300048828125</v>
      </c>
      <c r="F171">
        <v>2017</v>
      </c>
      <c r="G171" t="s">
        <v>2174</v>
      </c>
      <c r="H171">
        <v>4.8365068435699996</v>
      </c>
      <c r="I171" t="str">
        <f t="shared" si="2"/>
        <v>Gentle</v>
      </c>
      <c r="J171" t="s">
        <v>2173</v>
      </c>
      <c r="K171">
        <v>0.18129228055499999</v>
      </c>
      <c r="L171">
        <v>8.2040119171099999</v>
      </c>
    </row>
    <row r="172" spans="1:12" x14ac:dyDescent="0.2">
      <c r="A172">
        <v>78</v>
      </c>
      <c r="B172" t="s">
        <v>382</v>
      </c>
      <c r="C172">
        <v>-4.3346128463745117</v>
      </c>
      <c r="D172">
        <v>35.475700378417969</v>
      </c>
      <c r="E172">
        <v>1582.699951171875</v>
      </c>
      <c r="F172">
        <v>2017</v>
      </c>
      <c r="G172" t="s">
        <v>2171</v>
      </c>
      <c r="H172">
        <v>1.38136291504</v>
      </c>
      <c r="I172" t="str">
        <f t="shared" si="2"/>
        <v>very gentle</v>
      </c>
      <c r="J172" t="s">
        <v>2173</v>
      </c>
      <c r="K172">
        <v>8.4776775111099995E-6</v>
      </c>
      <c r="L172">
        <v>11.080575942999999</v>
      </c>
    </row>
    <row r="173" spans="1:12" x14ac:dyDescent="0.2">
      <c r="A173">
        <v>23</v>
      </c>
      <c r="B173" t="s">
        <v>383</v>
      </c>
      <c r="C173">
        <v>-4.3527083396911621</v>
      </c>
      <c r="D173">
        <v>35.471397399902344</v>
      </c>
      <c r="E173">
        <v>1654.9000244140625</v>
      </c>
      <c r="F173">
        <v>2017</v>
      </c>
      <c r="G173" t="s">
        <v>2171</v>
      </c>
      <c r="H173">
        <v>3.93959927559</v>
      </c>
      <c r="I173" t="str">
        <f t="shared" si="2"/>
        <v>Gentle</v>
      </c>
      <c r="J173" t="s">
        <v>2172</v>
      </c>
      <c r="K173">
        <v>-0.725126743317</v>
      </c>
      <c r="L173">
        <v>9.2705640792799997</v>
      </c>
    </row>
    <row r="174" spans="1:12" x14ac:dyDescent="0.2">
      <c r="A174">
        <v>21</v>
      </c>
      <c r="B174" t="s">
        <v>252</v>
      </c>
      <c r="C174">
        <v>-4.3406481742858887</v>
      </c>
      <c r="D174">
        <v>35.470245361328125</v>
      </c>
      <c r="E174">
        <v>1600.4000244140625</v>
      </c>
      <c r="F174">
        <v>2017</v>
      </c>
      <c r="G174" t="s">
        <v>2171</v>
      </c>
      <c r="H174">
        <v>2.35151100159</v>
      </c>
      <c r="I174" t="str">
        <f t="shared" si="2"/>
        <v>Gentle</v>
      </c>
      <c r="J174" t="s">
        <v>2173</v>
      </c>
      <c r="K174">
        <v>9.0650379657699995E-2</v>
      </c>
      <c r="L174">
        <v>9.2979307174700008</v>
      </c>
    </row>
    <row r="175" spans="1:12" x14ac:dyDescent="0.2">
      <c r="A175">
        <v>91</v>
      </c>
      <c r="B175" t="s">
        <v>384</v>
      </c>
      <c r="C175">
        <v>-4.3563408851623535</v>
      </c>
      <c r="D175">
        <v>35.484050750732422</v>
      </c>
      <c r="E175">
        <v>1703.699951171875</v>
      </c>
      <c r="F175">
        <v>2017</v>
      </c>
      <c r="G175" t="s">
        <v>2171</v>
      </c>
      <c r="H175">
        <v>4.3402504921</v>
      </c>
      <c r="I175" t="str">
        <f t="shared" si="2"/>
        <v>Gentle</v>
      </c>
      <c r="J175" t="s">
        <v>2173</v>
      </c>
      <c r="K175">
        <v>0.27193418145199999</v>
      </c>
      <c r="L175">
        <v>8.3939695358299993</v>
      </c>
    </row>
    <row r="176" spans="1:12" x14ac:dyDescent="0.2">
      <c r="A176">
        <v>77</v>
      </c>
      <c r="B176" t="s">
        <v>385</v>
      </c>
      <c r="C176">
        <v>-4.3420200347900391</v>
      </c>
      <c r="D176">
        <v>35.483268737792969</v>
      </c>
      <c r="E176">
        <v>1612.5</v>
      </c>
      <c r="F176">
        <v>2017</v>
      </c>
      <c r="G176" t="s">
        <v>2171</v>
      </c>
      <c r="H176">
        <v>4.4811401367199997</v>
      </c>
      <c r="I176" t="str">
        <f t="shared" si="2"/>
        <v>Gentle</v>
      </c>
      <c r="J176" t="s">
        <v>2177</v>
      </c>
      <c r="K176">
        <v>0.54385989904400001</v>
      </c>
      <c r="L176">
        <v>8.9051237106300007</v>
      </c>
    </row>
    <row r="177" spans="1:12" x14ac:dyDescent="0.2">
      <c r="A177">
        <v>61</v>
      </c>
      <c r="B177" t="s">
        <v>1240</v>
      </c>
      <c r="C177">
        <v>-4.3520431518554688</v>
      </c>
      <c r="D177">
        <v>35.487277984619141</v>
      </c>
      <c r="E177">
        <v>1640.5999755859375</v>
      </c>
      <c r="F177">
        <v>2017</v>
      </c>
      <c r="G177" t="s">
        <v>2171</v>
      </c>
      <c r="H177">
        <v>3.7798345089000001</v>
      </c>
      <c r="I177" t="str">
        <f t="shared" si="2"/>
        <v>Gentle</v>
      </c>
      <c r="J177" t="s">
        <v>2173</v>
      </c>
      <c r="K177">
        <v>-9.0633422136300004E-2</v>
      </c>
      <c r="L177">
        <v>7.9694843292200002</v>
      </c>
    </row>
    <row r="178" spans="1:12" x14ac:dyDescent="0.2">
      <c r="A178">
        <v>62</v>
      </c>
      <c r="B178" t="s">
        <v>257</v>
      </c>
      <c r="C178">
        <v>-4.2805089950561523</v>
      </c>
      <c r="D178">
        <v>35.627761840820312</v>
      </c>
      <c r="E178">
        <v>1422.0999755859375</v>
      </c>
      <c r="F178">
        <v>2017</v>
      </c>
      <c r="G178" t="s">
        <v>2179</v>
      </c>
      <c r="H178">
        <v>8.6720476150499994</v>
      </c>
      <c r="I178" t="str">
        <f t="shared" si="2"/>
        <v>Moderate</v>
      </c>
      <c r="J178" t="s">
        <v>2172</v>
      </c>
      <c r="K178">
        <v>-0.54384291171999999</v>
      </c>
      <c r="L178">
        <v>8.2298650741599992</v>
      </c>
    </row>
    <row r="179" spans="1:12" x14ac:dyDescent="0.2">
      <c r="A179">
        <v>28</v>
      </c>
      <c r="B179" t="s">
        <v>258</v>
      </c>
      <c r="C179">
        <v>-4.2712640762329102</v>
      </c>
      <c r="D179">
        <v>35.6368408203125</v>
      </c>
      <c r="E179">
        <v>1423.699951171875</v>
      </c>
      <c r="F179">
        <v>2017</v>
      </c>
      <c r="G179" t="s">
        <v>2179</v>
      </c>
      <c r="H179">
        <v>3.2732591629000001</v>
      </c>
      <c r="I179" t="str">
        <f t="shared" si="2"/>
        <v>Gentle</v>
      </c>
      <c r="J179" t="s">
        <v>2173</v>
      </c>
      <c r="K179">
        <v>0.18129228055499999</v>
      </c>
      <c r="L179">
        <v>10.637241363499999</v>
      </c>
    </row>
    <row r="180" spans="1:12" x14ac:dyDescent="0.2">
      <c r="A180">
        <v>38</v>
      </c>
      <c r="B180" t="s">
        <v>1251</v>
      </c>
      <c r="C180">
        <v>-4.2796154022216797</v>
      </c>
      <c r="D180">
        <v>35.622867584228516</v>
      </c>
      <c r="E180">
        <v>1456.800048828125</v>
      </c>
      <c r="F180">
        <v>2017</v>
      </c>
      <c r="G180" t="s">
        <v>2179</v>
      </c>
      <c r="H180">
        <v>10.1358776093</v>
      </c>
      <c r="I180" t="str">
        <f t="shared" si="2"/>
        <v>Strong</v>
      </c>
      <c r="J180" t="s">
        <v>2178</v>
      </c>
      <c r="K180">
        <v>9.0650379657699995E-2</v>
      </c>
      <c r="L180">
        <v>7.9497685432400003</v>
      </c>
    </row>
    <row r="181" spans="1:12" x14ac:dyDescent="0.2">
      <c r="A181">
        <v>15</v>
      </c>
      <c r="B181" t="s">
        <v>260</v>
      </c>
      <c r="C181">
        <v>-4.2891998291015625</v>
      </c>
      <c r="D181">
        <v>35.631736755371094</v>
      </c>
      <c r="E181">
        <v>1412.699951171875</v>
      </c>
      <c r="F181">
        <v>2017</v>
      </c>
      <c r="G181" t="s">
        <v>2184</v>
      </c>
      <c r="H181">
        <v>7.1427602767899998</v>
      </c>
      <c r="I181" t="str">
        <f t="shared" si="2"/>
        <v>Moderate</v>
      </c>
      <c r="J181" t="s">
        <v>2176</v>
      </c>
      <c r="K181">
        <v>-1.08769440651</v>
      </c>
      <c r="L181">
        <v>8.0898132324199992</v>
      </c>
    </row>
    <row r="182" spans="1:12" x14ac:dyDescent="0.2">
      <c r="A182">
        <v>42</v>
      </c>
      <c r="B182" t="s">
        <v>261</v>
      </c>
      <c r="C182">
        <v>-4.2916507720947266</v>
      </c>
      <c r="D182">
        <v>35.629604339599609</v>
      </c>
      <c r="E182">
        <v>1460.5999755859375</v>
      </c>
      <c r="F182">
        <v>2017</v>
      </c>
      <c r="G182" t="s">
        <v>2184</v>
      </c>
      <c r="H182">
        <v>9.4852285385100004</v>
      </c>
      <c r="I182" t="str">
        <f t="shared" si="2"/>
        <v>Strong</v>
      </c>
      <c r="J182" t="s">
        <v>2176</v>
      </c>
      <c r="K182">
        <v>-1.2689781189</v>
      </c>
      <c r="L182">
        <v>9.6982078552199997</v>
      </c>
    </row>
    <row r="183" spans="1:12" x14ac:dyDescent="0.2">
      <c r="A183">
        <v>34</v>
      </c>
      <c r="B183" t="s">
        <v>262</v>
      </c>
      <c r="C183">
        <v>-4.298184871673584</v>
      </c>
      <c r="D183">
        <v>35.634128570556641</v>
      </c>
      <c r="E183">
        <v>1395.9000244140625</v>
      </c>
      <c r="F183">
        <v>2017</v>
      </c>
      <c r="G183" t="s">
        <v>2179</v>
      </c>
      <c r="H183">
        <v>2.93846130371</v>
      </c>
      <c r="I183" t="str">
        <f t="shared" si="2"/>
        <v>Gentle</v>
      </c>
      <c r="J183" t="s">
        <v>2172</v>
      </c>
      <c r="K183">
        <v>-0.725126743317</v>
      </c>
      <c r="L183">
        <v>10.9177017212</v>
      </c>
    </row>
    <row r="184" spans="1:12" x14ac:dyDescent="0.2">
      <c r="A184">
        <v>31</v>
      </c>
      <c r="B184" t="s">
        <v>263</v>
      </c>
      <c r="C184">
        <v>-4.2769598960876465</v>
      </c>
      <c r="D184">
        <v>35.628490447998047</v>
      </c>
      <c r="E184">
        <v>1403.300048828125</v>
      </c>
      <c r="F184">
        <v>2017</v>
      </c>
      <c r="G184" t="s">
        <v>2179</v>
      </c>
      <c r="H184">
        <v>7.2281165122999997</v>
      </c>
      <c r="I184" t="str">
        <f t="shared" si="2"/>
        <v>Moderate</v>
      </c>
      <c r="J184" t="s">
        <v>2178</v>
      </c>
      <c r="K184">
        <v>0.27193418145199999</v>
      </c>
      <c r="L184">
        <v>7.7144684791599998</v>
      </c>
    </row>
    <row r="185" spans="1:12" x14ac:dyDescent="0.2">
      <c r="A185">
        <v>29</v>
      </c>
      <c r="B185" t="s">
        <v>1269</v>
      </c>
      <c r="C185">
        <v>-4.2877449989318848</v>
      </c>
      <c r="D185">
        <v>35.635135650634766</v>
      </c>
      <c r="E185">
        <v>1411.800048828125</v>
      </c>
      <c r="F185">
        <v>2017</v>
      </c>
      <c r="G185" t="s">
        <v>2171</v>
      </c>
      <c r="H185">
        <v>2.3029155731199999</v>
      </c>
      <c r="I185" t="str">
        <f t="shared" si="2"/>
        <v>Gentle</v>
      </c>
      <c r="J185" t="s">
        <v>2173</v>
      </c>
      <c r="K185">
        <v>-0.362559139729</v>
      </c>
      <c r="L185">
        <v>12.200060844399999</v>
      </c>
    </row>
    <row r="186" spans="1:12" x14ac:dyDescent="0.2">
      <c r="A186">
        <v>30</v>
      </c>
      <c r="B186" t="s">
        <v>386</v>
      </c>
      <c r="C186">
        <v>-4.2771849632263184</v>
      </c>
      <c r="D186">
        <v>35.638599395751953</v>
      </c>
      <c r="E186">
        <v>1412.4000244140625</v>
      </c>
      <c r="F186">
        <v>2017</v>
      </c>
      <c r="G186" t="s">
        <v>2179</v>
      </c>
      <c r="H186">
        <v>3.4100914001499998</v>
      </c>
      <c r="I186" t="str">
        <f t="shared" si="2"/>
        <v>Gentle</v>
      </c>
      <c r="J186" t="s">
        <v>2173</v>
      </c>
      <c r="K186">
        <v>-0.45320102572400001</v>
      </c>
      <c r="L186">
        <v>11.5620450974</v>
      </c>
    </row>
    <row r="187" spans="1:12" x14ac:dyDescent="0.2">
      <c r="A187">
        <v>32</v>
      </c>
      <c r="B187" t="s">
        <v>266</v>
      </c>
      <c r="C187">
        <v>-4.2877979278564453</v>
      </c>
      <c r="D187">
        <v>35.631793975830078</v>
      </c>
      <c r="E187">
        <v>1414</v>
      </c>
      <c r="F187">
        <v>2017</v>
      </c>
      <c r="G187" t="s">
        <v>2179</v>
      </c>
      <c r="H187">
        <v>5.3233847618099999</v>
      </c>
      <c r="I187" t="str">
        <f t="shared" si="2"/>
        <v>Moderate</v>
      </c>
      <c r="J187" t="s">
        <v>2178</v>
      </c>
      <c r="K187">
        <v>0.45321798324599999</v>
      </c>
      <c r="L187">
        <v>9.8859062194800007</v>
      </c>
    </row>
    <row r="188" spans="1:12" x14ac:dyDescent="0.2">
      <c r="A188">
        <v>45</v>
      </c>
      <c r="B188" t="s">
        <v>387</v>
      </c>
      <c r="C188">
        <v>-4.2798576354980469</v>
      </c>
      <c r="D188">
        <v>35.628681182861328</v>
      </c>
      <c r="E188">
        <v>1415.699951171875</v>
      </c>
      <c r="F188">
        <v>2017</v>
      </c>
      <c r="G188" t="s">
        <v>2179</v>
      </c>
      <c r="H188">
        <v>3.5732898712200001</v>
      </c>
      <c r="I188" t="str">
        <f t="shared" si="2"/>
        <v>Gentle</v>
      </c>
      <c r="J188" t="s">
        <v>2172</v>
      </c>
      <c r="K188">
        <v>-0.54384291171999999</v>
      </c>
      <c r="L188">
        <v>11.057280540500001</v>
      </c>
    </row>
    <row r="189" spans="1:12" x14ac:dyDescent="0.2">
      <c r="A189">
        <v>39</v>
      </c>
      <c r="B189" t="s">
        <v>388</v>
      </c>
      <c r="C189">
        <v>-4.2792067527770996</v>
      </c>
      <c r="D189">
        <v>35.622718811035156</v>
      </c>
      <c r="E189">
        <v>1444.5999755859375</v>
      </c>
      <c r="F189">
        <v>2017</v>
      </c>
      <c r="G189" t="s">
        <v>2179</v>
      </c>
      <c r="H189">
        <v>10.1358776093</v>
      </c>
      <c r="I189" t="str">
        <f t="shared" si="2"/>
        <v>Strong</v>
      </c>
      <c r="J189" t="s">
        <v>2178</v>
      </c>
      <c r="K189">
        <v>9.0650379657699995E-2</v>
      </c>
      <c r="L189">
        <v>7.9497685432400003</v>
      </c>
    </row>
    <row r="190" spans="1:12" x14ac:dyDescent="0.2">
      <c r="A190">
        <v>44</v>
      </c>
      <c r="B190" t="s">
        <v>1288</v>
      </c>
      <c r="C190">
        <v>-4.2797799110412598</v>
      </c>
      <c r="D190">
        <v>35.636280059814453</v>
      </c>
      <c r="E190">
        <v>1398.800048828125</v>
      </c>
      <c r="F190">
        <v>2017</v>
      </c>
      <c r="G190" t="s">
        <v>2179</v>
      </c>
      <c r="H190">
        <v>2.8563883304600002</v>
      </c>
      <c r="I190" t="str">
        <f t="shared" si="2"/>
        <v>Gentle</v>
      </c>
      <c r="J190" t="s">
        <v>2172</v>
      </c>
      <c r="K190">
        <v>-0.99705243110700004</v>
      </c>
      <c r="L190">
        <v>9.1790475845300001</v>
      </c>
    </row>
    <row r="191" spans="1:12" x14ac:dyDescent="0.2">
      <c r="A191">
        <v>43</v>
      </c>
      <c r="B191" t="s">
        <v>270</v>
      </c>
      <c r="C191">
        <v>-4.2761783599853516</v>
      </c>
      <c r="D191">
        <v>35.630985260009766</v>
      </c>
      <c r="E191">
        <v>1423.5</v>
      </c>
      <c r="F191">
        <v>2017</v>
      </c>
      <c r="G191" t="s">
        <v>2184</v>
      </c>
      <c r="H191">
        <v>3.6909093856799999</v>
      </c>
      <c r="I191" t="str">
        <f t="shared" si="2"/>
        <v>Gentle</v>
      </c>
      <c r="J191" t="s">
        <v>2176</v>
      </c>
      <c r="K191">
        <v>-1.4502619504900001</v>
      </c>
      <c r="L191">
        <v>8.9184541702299995</v>
      </c>
    </row>
    <row r="192" spans="1:12" x14ac:dyDescent="0.2">
      <c r="A192">
        <v>41</v>
      </c>
      <c r="B192" t="s">
        <v>389</v>
      </c>
      <c r="C192">
        <v>-4.2742643356323242</v>
      </c>
      <c r="D192">
        <v>35.624156951904297</v>
      </c>
      <c r="E192">
        <v>1451.4000244140625</v>
      </c>
      <c r="F192">
        <v>2017</v>
      </c>
      <c r="G192" t="s">
        <v>2181</v>
      </c>
      <c r="H192">
        <v>17.2106723785</v>
      </c>
      <c r="I192" t="str">
        <f t="shared" si="2"/>
        <v>Steep</v>
      </c>
      <c r="J192" t="s">
        <v>2182</v>
      </c>
      <c r="K192">
        <v>1.1783530712100001</v>
      </c>
      <c r="L192">
        <v>6.3579244613599997</v>
      </c>
    </row>
    <row r="193" spans="1:12" x14ac:dyDescent="0.2">
      <c r="A193">
        <v>40</v>
      </c>
      <c r="B193" t="s">
        <v>272</v>
      </c>
      <c r="C193">
        <v>-4.2891554832458496</v>
      </c>
      <c r="D193">
        <v>35.629096984863281</v>
      </c>
      <c r="E193">
        <v>1467.9000244140625</v>
      </c>
      <c r="F193">
        <v>2017</v>
      </c>
      <c r="G193" t="s">
        <v>2183</v>
      </c>
      <c r="H193">
        <v>13.2616186142</v>
      </c>
      <c r="I193" t="str">
        <f t="shared" si="2"/>
        <v>Strong</v>
      </c>
      <c r="J193" t="s">
        <v>2182</v>
      </c>
      <c r="K193">
        <v>1.35963702202</v>
      </c>
      <c r="L193">
        <v>6.7637782096899999</v>
      </c>
    </row>
    <row r="194" spans="1:12" x14ac:dyDescent="0.2">
      <c r="A194">
        <v>35</v>
      </c>
      <c r="B194" t="s">
        <v>390</v>
      </c>
      <c r="C194">
        <v>-4.2942328453063965</v>
      </c>
      <c r="D194">
        <v>35.636287689208984</v>
      </c>
      <c r="E194">
        <v>1432.9000244140625</v>
      </c>
      <c r="F194">
        <v>2017</v>
      </c>
      <c r="G194" t="s">
        <v>2175</v>
      </c>
      <c r="H194">
        <v>3.42399120331</v>
      </c>
      <c r="I194" t="str">
        <f t="shared" si="2"/>
        <v>Gentle</v>
      </c>
      <c r="J194" t="s">
        <v>2176</v>
      </c>
      <c r="K194">
        <v>-1.4502619504900001</v>
      </c>
      <c r="L194">
        <v>7.7100343704199998</v>
      </c>
    </row>
    <row r="195" spans="1:12" x14ac:dyDescent="0.2">
      <c r="A195">
        <v>33</v>
      </c>
      <c r="B195" t="s">
        <v>391</v>
      </c>
      <c r="C195">
        <v>-4.2983689308166504</v>
      </c>
      <c r="D195">
        <v>35.643024444580078</v>
      </c>
      <c r="E195">
        <v>1384.800048828125</v>
      </c>
      <c r="F195">
        <v>2017</v>
      </c>
      <c r="G195" t="s">
        <v>2171</v>
      </c>
      <c r="H195">
        <v>1.7775242328600001</v>
      </c>
      <c r="I195" t="str">
        <f t="shared" ref="I195:I258" si="3">IF(H195&lt;0.5,"Depression",IF(H195&lt;2,"very gentle",IF(H195&lt;5,"Gentle",IF(H195&lt;9,"Moderate",IF(H195&lt;15,"Strong",IF(H195&lt;30,"Steep",IF(H195&lt;1,"very steep")))))))</f>
        <v>very gentle</v>
      </c>
      <c r="J195" t="s">
        <v>2173</v>
      </c>
      <c r="K195">
        <v>0.18129228055499999</v>
      </c>
      <c r="L195">
        <v>9.9929609298699997</v>
      </c>
    </row>
    <row r="196" spans="1:12" x14ac:dyDescent="0.2">
      <c r="A196">
        <v>117</v>
      </c>
      <c r="B196" t="s">
        <v>1309</v>
      </c>
      <c r="C196">
        <v>-4.2573752403259277</v>
      </c>
      <c r="D196">
        <v>35.511997222900391</v>
      </c>
      <c r="E196">
        <v>1692.300048828125</v>
      </c>
      <c r="F196">
        <v>2017</v>
      </c>
      <c r="G196" t="s">
        <v>2180</v>
      </c>
      <c r="H196">
        <v>1.2062788009600001</v>
      </c>
      <c r="I196" t="str">
        <f t="shared" si="3"/>
        <v>very gentle</v>
      </c>
      <c r="J196" t="s">
        <v>2173</v>
      </c>
      <c r="K196">
        <v>0.45321798324599999</v>
      </c>
      <c r="L196">
        <v>8.5595359802199997</v>
      </c>
    </row>
    <row r="197" spans="1:12" x14ac:dyDescent="0.2">
      <c r="A197">
        <v>113</v>
      </c>
      <c r="B197" t="s">
        <v>393</v>
      </c>
      <c r="C197">
        <v>-4.2526059150695801</v>
      </c>
      <c r="D197">
        <v>35.525722503662109</v>
      </c>
      <c r="E197">
        <v>1619.699951171875</v>
      </c>
      <c r="F197">
        <v>2017</v>
      </c>
      <c r="G197" t="s">
        <v>2171</v>
      </c>
      <c r="H197">
        <v>1.5210055112800001</v>
      </c>
      <c r="I197" t="str">
        <f t="shared" si="3"/>
        <v>very gentle</v>
      </c>
      <c r="J197" t="s">
        <v>2172</v>
      </c>
      <c r="K197">
        <v>-0.725126743317</v>
      </c>
      <c r="L197">
        <v>10.2386350632</v>
      </c>
    </row>
    <row r="198" spans="1:12" x14ac:dyDescent="0.2">
      <c r="A198">
        <v>122</v>
      </c>
      <c r="B198" t="s">
        <v>394</v>
      </c>
      <c r="C198">
        <v>-4.2629632949829102</v>
      </c>
      <c r="D198">
        <v>35.527507781982422</v>
      </c>
      <c r="E198">
        <v>1638.9000244140625</v>
      </c>
      <c r="F198">
        <v>2017</v>
      </c>
      <c r="G198" t="s">
        <v>2171</v>
      </c>
      <c r="H198">
        <v>1.64159989357</v>
      </c>
      <c r="I198" t="str">
        <f t="shared" si="3"/>
        <v>very gentle</v>
      </c>
      <c r="J198" t="s">
        <v>2177</v>
      </c>
      <c r="K198">
        <v>0.54385989904400001</v>
      </c>
      <c r="L198">
        <v>8.4438333511400003</v>
      </c>
    </row>
    <row r="199" spans="1:12" x14ac:dyDescent="0.2">
      <c r="A199">
        <v>115</v>
      </c>
      <c r="B199" t="s">
        <v>396</v>
      </c>
      <c r="C199">
        <v>-4.2548995018005371</v>
      </c>
      <c r="D199">
        <v>35.5269775390625</v>
      </c>
      <c r="E199">
        <v>1632.199951171875</v>
      </c>
      <c r="F199">
        <v>2017</v>
      </c>
      <c r="G199" t="s">
        <v>2171</v>
      </c>
      <c r="H199">
        <v>1.0756396055199999</v>
      </c>
      <c r="I199" t="str">
        <f t="shared" si="3"/>
        <v>very gentle</v>
      </c>
      <c r="J199" t="s">
        <v>2173</v>
      </c>
      <c r="K199">
        <v>0.18129228055499999</v>
      </c>
      <c r="L199">
        <v>8.9439697265600007</v>
      </c>
    </row>
    <row r="200" spans="1:12" x14ac:dyDescent="0.2">
      <c r="A200">
        <v>114</v>
      </c>
      <c r="B200" t="s">
        <v>397</v>
      </c>
      <c r="C200">
        <v>-4.2613673210144043</v>
      </c>
      <c r="D200">
        <v>35.528682708740234</v>
      </c>
      <c r="E200">
        <v>1643.199951171875</v>
      </c>
      <c r="F200">
        <v>2017</v>
      </c>
      <c r="G200" t="s">
        <v>2171</v>
      </c>
      <c r="H200">
        <v>2.6422429084800001</v>
      </c>
      <c r="I200" t="str">
        <f t="shared" si="3"/>
        <v>Gentle</v>
      </c>
      <c r="J200" t="s">
        <v>2173</v>
      </c>
      <c r="K200">
        <v>0.27193418145199999</v>
      </c>
      <c r="L200">
        <v>7.71094655991</v>
      </c>
    </row>
    <row r="201" spans="1:12" x14ac:dyDescent="0.2">
      <c r="A201">
        <v>71</v>
      </c>
      <c r="B201" t="s">
        <v>395</v>
      </c>
      <c r="C201">
        <v>-4.2583160400390625</v>
      </c>
      <c r="D201">
        <v>35.525661468505859</v>
      </c>
      <c r="E201">
        <v>1591.4000244140625</v>
      </c>
      <c r="F201">
        <v>2017</v>
      </c>
      <c r="G201" t="s">
        <v>2171</v>
      </c>
      <c r="H201">
        <v>0.76454704999900003</v>
      </c>
      <c r="I201" t="str">
        <f t="shared" si="3"/>
        <v>very gentle</v>
      </c>
      <c r="J201" t="s">
        <v>2173</v>
      </c>
      <c r="K201">
        <v>0.18129228055499999</v>
      </c>
      <c r="L201">
        <v>9.5179643631000008</v>
      </c>
    </row>
    <row r="202" spans="1:12" x14ac:dyDescent="0.2">
      <c r="A202">
        <v>68</v>
      </c>
      <c r="B202" t="s">
        <v>281</v>
      </c>
      <c r="C202">
        <v>-4.2564525604248047</v>
      </c>
      <c r="D202">
        <v>35.521675109863281</v>
      </c>
      <c r="E202">
        <v>1622.199951171875</v>
      </c>
      <c r="F202">
        <v>2017</v>
      </c>
      <c r="G202" t="s">
        <v>2171</v>
      </c>
      <c r="H202">
        <v>1.7775242328600001</v>
      </c>
      <c r="I202" t="str">
        <f t="shared" si="3"/>
        <v>very gentle</v>
      </c>
      <c r="J202" t="s">
        <v>2173</v>
      </c>
      <c r="K202">
        <v>-0.45320102572400001</v>
      </c>
      <c r="L202">
        <v>11.0366611481</v>
      </c>
    </row>
    <row r="203" spans="1:12" x14ac:dyDescent="0.2">
      <c r="A203">
        <v>127</v>
      </c>
      <c r="B203" t="s">
        <v>1333</v>
      </c>
      <c r="C203">
        <v>-4.2573566436767578</v>
      </c>
      <c r="D203">
        <v>35.511543273925781</v>
      </c>
      <c r="E203">
        <v>1638.300048828125</v>
      </c>
      <c r="F203">
        <v>2017</v>
      </c>
      <c r="G203" t="s">
        <v>2180</v>
      </c>
      <c r="H203">
        <v>1.39851653576</v>
      </c>
      <c r="I203" t="str">
        <f t="shared" si="3"/>
        <v>very gentle</v>
      </c>
      <c r="J203" t="s">
        <v>2173</v>
      </c>
      <c r="K203">
        <v>0.36257606744799997</v>
      </c>
      <c r="L203">
        <v>8.5521802902200008</v>
      </c>
    </row>
    <row r="204" spans="1:12" x14ac:dyDescent="0.2">
      <c r="A204">
        <v>67</v>
      </c>
      <c r="B204" t="s">
        <v>283</v>
      </c>
      <c r="C204">
        <v>-4.2602062225341797</v>
      </c>
      <c r="D204">
        <v>35.519512176513672</v>
      </c>
      <c r="E204">
        <v>1641.4000244140625</v>
      </c>
      <c r="F204">
        <v>2017</v>
      </c>
      <c r="G204" t="s">
        <v>2171</v>
      </c>
      <c r="H204">
        <v>2.6196329593700001</v>
      </c>
      <c r="I204" t="str">
        <f t="shared" si="3"/>
        <v>Gentle</v>
      </c>
      <c r="J204" t="s">
        <v>2173</v>
      </c>
      <c r="K204">
        <v>0.18129228055499999</v>
      </c>
      <c r="L204">
        <v>9.7167339325000004</v>
      </c>
    </row>
    <row r="205" spans="1:12" x14ac:dyDescent="0.2">
      <c r="A205">
        <v>69</v>
      </c>
      <c r="B205" t="s">
        <v>1340</v>
      </c>
      <c r="C205">
        <v>-4.2437648773193359</v>
      </c>
      <c r="D205">
        <v>35.508430480957031</v>
      </c>
      <c r="E205">
        <v>1613.800048828125</v>
      </c>
      <c r="F205">
        <v>2017</v>
      </c>
      <c r="G205" t="s">
        <v>2171</v>
      </c>
      <c r="H205">
        <v>4.8365068435699996</v>
      </c>
      <c r="I205" t="str">
        <f t="shared" si="3"/>
        <v>Gentle</v>
      </c>
      <c r="J205" t="s">
        <v>2173</v>
      </c>
      <c r="K205">
        <v>-0.45320102572400001</v>
      </c>
      <c r="L205">
        <v>9.1463346481300007</v>
      </c>
    </row>
    <row r="206" spans="1:12" x14ac:dyDescent="0.2">
      <c r="A206">
        <v>205</v>
      </c>
      <c r="B206" t="s">
        <v>285</v>
      </c>
      <c r="C206">
        <v>-4.294527530670166</v>
      </c>
      <c r="D206">
        <v>35.81781005859375</v>
      </c>
      <c r="E206">
        <v>1336.5999755859375</v>
      </c>
      <c r="F206">
        <v>2017</v>
      </c>
      <c r="G206" t="s">
        <v>2179</v>
      </c>
      <c r="H206">
        <v>4.0362029075599999</v>
      </c>
      <c r="I206" t="str">
        <f t="shared" si="3"/>
        <v>Gentle</v>
      </c>
      <c r="J206" t="s">
        <v>2173</v>
      </c>
      <c r="K206">
        <v>-0.18127532303300001</v>
      </c>
      <c r="L206">
        <v>10.2631206512</v>
      </c>
    </row>
    <row r="207" spans="1:12" x14ac:dyDescent="0.2">
      <c r="A207">
        <v>231</v>
      </c>
      <c r="B207" t="s">
        <v>399</v>
      </c>
      <c r="C207">
        <v>-4.2986207008361816</v>
      </c>
      <c r="D207">
        <v>35.798934936523438</v>
      </c>
      <c r="E207">
        <v>1397.800048828125</v>
      </c>
      <c r="F207">
        <v>2017</v>
      </c>
      <c r="G207" t="s">
        <v>2179</v>
      </c>
      <c r="H207">
        <v>1.2062788009600001</v>
      </c>
      <c r="I207" t="str">
        <f t="shared" si="3"/>
        <v>very gentle</v>
      </c>
      <c r="J207" t="s">
        <v>2172</v>
      </c>
      <c r="K207">
        <v>-0.725126743317</v>
      </c>
      <c r="L207">
        <v>9.6621332168599992</v>
      </c>
    </row>
    <row r="208" spans="1:12" x14ac:dyDescent="0.2">
      <c r="A208">
        <v>206</v>
      </c>
      <c r="B208" t="s">
        <v>400</v>
      </c>
      <c r="C208">
        <v>-4.2992243766784668</v>
      </c>
      <c r="D208">
        <v>35.799945831298828</v>
      </c>
      <c r="E208">
        <v>1384.199951171875</v>
      </c>
      <c r="F208">
        <v>2017</v>
      </c>
      <c r="G208" t="s">
        <v>2179</v>
      </c>
      <c r="H208">
        <v>6.0023140907299997</v>
      </c>
      <c r="I208" t="str">
        <f t="shared" si="3"/>
        <v>Moderate</v>
      </c>
      <c r="J208" t="s">
        <v>2172</v>
      </c>
      <c r="K208">
        <v>-0.81576859951000003</v>
      </c>
      <c r="L208">
        <v>9.39083576202</v>
      </c>
    </row>
    <row r="209" spans="1:12" x14ac:dyDescent="0.2">
      <c r="A209">
        <v>201</v>
      </c>
      <c r="B209" t="s">
        <v>1353</v>
      </c>
      <c r="C209">
        <v>-4.2895283699035645</v>
      </c>
      <c r="D209">
        <v>35.826389312744141</v>
      </c>
      <c r="E209">
        <v>1317.800048828125</v>
      </c>
      <c r="F209">
        <v>2017</v>
      </c>
      <c r="G209" t="s">
        <v>2179</v>
      </c>
      <c r="H209">
        <v>2.4237968921699999</v>
      </c>
      <c r="I209" t="str">
        <f t="shared" si="3"/>
        <v>Gentle</v>
      </c>
      <c r="J209" t="s">
        <v>2173</v>
      </c>
      <c r="K209">
        <v>9.0650379657699995E-2</v>
      </c>
      <c r="L209">
        <v>11.2585916519</v>
      </c>
    </row>
    <row r="210" spans="1:12" x14ac:dyDescent="0.2">
      <c r="A210">
        <v>207</v>
      </c>
      <c r="B210" t="s">
        <v>1357</v>
      </c>
      <c r="C210">
        <v>-4.3011412620544434</v>
      </c>
      <c r="D210">
        <v>35.795352935791016</v>
      </c>
      <c r="E210">
        <v>1368.699951171875</v>
      </c>
      <c r="F210">
        <v>2017</v>
      </c>
      <c r="G210" t="s">
        <v>2179</v>
      </c>
      <c r="H210">
        <v>3.7609581947300001</v>
      </c>
      <c r="I210" t="str">
        <f t="shared" si="3"/>
        <v>Gentle</v>
      </c>
      <c r="J210" t="s">
        <v>2173</v>
      </c>
      <c r="K210">
        <v>-9.0633422136300004E-2</v>
      </c>
      <c r="L210">
        <v>9.4905805587799996</v>
      </c>
    </row>
    <row r="211" spans="1:12" x14ac:dyDescent="0.2">
      <c r="A211">
        <v>199</v>
      </c>
      <c r="B211" t="s">
        <v>1361</v>
      </c>
      <c r="C211">
        <v>-4.2895827293395996</v>
      </c>
      <c r="D211">
        <v>35.82958984375</v>
      </c>
      <c r="E211">
        <v>1256.199951171875</v>
      </c>
      <c r="F211">
        <v>2017</v>
      </c>
      <c r="G211" t="s">
        <v>2179</v>
      </c>
      <c r="H211">
        <v>3.9993274211899998</v>
      </c>
      <c r="I211" t="str">
        <f t="shared" si="3"/>
        <v>Gentle</v>
      </c>
      <c r="J211" t="s">
        <v>2173</v>
      </c>
      <c r="K211">
        <v>8.4776775111099995E-6</v>
      </c>
      <c r="L211">
        <v>9.0250988006600004</v>
      </c>
    </row>
    <row r="212" spans="1:12" x14ac:dyDescent="0.2">
      <c r="A212">
        <v>230</v>
      </c>
      <c r="B212" t="s">
        <v>403</v>
      </c>
      <c r="C212">
        <v>-4.294283390045166</v>
      </c>
      <c r="D212">
        <v>35.813655853271484</v>
      </c>
      <c r="E212">
        <v>1377.0999755859375</v>
      </c>
      <c r="F212">
        <v>2017</v>
      </c>
      <c r="G212" t="s">
        <v>2174</v>
      </c>
      <c r="H212">
        <v>10.450006484999999</v>
      </c>
      <c r="I212" t="str">
        <f t="shared" si="3"/>
        <v>Strong</v>
      </c>
      <c r="J212" t="s">
        <v>2177</v>
      </c>
      <c r="K212">
        <v>0.815785527229</v>
      </c>
      <c r="L212">
        <v>6.82558727264</v>
      </c>
    </row>
    <row r="213" spans="1:12" x14ac:dyDescent="0.2">
      <c r="A213">
        <v>202</v>
      </c>
      <c r="B213" t="s">
        <v>1368</v>
      </c>
      <c r="C213">
        <v>-4.2946481704711914</v>
      </c>
      <c r="D213">
        <v>35.818572998046875</v>
      </c>
      <c r="E213">
        <v>1338</v>
      </c>
      <c r="F213">
        <v>2017</v>
      </c>
      <c r="G213" t="s">
        <v>2171</v>
      </c>
      <c r="H213">
        <v>3.3978817462899999</v>
      </c>
      <c r="I213" t="str">
        <f t="shared" si="3"/>
        <v>Gentle</v>
      </c>
      <c r="J213" t="s">
        <v>2173</v>
      </c>
      <c r="K213">
        <v>0.36257606744799997</v>
      </c>
      <c r="L213">
        <v>8.9012861251800004</v>
      </c>
    </row>
    <row r="214" spans="1:12" x14ac:dyDescent="0.2">
      <c r="A214">
        <v>217</v>
      </c>
      <c r="B214" t="s">
        <v>404</v>
      </c>
      <c r="C214">
        <v>-4.2899141311645508</v>
      </c>
      <c r="D214">
        <v>35.828792572021484</v>
      </c>
      <c r="E214">
        <v>1307.5999755859375</v>
      </c>
      <c r="F214">
        <v>2017</v>
      </c>
      <c r="G214" t="s">
        <v>2179</v>
      </c>
      <c r="H214">
        <v>0.63687402010000005</v>
      </c>
      <c r="I214" t="str">
        <f t="shared" si="3"/>
        <v>very gentle</v>
      </c>
      <c r="J214" t="s">
        <v>2173</v>
      </c>
      <c r="K214">
        <v>-0.45320102572400001</v>
      </c>
      <c r="L214">
        <v>14.599243164100001</v>
      </c>
    </row>
    <row r="215" spans="1:12" x14ac:dyDescent="0.2">
      <c r="A215">
        <v>198</v>
      </c>
      <c r="B215" t="s">
        <v>406</v>
      </c>
      <c r="C215">
        <v>-4.2869071960449219</v>
      </c>
      <c r="D215">
        <v>35.829563140869141</v>
      </c>
      <c r="E215">
        <v>1325.800048828125</v>
      </c>
      <c r="F215">
        <v>2017</v>
      </c>
      <c r="G215" t="s">
        <v>2171</v>
      </c>
      <c r="H215">
        <v>1.97740852833</v>
      </c>
      <c r="I215" t="str">
        <f t="shared" si="3"/>
        <v>very gentle</v>
      </c>
      <c r="J215" t="s">
        <v>2173</v>
      </c>
      <c r="K215">
        <v>-0.45320102572400001</v>
      </c>
      <c r="L215">
        <v>9.6855897903399999</v>
      </c>
    </row>
    <row r="216" spans="1:12" x14ac:dyDescent="0.2">
      <c r="A216">
        <v>232</v>
      </c>
      <c r="B216" t="s">
        <v>1378</v>
      </c>
      <c r="C216">
        <v>-4.2912087440490723</v>
      </c>
      <c r="D216">
        <v>35.824909210205078</v>
      </c>
      <c r="E216">
        <v>1325.199951171875</v>
      </c>
      <c r="F216">
        <v>2017</v>
      </c>
      <c r="G216" t="s">
        <v>2179</v>
      </c>
      <c r="H216">
        <v>1.7505050897600001</v>
      </c>
      <c r="I216" t="str">
        <f t="shared" si="3"/>
        <v>very gentle</v>
      </c>
      <c r="J216" t="s">
        <v>2173</v>
      </c>
      <c r="K216">
        <v>0.45321798324599999</v>
      </c>
      <c r="L216">
        <v>10.6540765762</v>
      </c>
    </row>
    <row r="217" spans="1:12" x14ac:dyDescent="0.2">
      <c r="A217">
        <v>204</v>
      </c>
      <c r="B217" t="s">
        <v>407</v>
      </c>
      <c r="C217">
        <v>-4.2944440841674805</v>
      </c>
      <c r="D217">
        <v>35.815750122070312</v>
      </c>
      <c r="E217">
        <v>1349.9000244140625</v>
      </c>
      <c r="F217">
        <v>2017</v>
      </c>
      <c r="G217" t="s">
        <v>2174</v>
      </c>
      <c r="H217">
        <v>5.9767947197</v>
      </c>
      <c r="I217" t="str">
        <f t="shared" si="3"/>
        <v>Moderate</v>
      </c>
      <c r="J217" t="s">
        <v>2177</v>
      </c>
      <c r="K217">
        <v>0.63450175523800001</v>
      </c>
      <c r="L217">
        <v>9.2250022888200007</v>
      </c>
    </row>
    <row r="218" spans="1:12" x14ac:dyDescent="0.2">
      <c r="A218">
        <v>203</v>
      </c>
      <c r="B218" t="s">
        <v>408</v>
      </c>
      <c r="C218">
        <v>-4.2916555404663086</v>
      </c>
      <c r="D218">
        <v>35.814193725585938</v>
      </c>
      <c r="E218">
        <v>1378.800048828125</v>
      </c>
      <c r="F218">
        <v>2017</v>
      </c>
      <c r="G218" t="s">
        <v>2174</v>
      </c>
      <c r="H218">
        <v>7.8896226882900002</v>
      </c>
      <c r="I218" t="str">
        <f t="shared" si="3"/>
        <v>Moderate</v>
      </c>
      <c r="J218" t="s">
        <v>2178</v>
      </c>
      <c r="K218">
        <v>-9.0633422136300004E-2</v>
      </c>
      <c r="L218">
        <v>8.8443002700799997</v>
      </c>
    </row>
    <row r="219" spans="1:12" x14ac:dyDescent="0.2">
      <c r="A219">
        <v>197</v>
      </c>
      <c r="B219" t="s">
        <v>409</v>
      </c>
      <c r="C219">
        <v>-4.2876839637756348</v>
      </c>
      <c r="D219">
        <v>35.832809448242188</v>
      </c>
      <c r="E219">
        <v>1328.300048828125</v>
      </c>
      <c r="F219">
        <v>2017</v>
      </c>
      <c r="G219" t="s">
        <v>2171</v>
      </c>
      <c r="H219">
        <v>3.1643760204300002</v>
      </c>
      <c r="I219" t="str">
        <f t="shared" si="3"/>
        <v>Gentle</v>
      </c>
      <c r="J219" t="s">
        <v>2173</v>
      </c>
      <c r="K219">
        <v>0.27193418145199999</v>
      </c>
      <c r="L219">
        <v>7.7665185928299998</v>
      </c>
    </row>
    <row r="220" spans="1:12" x14ac:dyDescent="0.2">
      <c r="A220">
        <v>208</v>
      </c>
      <c r="B220" t="s">
        <v>1391</v>
      </c>
      <c r="C220">
        <v>-4.2894182205200195</v>
      </c>
      <c r="D220">
        <v>35.829944610595703</v>
      </c>
      <c r="E220">
        <v>1322</v>
      </c>
      <c r="F220">
        <v>2017</v>
      </c>
      <c r="G220" t="s">
        <v>2171</v>
      </c>
      <c r="H220">
        <v>4.0479316711399997</v>
      </c>
      <c r="I220" t="str">
        <f t="shared" si="3"/>
        <v>Gentle</v>
      </c>
      <c r="J220" t="s">
        <v>2173</v>
      </c>
      <c r="K220">
        <v>0.36257606744799997</v>
      </c>
      <c r="L220">
        <v>8.5629081726099994</v>
      </c>
    </row>
    <row r="221" spans="1:12" x14ac:dyDescent="0.2">
      <c r="A221">
        <v>200</v>
      </c>
      <c r="B221" t="s">
        <v>411</v>
      </c>
      <c r="C221">
        <v>-4.2902736663818359</v>
      </c>
      <c r="D221">
        <v>35.828704833984375</v>
      </c>
      <c r="E221">
        <v>1331.800048828125</v>
      </c>
      <c r="F221">
        <v>2017</v>
      </c>
      <c r="G221" t="s">
        <v>2179</v>
      </c>
      <c r="H221">
        <v>0.63687402010000005</v>
      </c>
      <c r="I221" t="str">
        <f t="shared" si="3"/>
        <v>very gentle</v>
      </c>
      <c r="J221" t="s">
        <v>2173</v>
      </c>
      <c r="K221">
        <v>-0.45320102572400001</v>
      </c>
      <c r="L221">
        <v>14.599243164100001</v>
      </c>
    </row>
    <row r="222" spans="1:12" x14ac:dyDescent="0.2">
      <c r="A222">
        <v>140</v>
      </c>
      <c r="B222" t="s">
        <v>1398</v>
      </c>
      <c r="C222">
        <v>-4.2220315933227539</v>
      </c>
      <c r="D222">
        <v>35.8814697265625</v>
      </c>
      <c r="E222">
        <v>1262.800048828125</v>
      </c>
      <c r="F222">
        <v>2017</v>
      </c>
      <c r="G222" t="s">
        <v>2171</v>
      </c>
      <c r="H222">
        <v>2.45308256149</v>
      </c>
      <c r="I222" t="str">
        <f t="shared" si="3"/>
        <v>Gentle</v>
      </c>
      <c r="J222" t="s">
        <v>2173</v>
      </c>
      <c r="K222">
        <v>-9.0633422136300004E-2</v>
      </c>
      <c r="L222">
        <v>8.5408096313499993</v>
      </c>
    </row>
    <row r="223" spans="1:12" x14ac:dyDescent="0.2">
      <c r="A223">
        <v>111</v>
      </c>
      <c r="B223" t="s">
        <v>1404</v>
      </c>
      <c r="C223">
        <v>-4.2611217498779297</v>
      </c>
      <c r="D223">
        <v>35.519355773925781</v>
      </c>
      <c r="E223">
        <v>1640.199951171875</v>
      </c>
      <c r="F223">
        <v>2017</v>
      </c>
      <c r="G223" t="s">
        <v>2171</v>
      </c>
      <c r="H223">
        <v>3.1812281608599999</v>
      </c>
      <c r="I223" t="str">
        <f t="shared" si="3"/>
        <v>Gentle</v>
      </c>
      <c r="J223" t="s">
        <v>2173</v>
      </c>
      <c r="K223">
        <v>-0.45320102572400001</v>
      </c>
      <c r="L223">
        <v>9.0168313980099999</v>
      </c>
    </row>
    <row r="224" spans="1:12" x14ac:dyDescent="0.2">
      <c r="A224">
        <v>176</v>
      </c>
      <c r="B224" t="s">
        <v>1409</v>
      </c>
      <c r="C224">
        <v>-4.3102259635925293</v>
      </c>
      <c r="D224">
        <v>35.595962524414062</v>
      </c>
      <c r="E224">
        <v>1636.0999755859375</v>
      </c>
      <c r="F224">
        <v>2017</v>
      </c>
      <c r="G224" t="s">
        <v>2180</v>
      </c>
      <c r="H224">
        <v>5.0538773536699999</v>
      </c>
      <c r="I224" t="str">
        <f t="shared" si="3"/>
        <v>Moderate</v>
      </c>
      <c r="J224" t="s">
        <v>2178</v>
      </c>
      <c r="K224">
        <v>0.18129228055499999</v>
      </c>
      <c r="L224">
        <v>7.6397376060499997</v>
      </c>
    </row>
    <row r="225" spans="1:12" x14ac:dyDescent="0.2">
      <c r="A225">
        <v>109</v>
      </c>
      <c r="B225" t="s">
        <v>1414</v>
      </c>
      <c r="C225">
        <v>-4.2571825981140137</v>
      </c>
      <c r="D225">
        <v>35.525119781494141</v>
      </c>
      <c r="E225">
        <v>1629.5999755859375</v>
      </c>
      <c r="F225">
        <v>2017</v>
      </c>
      <c r="G225" t="s">
        <v>2171</v>
      </c>
      <c r="H225">
        <v>1.52882194519</v>
      </c>
      <c r="I225" t="str">
        <f t="shared" si="3"/>
        <v>very gentle</v>
      </c>
      <c r="J225" t="s">
        <v>2177</v>
      </c>
      <c r="K225">
        <v>0.63450175523800001</v>
      </c>
      <c r="L225">
        <v>8.1430721283</v>
      </c>
    </row>
    <row r="226" spans="1:12" x14ac:dyDescent="0.2">
      <c r="A226">
        <v>27</v>
      </c>
      <c r="B226" t="s">
        <v>1418</v>
      </c>
      <c r="C226">
        <v>-4.3597235679626465</v>
      </c>
      <c r="D226">
        <v>35.488140106201172</v>
      </c>
      <c r="E226">
        <v>1706.800048828125</v>
      </c>
      <c r="F226">
        <v>2017</v>
      </c>
      <c r="G226" t="s">
        <v>2171</v>
      </c>
      <c r="H226">
        <v>2.6377365589099999</v>
      </c>
      <c r="I226" t="str">
        <f t="shared" si="3"/>
        <v>Gentle</v>
      </c>
      <c r="J226" t="s">
        <v>2173</v>
      </c>
      <c r="K226">
        <v>0.27193418145199999</v>
      </c>
      <c r="L226">
        <v>8.3488903045700003</v>
      </c>
    </row>
    <row r="227" spans="1:12" x14ac:dyDescent="0.2">
      <c r="A227">
        <v>4</v>
      </c>
      <c r="B227" t="s">
        <v>426</v>
      </c>
      <c r="C227">
        <v>-4.3023514747619629</v>
      </c>
      <c r="D227">
        <v>35.852252960205078</v>
      </c>
      <c r="E227">
        <v>1259.4000244140625</v>
      </c>
      <c r="F227">
        <v>2017</v>
      </c>
      <c r="G227" t="s">
        <v>2171</v>
      </c>
      <c r="H227">
        <v>0.55693554878200002</v>
      </c>
      <c r="I227" t="str">
        <f t="shared" si="3"/>
        <v>very gentle</v>
      </c>
      <c r="J227" t="s">
        <v>2177</v>
      </c>
      <c r="K227">
        <v>0.815785527229</v>
      </c>
      <c r="L227">
        <v>8.9477910995500007</v>
      </c>
    </row>
    <row r="228" spans="1:12" x14ac:dyDescent="0.2">
      <c r="A228">
        <v>108</v>
      </c>
      <c r="B228" t="s">
        <v>1425</v>
      </c>
      <c r="C228">
        <v>-4.2652149200439453</v>
      </c>
      <c r="D228">
        <v>35.521144866943359</v>
      </c>
      <c r="E228">
        <v>1631.0999755859375</v>
      </c>
      <c r="F228">
        <v>2017</v>
      </c>
      <c r="G228" t="s">
        <v>2171</v>
      </c>
      <c r="H228">
        <v>3.20911693573</v>
      </c>
      <c r="I228" t="str">
        <f t="shared" si="3"/>
        <v>Gentle</v>
      </c>
      <c r="J228" t="s">
        <v>2173</v>
      </c>
      <c r="K228">
        <v>-9.0633422136300004E-2</v>
      </c>
      <c r="L228">
        <v>10.287559509299999</v>
      </c>
    </row>
    <row r="229" spans="1:12" x14ac:dyDescent="0.2">
      <c r="A229">
        <v>153</v>
      </c>
      <c r="B229" t="s">
        <v>1429</v>
      </c>
      <c r="C229">
        <v>-4.2844042778015137</v>
      </c>
      <c r="D229">
        <v>35.891590118408203</v>
      </c>
      <c r="E229">
        <v>1222.199951171875</v>
      </c>
      <c r="F229">
        <v>2017</v>
      </c>
      <c r="G229" t="s">
        <v>2171</v>
      </c>
      <c r="H229">
        <v>0.93315756320999999</v>
      </c>
      <c r="I229" t="str">
        <f t="shared" si="3"/>
        <v>very gentle</v>
      </c>
      <c r="J229" t="s">
        <v>2173</v>
      </c>
      <c r="K229">
        <v>0.27193418145199999</v>
      </c>
      <c r="L229">
        <v>9.0723009109500001</v>
      </c>
    </row>
    <row r="230" spans="1:12" x14ac:dyDescent="0.2">
      <c r="A230">
        <v>241</v>
      </c>
      <c r="B230" t="s">
        <v>1434</v>
      </c>
      <c r="C230">
        <v>-4.280189037322998</v>
      </c>
      <c r="D230">
        <v>35.850742340087891</v>
      </c>
      <c r="E230">
        <v>1321.9000244140625</v>
      </c>
      <c r="F230">
        <v>2017</v>
      </c>
      <c r="G230" t="s">
        <v>2171</v>
      </c>
      <c r="H230">
        <v>2.4939789771999998</v>
      </c>
      <c r="I230" t="str">
        <f t="shared" si="3"/>
        <v>Gentle</v>
      </c>
      <c r="J230" t="s">
        <v>2173</v>
      </c>
      <c r="K230">
        <v>0.18129228055499999</v>
      </c>
      <c r="L230">
        <v>8.9852018356300007</v>
      </c>
    </row>
    <row r="231" spans="1:12" x14ac:dyDescent="0.2">
      <c r="A231">
        <v>16</v>
      </c>
      <c r="B231" t="s">
        <v>1440</v>
      </c>
      <c r="C231">
        <v>-4.351494312286377</v>
      </c>
      <c r="D231">
        <v>35.499122619628906</v>
      </c>
      <c r="E231">
        <v>1629.300048828125</v>
      </c>
      <c r="F231">
        <v>2017</v>
      </c>
      <c r="G231" t="s">
        <v>2171</v>
      </c>
      <c r="H231">
        <v>3.2750730514500002</v>
      </c>
      <c r="I231" t="str">
        <f t="shared" si="3"/>
        <v>Gentle</v>
      </c>
      <c r="J231" t="s">
        <v>2173</v>
      </c>
      <c r="K231">
        <v>-0.27191722393000001</v>
      </c>
      <c r="L231">
        <v>10.296551704400001</v>
      </c>
    </row>
    <row r="232" spans="1:12" x14ac:dyDescent="0.2">
      <c r="A232">
        <v>110</v>
      </c>
      <c r="B232" t="s">
        <v>1444</v>
      </c>
      <c r="C232">
        <v>-4.2602229118347168</v>
      </c>
      <c r="D232">
        <v>35.519145965576172</v>
      </c>
      <c r="E232">
        <v>1629.699951171875</v>
      </c>
      <c r="F232">
        <v>2017</v>
      </c>
      <c r="G232" t="s">
        <v>2171</v>
      </c>
      <c r="H232">
        <v>2.6196329593700001</v>
      </c>
      <c r="I232" t="str">
        <f t="shared" si="3"/>
        <v>Gentle</v>
      </c>
      <c r="J232" t="s">
        <v>2173</v>
      </c>
      <c r="K232">
        <v>0.18129228055499999</v>
      </c>
      <c r="L232">
        <v>9.7167339325000004</v>
      </c>
    </row>
    <row r="233" spans="1:12" x14ac:dyDescent="0.2">
      <c r="A233">
        <v>85</v>
      </c>
      <c r="B233" t="s">
        <v>1448</v>
      </c>
      <c r="C233">
        <v>-4.3088545799255371</v>
      </c>
      <c r="D233">
        <v>35.864463806152344</v>
      </c>
      <c r="E233">
        <v>1242.199951171875</v>
      </c>
      <c r="F233">
        <v>2017</v>
      </c>
      <c r="G233" t="s">
        <v>2171</v>
      </c>
      <c r="H233">
        <v>0.43690150976199998</v>
      </c>
      <c r="I233" t="str">
        <f t="shared" si="3"/>
        <v>Depression</v>
      </c>
      <c r="J233" t="s">
        <v>2173</v>
      </c>
      <c r="K233">
        <v>0.45321798324599999</v>
      </c>
      <c r="L233">
        <v>9.0019025802599995</v>
      </c>
    </row>
    <row r="234" spans="1:12" x14ac:dyDescent="0.2">
      <c r="A234">
        <v>104</v>
      </c>
      <c r="B234" t="s">
        <v>1454</v>
      </c>
      <c r="C234">
        <v>-4.2103300094604492</v>
      </c>
      <c r="D234">
        <v>35.743022918701172</v>
      </c>
      <c r="E234">
        <v>1305.699951171875</v>
      </c>
      <c r="F234">
        <v>2017</v>
      </c>
      <c r="G234" t="s">
        <v>2171</v>
      </c>
      <c r="H234">
        <v>3.8559429645500001</v>
      </c>
      <c r="I234" t="str">
        <f t="shared" si="3"/>
        <v>Gentle</v>
      </c>
      <c r="J234" t="s">
        <v>2173</v>
      </c>
      <c r="K234">
        <v>0.27193418145199999</v>
      </c>
      <c r="L234">
        <v>8.6119012832599999</v>
      </c>
    </row>
    <row r="235" spans="1:12" x14ac:dyDescent="0.2">
      <c r="A235">
        <v>5</v>
      </c>
      <c r="B235" t="s">
        <v>1458</v>
      </c>
      <c r="C235">
        <v>-4.2934598922729492</v>
      </c>
      <c r="D235">
        <v>35.852897644042969</v>
      </c>
      <c r="E235">
        <v>1280.0999755859375</v>
      </c>
      <c r="F235">
        <v>2017</v>
      </c>
      <c r="G235" t="s">
        <v>2171</v>
      </c>
      <c r="H235">
        <v>1.3508191108700001</v>
      </c>
      <c r="I235" t="str">
        <f t="shared" si="3"/>
        <v>very gentle</v>
      </c>
      <c r="J235" t="s">
        <v>2173</v>
      </c>
      <c r="K235">
        <v>0.45321798324599999</v>
      </c>
      <c r="L235">
        <v>8.6629858016999997</v>
      </c>
    </row>
    <row r="236" spans="1:12" x14ac:dyDescent="0.2">
      <c r="A236">
        <v>86</v>
      </c>
      <c r="B236" t="s">
        <v>1462</v>
      </c>
      <c r="C236">
        <v>-4.3513932228088379</v>
      </c>
      <c r="D236">
        <v>35.466178894042969</v>
      </c>
      <c r="E236">
        <v>1658.4000244140625</v>
      </c>
      <c r="F236">
        <v>2017</v>
      </c>
      <c r="G236" t="s">
        <v>2171</v>
      </c>
      <c r="H236">
        <v>3.5062229633299999</v>
      </c>
      <c r="I236" t="str">
        <f t="shared" si="3"/>
        <v>Gentle</v>
      </c>
      <c r="J236" t="s">
        <v>2173</v>
      </c>
      <c r="K236">
        <v>8.4776775111099995E-6</v>
      </c>
      <c r="L236">
        <v>8.4191064834600002</v>
      </c>
    </row>
    <row r="237" spans="1:12" x14ac:dyDescent="0.2">
      <c r="A237">
        <v>24</v>
      </c>
      <c r="B237" t="s">
        <v>1466</v>
      </c>
      <c r="C237">
        <v>-4.343513011932373</v>
      </c>
      <c r="D237">
        <v>35.479499816894531</v>
      </c>
      <c r="E237">
        <v>1647.4000244140625</v>
      </c>
      <c r="F237">
        <v>2017</v>
      </c>
      <c r="G237" t="s">
        <v>2171</v>
      </c>
      <c r="H237">
        <v>2.93846130371</v>
      </c>
      <c r="I237" t="str">
        <f t="shared" si="3"/>
        <v>Gentle</v>
      </c>
      <c r="J237" t="s">
        <v>2173</v>
      </c>
      <c r="K237">
        <v>0.45321798324599999</v>
      </c>
      <c r="L237">
        <v>8.7921676635699999</v>
      </c>
    </row>
    <row r="238" spans="1:12" x14ac:dyDescent="0.2">
      <c r="A238">
        <v>121</v>
      </c>
      <c r="B238" t="s">
        <v>307</v>
      </c>
      <c r="C238">
        <v>-4.2431526184082031</v>
      </c>
      <c r="D238">
        <v>35.890655517578125</v>
      </c>
      <c r="E238">
        <v>1222</v>
      </c>
      <c r="F238">
        <v>2017</v>
      </c>
      <c r="G238" t="s">
        <v>2171</v>
      </c>
      <c r="H238">
        <v>1.2451889514900001</v>
      </c>
      <c r="I238" t="str">
        <f t="shared" si="3"/>
        <v>very gentle</v>
      </c>
      <c r="J238" t="s">
        <v>2173</v>
      </c>
      <c r="K238">
        <v>0.18129228055499999</v>
      </c>
      <c r="L238">
        <v>10.190670967100001</v>
      </c>
    </row>
    <row r="239" spans="1:12" x14ac:dyDescent="0.2">
      <c r="A239">
        <v>10</v>
      </c>
      <c r="B239" t="s">
        <v>1473</v>
      </c>
      <c r="C239">
        <v>-4.287409782409668</v>
      </c>
      <c r="D239">
        <v>35.866935729980469</v>
      </c>
      <c r="E239">
        <v>1271.699951171875</v>
      </c>
      <c r="F239">
        <v>2017</v>
      </c>
      <c r="G239" t="s">
        <v>2171</v>
      </c>
      <c r="H239">
        <v>1.7505050897600001</v>
      </c>
      <c r="I239" t="str">
        <f t="shared" si="3"/>
        <v>very gentle</v>
      </c>
      <c r="J239" t="s">
        <v>2173</v>
      </c>
      <c r="K239">
        <v>0.18129228055499999</v>
      </c>
      <c r="L239">
        <v>11.0446929932</v>
      </c>
    </row>
    <row r="240" spans="1:12" x14ac:dyDescent="0.2">
      <c r="A240">
        <v>95</v>
      </c>
      <c r="B240" t="s">
        <v>1477</v>
      </c>
      <c r="C240">
        <v>-4.3069453239440918</v>
      </c>
      <c r="D240">
        <v>35.863353729248047</v>
      </c>
      <c r="E240">
        <v>1245.9000244140625</v>
      </c>
      <c r="F240">
        <v>2017</v>
      </c>
      <c r="G240" t="s">
        <v>2171</v>
      </c>
      <c r="H240">
        <v>1.8074369430499999</v>
      </c>
      <c r="I240" t="str">
        <f t="shared" si="3"/>
        <v>very gentle</v>
      </c>
      <c r="J240" t="s">
        <v>2173</v>
      </c>
      <c r="K240">
        <v>-0.362559139729</v>
      </c>
      <c r="L240">
        <v>9.6462850570699992</v>
      </c>
    </row>
    <row r="241" spans="1:12" x14ac:dyDescent="0.2">
      <c r="A241">
        <v>87</v>
      </c>
      <c r="B241" t="s">
        <v>1481</v>
      </c>
      <c r="C241">
        <v>-4.3497371673583984</v>
      </c>
      <c r="D241">
        <v>35.461997985839844</v>
      </c>
      <c r="E241">
        <v>1669.5</v>
      </c>
      <c r="F241">
        <v>2017</v>
      </c>
      <c r="G241" t="s">
        <v>2174</v>
      </c>
      <c r="H241">
        <v>5.1211724281300004</v>
      </c>
      <c r="I241" t="str">
        <f t="shared" si="3"/>
        <v>Moderate</v>
      </c>
      <c r="J241" t="s">
        <v>2178</v>
      </c>
      <c r="K241">
        <v>0.45321798324599999</v>
      </c>
      <c r="L241">
        <v>7.87680244446</v>
      </c>
    </row>
    <row r="242" spans="1:12" x14ac:dyDescent="0.2">
      <c r="A242">
        <v>112</v>
      </c>
      <c r="B242" t="s">
        <v>1485</v>
      </c>
      <c r="C242">
        <v>-4.2550787925720215</v>
      </c>
      <c r="D242">
        <v>35.521110534667969</v>
      </c>
      <c r="E242">
        <v>1629.9000244140625</v>
      </c>
      <c r="F242">
        <v>2017</v>
      </c>
      <c r="G242" t="s">
        <v>2171</v>
      </c>
      <c r="H242">
        <v>0.93315756320999999</v>
      </c>
      <c r="I242" t="str">
        <f t="shared" si="3"/>
        <v>very gentle</v>
      </c>
      <c r="J242" t="s">
        <v>2173</v>
      </c>
      <c r="K242">
        <v>9.0650379657699995E-2</v>
      </c>
      <c r="L242">
        <v>10.7247610092</v>
      </c>
    </row>
    <row r="243" spans="1:12" x14ac:dyDescent="0.2">
      <c r="A243">
        <v>90</v>
      </c>
      <c r="B243" t="s">
        <v>250</v>
      </c>
      <c r="C243">
        <v>-4.3439469337463379</v>
      </c>
      <c r="D243">
        <v>35.477890014648438</v>
      </c>
      <c r="E243">
        <v>1630</v>
      </c>
      <c r="F243">
        <v>2017</v>
      </c>
      <c r="G243" t="s">
        <v>2183</v>
      </c>
      <c r="H243">
        <v>4.3128838539099998</v>
      </c>
      <c r="I243" t="str">
        <f t="shared" si="3"/>
        <v>Gentle</v>
      </c>
      <c r="J243" t="s">
        <v>2182</v>
      </c>
      <c r="K243">
        <v>1.26899504662</v>
      </c>
      <c r="L243">
        <v>7.5570774078399996</v>
      </c>
    </row>
    <row r="244" spans="1:12" x14ac:dyDescent="0.2">
      <c r="A244">
        <v>36</v>
      </c>
      <c r="B244" t="s">
        <v>1497</v>
      </c>
      <c r="C244">
        <v>-4.3025317192077637</v>
      </c>
      <c r="D244">
        <v>35.634777069091797</v>
      </c>
      <c r="E244">
        <v>1425.4000244140625</v>
      </c>
      <c r="F244">
        <v>2017</v>
      </c>
      <c r="G244" t="s">
        <v>2175</v>
      </c>
      <c r="H244">
        <v>14.098661422699999</v>
      </c>
      <c r="I244" t="str">
        <f t="shared" si="3"/>
        <v>Strong</v>
      </c>
      <c r="J244" t="s">
        <v>2176</v>
      </c>
      <c r="K244">
        <v>-1.1783361434899999</v>
      </c>
      <c r="L244">
        <v>6.5800104141200002</v>
      </c>
    </row>
    <row r="245" spans="1:12" x14ac:dyDescent="0.2">
      <c r="A245">
        <v>37</v>
      </c>
      <c r="B245" t="s">
        <v>1502</v>
      </c>
      <c r="C245">
        <v>-4.3000764846801758</v>
      </c>
      <c r="D245">
        <v>35.629844665527344</v>
      </c>
      <c r="E245">
        <v>1417.699951171875</v>
      </c>
      <c r="F245">
        <v>2017</v>
      </c>
      <c r="G245" t="s">
        <v>2179</v>
      </c>
      <c r="H245">
        <v>4.0973973274200004</v>
      </c>
      <c r="I245" t="str">
        <f t="shared" si="3"/>
        <v>Gentle</v>
      </c>
      <c r="J245" t="s">
        <v>2172</v>
      </c>
      <c r="K245">
        <v>-0.90641051530799999</v>
      </c>
      <c r="L245">
        <v>9.8035144805899996</v>
      </c>
    </row>
    <row r="246" spans="1:12" x14ac:dyDescent="0.2">
      <c r="A246">
        <v>83</v>
      </c>
      <c r="B246" t="s">
        <v>1507</v>
      </c>
      <c r="C246">
        <v>-4.3094668388366699</v>
      </c>
      <c r="D246">
        <v>35.865596771240234</v>
      </c>
      <c r="E246">
        <v>1239.300048828125</v>
      </c>
      <c r="F246">
        <v>2017</v>
      </c>
      <c r="G246" t="s">
        <v>2171</v>
      </c>
      <c r="H246">
        <v>0.85303092002900005</v>
      </c>
      <c r="I246" t="str">
        <f t="shared" si="3"/>
        <v>very gentle</v>
      </c>
      <c r="J246" t="s">
        <v>2177</v>
      </c>
      <c r="K246">
        <v>0.54385989904400001</v>
      </c>
      <c r="L246">
        <v>8.6651210784899995</v>
      </c>
    </row>
    <row r="247" spans="1:12" x14ac:dyDescent="0.2">
      <c r="A247">
        <v>93</v>
      </c>
      <c r="B247" t="s">
        <v>1513</v>
      </c>
      <c r="C247">
        <v>-4.3646130561828613</v>
      </c>
      <c r="D247">
        <v>35.480541229248047</v>
      </c>
      <c r="E247">
        <v>1712.0999755859375</v>
      </c>
      <c r="F247">
        <v>2017</v>
      </c>
      <c r="G247" t="s">
        <v>2171</v>
      </c>
      <c r="H247">
        <v>3.3183093070999998</v>
      </c>
      <c r="I247" t="str">
        <f t="shared" si="3"/>
        <v>Gentle</v>
      </c>
      <c r="J247" t="s">
        <v>2173</v>
      </c>
      <c r="K247">
        <v>0.36257606744799997</v>
      </c>
      <c r="L247">
        <v>7.5032229423499999</v>
      </c>
    </row>
    <row r="248" spans="1:12" x14ac:dyDescent="0.2">
      <c r="A248">
        <v>20</v>
      </c>
      <c r="B248" t="s">
        <v>1518</v>
      </c>
      <c r="C248">
        <v>-4.3554658889770508</v>
      </c>
      <c r="D248">
        <v>35.471359252929688</v>
      </c>
      <c r="E248">
        <v>1668.5999755859375</v>
      </c>
      <c r="F248">
        <v>2017</v>
      </c>
      <c r="G248" t="s">
        <v>2174</v>
      </c>
      <c r="H248">
        <v>5.9934930801400004</v>
      </c>
      <c r="I248" t="str">
        <f t="shared" si="3"/>
        <v>Moderate</v>
      </c>
      <c r="J248" t="s">
        <v>2178</v>
      </c>
      <c r="K248">
        <v>0.45321798324599999</v>
      </c>
      <c r="L248">
        <v>7.2720131874099998</v>
      </c>
    </row>
    <row r="249" spans="1:12" x14ac:dyDescent="0.2">
      <c r="A249">
        <v>100</v>
      </c>
      <c r="B249" t="s">
        <v>1523</v>
      </c>
      <c r="C249">
        <v>-4.2963933944702148</v>
      </c>
      <c r="D249">
        <v>35.861850738525391</v>
      </c>
      <c r="E249">
        <v>1264.300048828125</v>
      </c>
      <c r="F249">
        <v>2017</v>
      </c>
      <c r="G249" t="s">
        <v>2171</v>
      </c>
      <c r="H249">
        <v>1.00692403316</v>
      </c>
      <c r="I249" t="str">
        <f t="shared" si="3"/>
        <v>very gentle</v>
      </c>
      <c r="J249" t="s">
        <v>2172</v>
      </c>
      <c r="K249">
        <v>-0.63448482751799995</v>
      </c>
      <c r="L249">
        <v>12.447251319899999</v>
      </c>
    </row>
    <row r="250" spans="1:12" x14ac:dyDescent="0.2">
      <c r="A250">
        <v>6</v>
      </c>
      <c r="B250" t="s">
        <v>1527</v>
      </c>
      <c r="C250">
        <v>-4.3017787933349609</v>
      </c>
      <c r="D250">
        <v>35.871902465820312</v>
      </c>
      <c r="E250">
        <v>1248.300048828125</v>
      </c>
      <c r="F250">
        <v>2017</v>
      </c>
      <c r="G250" t="s">
        <v>2171</v>
      </c>
      <c r="H250">
        <v>2.93846130371</v>
      </c>
      <c r="I250" t="str">
        <f t="shared" si="3"/>
        <v>Gentle</v>
      </c>
      <c r="J250" t="s">
        <v>2173</v>
      </c>
      <c r="K250">
        <v>0.18129228055499999</v>
      </c>
      <c r="L250">
        <v>8.0064697265600007</v>
      </c>
    </row>
    <row r="251" spans="1:12" x14ac:dyDescent="0.2">
      <c r="A251">
        <v>300</v>
      </c>
      <c r="B251" t="s">
        <v>314</v>
      </c>
      <c r="C251">
        <v>-4.2386908531188965</v>
      </c>
      <c r="D251">
        <v>35.888076782226562</v>
      </c>
      <c r="E251">
        <v>1235.699951171875</v>
      </c>
      <c r="F251">
        <v>2016</v>
      </c>
      <c r="G251" t="s">
        <v>2174</v>
      </c>
      <c r="H251">
        <v>9.2816181182899999</v>
      </c>
      <c r="I251" t="str">
        <f t="shared" si="3"/>
        <v>Strong</v>
      </c>
      <c r="J251" t="s">
        <v>2172</v>
      </c>
      <c r="K251">
        <v>-0.725126743317</v>
      </c>
      <c r="L251">
        <v>6.8796205520599996</v>
      </c>
    </row>
    <row r="252" spans="1:12" x14ac:dyDescent="0.2">
      <c r="A252">
        <v>301</v>
      </c>
      <c r="B252" t="s">
        <v>426</v>
      </c>
      <c r="C252">
        <v>-4.302983283996582</v>
      </c>
      <c r="D252">
        <v>35.851768493652344</v>
      </c>
      <c r="E252">
        <v>1265.699951171875</v>
      </c>
      <c r="F252">
        <v>2016</v>
      </c>
      <c r="G252" t="s">
        <v>2171</v>
      </c>
      <c r="H252">
        <v>0.55693554878200002</v>
      </c>
      <c r="I252" t="str">
        <f t="shared" si="3"/>
        <v>very gentle</v>
      </c>
      <c r="J252" t="s">
        <v>2177</v>
      </c>
      <c r="K252">
        <v>0.815785527229</v>
      </c>
      <c r="L252">
        <v>8.9477910995500007</v>
      </c>
    </row>
    <row r="253" spans="1:12" x14ac:dyDescent="0.2">
      <c r="A253">
        <v>302</v>
      </c>
      <c r="B253" t="s">
        <v>1563</v>
      </c>
      <c r="C253">
        <v>-4.2462644577026367</v>
      </c>
      <c r="D253">
        <v>35.889194488525391</v>
      </c>
      <c r="E253">
        <v>1227.300048828125</v>
      </c>
      <c r="F253">
        <v>2016</v>
      </c>
      <c r="G253" t="s">
        <v>2171</v>
      </c>
      <c r="H253">
        <v>1.8172980546999999</v>
      </c>
      <c r="I253" t="str">
        <f t="shared" si="3"/>
        <v>very gentle</v>
      </c>
      <c r="J253" t="s">
        <v>2173</v>
      </c>
      <c r="K253">
        <v>9.0650379657699995E-2</v>
      </c>
      <c r="L253">
        <v>10.4724979401</v>
      </c>
    </row>
    <row r="254" spans="1:12" x14ac:dyDescent="0.2">
      <c r="A254">
        <v>303</v>
      </c>
      <c r="B254" t="s">
        <v>1564</v>
      </c>
      <c r="C254">
        <v>-4.2490625381469727</v>
      </c>
      <c r="D254">
        <v>35.505126953125</v>
      </c>
      <c r="E254">
        <v>1656</v>
      </c>
      <c r="F254">
        <v>2016</v>
      </c>
      <c r="G254" t="s">
        <v>2171</v>
      </c>
      <c r="H254">
        <v>2.3941514491999998</v>
      </c>
      <c r="I254" t="str">
        <f t="shared" si="3"/>
        <v>Gentle</v>
      </c>
      <c r="J254" t="s">
        <v>2173</v>
      </c>
      <c r="K254">
        <v>0.18129228055499999</v>
      </c>
      <c r="L254">
        <v>9.1220626831100002</v>
      </c>
    </row>
    <row r="255" spans="1:12" x14ac:dyDescent="0.2">
      <c r="A255">
        <v>304</v>
      </c>
      <c r="B255" t="s">
        <v>1565</v>
      </c>
      <c r="C255">
        <v>-4.3112177848815918</v>
      </c>
      <c r="D255">
        <v>35.858440399169922</v>
      </c>
      <c r="E255">
        <v>1244.199951171875</v>
      </c>
      <c r="F255">
        <v>2016</v>
      </c>
      <c r="G255" t="s">
        <v>2171</v>
      </c>
      <c r="H255">
        <v>1.0921425819399999</v>
      </c>
      <c r="I255" t="str">
        <f t="shared" si="3"/>
        <v>very gentle</v>
      </c>
      <c r="J255" t="s">
        <v>2173</v>
      </c>
      <c r="K255">
        <v>-0.18127532303300001</v>
      </c>
      <c r="L255">
        <v>9.4895277023299993</v>
      </c>
    </row>
    <row r="256" spans="1:12" x14ac:dyDescent="0.2">
      <c r="A256">
        <v>305</v>
      </c>
      <c r="B256" t="s">
        <v>1566</v>
      </c>
      <c r="C256">
        <v>-4.3372249603271484</v>
      </c>
      <c r="D256">
        <v>35.480033874511719</v>
      </c>
      <c r="E256">
        <v>1610.5</v>
      </c>
      <c r="F256">
        <v>2016</v>
      </c>
      <c r="G256" t="s">
        <v>2171</v>
      </c>
      <c r="H256">
        <v>3.56164526939</v>
      </c>
      <c r="I256" t="str">
        <f t="shared" si="3"/>
        <v>Gentle</v>
      </c>
      <c r="J256" t="s">
        <v>2173</v>
      </c>
      <c r="K256">
        <v>0.18129228055499999</v>
      </c>
      <c r="L256">
        <v>8.0398569107100002</v>
      </c>
    </row>
    <row r="257" spans="1:12" x14ac:dyDescent="0.2">
      <c r="A257">
        <v>306</v>
      </c>
      <c r="B257" t="s">
        <v>1567</v>
      </c>
      <c r="C257">
        <v>-4.2451353073120117</v>
      </c>
      <c r="D257">
        <v>35.886074066162109</v>
      </c>
      <c r="E257">
        <v>1228.699951171875</v>
      </c>
      <c r="F257">
        <v>2016</v>
      </c>
      <c r="G257" t="s">
        <v>2171</v>
      </c>
      <c r="H257">
        <v>1.00692403316</v>
      </c>
      <c r="I257" t="str">
        <f t="shared" si="3"/>
        <v>very gentle</v>
      </c>
      <c r="J257" t="s">
        <v>2173</v>
      </c>
      <c r="K257">
        <v>-9.0633422136300004E-2</v>
      </c>
      <c r="L257">
        <v>9.5450010299700008</v>
      </c>
    </row>
    <row r="258" spans="1:12" x14ac:dyDescent="0.2">
      <c r="A258">
        <v>307</v>
      </c>
      <c r="B258" t="s">
        <v>1568</v>
      </c>
      <c r="C258">
        <v>-4.3407063484191895</v>
      </c>
      <c r="D258">
        <v>35.47015380859375</v>
      </c>
      <c r="E258">
        <v>1601.699951171875</v>
      </c>
      <c r="F258">
        <v>2016</v>
      </c>
      <c r="G258" t="s">
        <v>2171</v>
      </c>
      <c r="H258">
        <v>2.35151100159</v>
      </c>
      <c r="I258" t="str">
        <f t="shared" si="3"/>
        <v>Gentle</v>
      </c>
      <c r="J258" t="s">
        <v>2173</v>
      </c>
      <c r="K258">
        <v>9.0650379657699995E-2</v>
      </c>
      <c r="L258">
        <v>9.2979307174700008</v>
      </c>
    </row>
    <row r="259" spans="1:12" x14ac:dyDescent="0.2">
      <c r="A259">
        <v>308</v>
      </c>
      <c r="B259" t="s">
        <v>1569</v>
      </c>
      <c r="C259">
        <v>-4.301849365234375</v>
      </c>
      <c r="D259">
        <v>35.868457794189453</v>
      </c>
      <c r="E259">
        <v>1250.300048828125</v>
      </c>
      <c r="F259">
        <v>2016</v>
      </c>
      <c r="G259" t="s">
        <v>2171</v>
      </c>
      <c r="H259">
        <v>0.699362456799</v>
      </c>
      <c r="I259" t="str">
        <f t="shared" ref="I259:I322" si="4">IF(H259&lt;0.5,"Depression",IF(H259&lt;2,"very gentle",IF(H259&lt;5,"Gentle",IF(H259&lt;9,"Moderate",IF(H259&lt;15,"Strong",IF(H259&lt;30,"Steep",IF(H259&lt;1,"very steep")))))))</f>
        <v>very gentle</v>
      </c>
      <c r="J259" t="s">
        <v>2173</v>
      </c>
      <c r="K259">
        <v>0.36257606744799997</v>
      </c>
      <c r="L259">
        <v>9.0593633651700003</v>
      </c>
    </row>
    <row r="260" spans="1:12" x14ac:dyDescent="0.2">
      <c r="A260">
        <v>309</v>
      </c>
      <c r="B260" t="s">
        <v>1570</v>
      </c>
      <c r="C260">
        <v>-4.2462878227233887</v>
      </c>
      <c r="D260">
        <v>35.488945007324219</v>
      </c>
      <c r="E260">
        <v>1639.9000244140625</v>
      </c>
      <c r="F260">
        <v>2016</v>
      </c>
      <c r="G260" t="s">
        <v>2179</v>
      </c>
      <c r="H260">
        <v>2.9786438942000002</v>
      </c>
      <c r="I260" t="str">
        <f t="shared" si="4"/>
        <v>Gentle</v>
      </c>
      <c r="J260" t="s">
        <v>2172</v>
      </c>
      <c r="K260">
        <v>-0.63448482751799995</v>
      </c>
      <c r="L260">
        <v>10.974947929400001</v>
      </c>
    </row>
    <row r="261" spans="1:12" x14ac:dyDescent="0.2">
      <c r="A261">
        <v>310</v>
      </c>
      <c r="B261" t="s">
        <v>1571</v>
      </c>
      <c r="C261">
        <v>-4.3630838394165039</v>
      </c>
      <c r="D261">
        <v>35.482177734375</v>
      </c>
      <c r="E261">
        <v>1720.800048828125</v>
      </c>
      <c r="F261">
        <v>2016</v>
      </c>
      <c r="G261" t="s">
        <v>2171</v>
      </c>
      <c r="H261">
        <v>2.5945329666100001</v>
      </c>
      <c r="I261" t="str">
        <f t="shared" si="4"/>
        <v>Gentle</v>
      </c>
      <c r="J261" t="s">
        <v>2173</v>
      </c>
      <c r="K261">
        <v>0.27193418145199999</v>
      </c>
      <c r="L261">
        <v>7.9681887626599996</v>
      </c>
    </row>
    <row r="262" spans="1:12" x14ac:dyDescent="0.2">
      <c r="A262">
        <v>311</v>
      </c>
      <c r="B262" t="s">
        <v>1572</v>
      </c>
      <c r="C262">
        <v>-4.322136402130127</v>
      </c>
      <c r="D262">
        <v>35.471118927001953</v>
      </c>
      <c r="E262">
        <v>1560.5999755859375</v>
      </c>
      <c r="F262">
        <v>2016</v>
      </c>
      <c r="G262" t="s">
        <v>2171</v>
      </c>
      <c r="H262">
        <v>0.10922735929500001</v>
      </c>
      <c r="I262" t="str">
        <f t="shared" si="4"/>
        <v>Depression</v>
      </c>
      <c r="J262" t="s">
        <v>2173</v>
      </c>
      <c r="K262">
        <v>8.4776775111099995E-6</v>
      </c>
      <c r="L262">
        <v>11.5900564194</v>
      </c>
    </row>
    <row r="263" spans="1:12" x14ac:dyDescent="0.2">
      <c r="A263">
        <v>312</v>
      </c>
      <c r="B263" t="s">
        <v>1573</v>
      </c>
      <c r="C263">
        <v>-4.2983579635620117</v>
      </c>
      <c r="D263">
        <v>35.898761749267578</v>
      </c>
      <c r="E263">
        <v>1189.5</v>
      </c>
      <c r="F263">
        <v>2016</v>
      </c>
      <c r="G263" t="s">
        <v>2171</v>
      </c>
      <c r="H263">
        <v>1.5635114908200001</v>
      </c>
      <c r="I263" t="str">
        <f t="shared" si="4"/>
        <v>very gentle</v>
      </c>
      <c r="J263" t="s">
        <v>2173</v>
      </c>
      <c r="K263">
        <v>-0.45320102572400001</v>
      </c>
      <c r="L263">
        <v>10.7793169022</v>
      </c>
    </row>
    <row r="264" spans="1:12" x14ac:dyDescent="0.2">
      <c r="A264">
        <v>313</v>
      </c>
      <c r="B264" t="s">
        <v>277</v>
      </c>
      <c r="C264">
        <v>-4.2631258964538574</v>
      </c>
      <c r="D264">
        <v>35.527168273925781</v>
      </c>
      <c r="E264">
        <v>1644.9000244140625</v>
      </c>
      <c r="F264">
        <v>2016</v>
      </c>
      <c r="G264" t="s">
        <v>2171</v>
      </c>
      <c r="H264">
        <v>3.65862059593</v>
      </c>
      <c r="I264" t="str">
        <f t="shared" si="4"/>
        <v>Gentle</v>
      </c>
      <c r="J264" t="s">
        <v>2177</v>
      </c>
      <c r="K264">
        <v>0.72514367103599997</v>
      </c>
      <c r="L264">
        <v>7.8931550979600003</v>
      </c>
    </row>
    <row r="265" spans="1:12" x14ac:dyDescent="0.2">
      <c r="A265">
        <v>314</v>
      </c>
      <c r="B265" t="s">
        <v>1574</v>
      </c>
      <c r="C265">
        <v>-4.2480926513671875</v>
      </c>
      <c r="D265">
        <v>35.505760192871094</v>
      </c>
      <c r="E265">
        <v>1652.300048828125</v>
      </c>
      <c r="F265">
        <v>2016</v>
      </c>
      <c r="G265" t="s">
        <v>2171</v>
      </c>
      <c r="H265">
        <v>3.6667199134800001</v>
      </c>
      <c r="I265" t="str">
        <f t="shared" si="4"/>
        <v>Gentle</v>
      </c>
      <c r="J265" t="s">
        <v>2173</v>
      </c>
      <c r="K265">
        <v>0.36257606744799997</v>
      </c>
      <c r="L265">
        <v>8.5728225707999997</v>
      </c>
    </row>
    <row r="266" spans="1:12" x14ac:dyDescent="0.2">
      <c r="A266">
        <v>315</v>
      </c>
      <c r="B266" t="s">
        <v>1575</v>
      </c>
      <c r="C266">
        <v>-4.2607564926147461</v>
      </c>
      <c r="D266">
        <v>35.519344329833984</v>
      </c>
      <c r="E266">
        <v>1653.5999755859375</v>
      </c>
      <c r="F266">
        <v>2016</v>
      </c>
      <c r="G266" t="s">
        <v>2171</v>
      </c>
      <c r="H266">
        <v>3.1812281608599999</v>
      </c>
      <c r="I266" t="str">
        <f t="shared" si="4"/>
        <v>Gentle</v>
      </c>
      <c r="J266" t="s">
        <v>2173</v>
      </c>
      <c r="K266">
        <v>-0.45320102572400001</v>
      </c>
      <c r="L266">
        <v>9.0168313980099999</v>
      </c>
    </row>
    <row r="267" spans="1:12" x14ac:dyDescent="0.2">
      <c r="A267">
        <v>316</v>
      </c>
      <c r="B267" t="s">
        <v>320</v>
      </c>
      <c r="C267">
        <v>-4.2254996299743652</v>
      </c>
      <c r="D267">
        <v>35.876842498779297</v>
      </c>
      <c r="E267">
        <v>1254.199951171875</v>
      </c>
      <c r="F267">
        <v>2016</v>
      </c>
      <c r="G267" t="s">
        <v>2171</v>
      </c>
      <c r="H267">
        <v>2.5200860500300002</v>
      </c>
      <c r="I267" t="str">
        <f t="shared" si="4"/>
        <v>Gentle</v>
      </c>
      <c r="J267" t="s">
        <v>2173</v>
      </c>
      <c r="K267">
        <v>8.4776775111099995E-6</v>
      </c>
      <c r="L267">
        <v>9.1653385162400003</v>
      </c>
    </row>
    <row r="268" spans="1:12" x14ac:dyDescent="0.2">
      <c r="A268">
        <v>317</v>
      </c>
      <c r="B268" t="s">
        <v>238</v>
      </c>
      <c r="C268">
        <v>-4.3179612159729004</v>
      </c>
      <c r="D268">
        <v>35.872585296630859</v>
      </c>
      <c r="E268">
        <v>1224.5</v>
      </c>
      <c r="F268">
        <v>2016</v>
      </c>
      <c r="G268" t="s">
        <v>2171</v>
      </c>
      <c r="H268">
        <v>0.45034721493699997</v>
      </c>
      <c r="I268" t="str">
        <f t="shared" si="4"/>
        <v>Depression</v>
      </c>
      <c r="J268" t="s">
        <v>2173</v>
      </c>
      <c r="K268">
        <v>9.0650379657699995E-2</v>
      </c>
      <c r="L268">
        <v>10.419812202499999</v>
      </c>
    </row>
    <row r="269" spans="1:12" x14ac:dyDescent="0.2">
      <c r="A269">
        <v>318</v>
      </c>
      <c r="B269" t="s">
        <v>91</v>
      </c>
      <c r="C269">
        <v>-4.2428150177001953</v>
      </c>
      <c r="D269">
        <v>35.891624450683594</v>
      </c>
      <c r="E269">
        <v>1218</v>
      </c>
      <c r="F269">
        <v>2016</v>
      </c>
      <c r="G269" t="s">
        <v>2171</v>
      </c>
      <c r="H269">
        <v>3.3183093070999998</v>
      </c>
      <c r="I269" t="str">
        <f t="shared" si="4"/>
        <v>Gentle</v>
      </c>
      <c r="J269" t="s">
        <v>2173</v>
      </c>
      <c r="K269">
        <v>0.18129228055499999</v>
      </c>
      <c r="L269">
        <v>8.6197080612200008</v>
      </c>
    </row>
    <row r="270" spans="1:12" x14ac:dyDescent="0.2">
      <c r="A270">
        <v>319</v>
      </c>
      <c r="B270" t="s">
        <v>1576</v>
      </c>
      <c r="C270">
        <v>-4.2210679054260254</v>
      </c>
      <c r="D270">
        <v>35.880577087402344</v>
      </c>
      <c r="E270">
        <v>1260.300048828125</v>
      </c>
      <c r="F270">
        <v>2016</v>
      </c>
      <c r="G270" t="s">
        <v>2171</v>
      </c>
      <c r="H270">
        <v>1.5749045610400001</v>
      </c>
      <c r="I270" t="str">
        <f t="shared" si="4"/>
        <v>very gentle</v>
      </c>
      <c r="J270" t="s">
        <v>2173</v>
      </c>
      <c r="K270">
        <v>0.18129228055499999</v>
      </c>
      <c r="L270">
        <v>8.81130027771</v>
      </c>
    </row>
    <row r="271" spans="1:12" x14ac:dyDescent="0.2">
      <c r="A271">
        <v>320</v>
      </c>
      <c r="B271" t="s">
        <v>226</v>
      </c>
      <c r="C271">
        <v>-4.2999939918518066</v>
      </c>
      <c r="D271">
        <v>35.850185394287109</v>
      </c>
      <c r="E271">
        <v>1256.0999755859375</v>
      </c>
      <c r="F271">
        <v>2016</v>
      </c>
      <c r="G271" t="s">
        <v>2171</v>
      </c>
      <c r="H271">
        <v>1.36835634708</v>
      </c>
      <c r="I271" t="str">
        <f t="shared" si="4"/>
        <v>very gentle</v>
      </c>
      <c r="J271" t="s">
        <v>2173</v>
      </c>
      <c r="K271">
        <v>-9.0633422136300004E-2</v>
      </c>
      <c r="L271">
        <v>8.9760036468499997</v>
      </c>
    </row>
    <row r="272" spans="1:12" x14ac:dyDescent="0.2">
      <c r="A272">
        <v>321</v>
      </c>
      <c r="B272" t="s">
        <v>1577</v>
      </c>
      <c r="C272">
        <v>-4.3094315528869629</v>
      </c>
      <c r="D272">
        <v>35.873985290527344</v>
      </c>
      <c r="E272">
        <v>1228.9000244140625</v>
      </c>
      <c r="F272">
        <v>2016</v>
      </c>
      <c r="G272" t="s">
        <v>2171</v>
      </c>
      <c r="H272">
        <v>0.88055086135899996</v>
      </c>
      <c r="I272" t="str">
        <f t="shared" si="4"/>
        <v>very gentle</v>
      </c>
      <c r="J272" t="s">
        <v>2173</v>
      </c>
      <c r="K272">
        <v>-9.0633422136300004E-2</v>
      </c>
      <c r="L272">
        <v>12.024283409100001</v>
      </c>
    </row>
    <row r="273" spans="1:12" x14ac:dyDescent="0.2">
      <c r="A273">
        <v>322</v>
      </c>
      <c r="B273" t="s">
        <v>1578</v>
      </c>
      <c r="C273">
        <v>-4.2219696044921875</v>
      </c>
      <c r="D273">
        <v>35.881500244140625</v>
      </c>
      <c r="E273">
        <v>1255.199951171875</v>
      </c>
      <c r="F273">
        <v>2016</v>
      </c>
      <c r="G273" t="s">
        <v>2171</v>
      </c>
      <c r="H273">
        <v>2.45308256149</v>
      </c>
      <c r="I273" t="str">
        <f t="shared" si="4"/>
        <v>Gentle</v>
      </c>
      <c r="J273" t="s">
        <v>2173</v>
      </c>
      <c r="K273">
        <v>-9.0633422136300004E-2</v>
      </c>
      <c r="L273">
        <v>8.5408096313499993</v>
      </c>
    </row>
    <row r="274" spans="1:12" x14ac:dyDescent="0.2">
      <c r="A274">
        <v>323</v>
      </c>
      <c r="B274" t="s">
        <v>1579</v>
      </c>
      <c r="C274">
        <v>-4.2968225479125977</v>
      </c>
      <c r="D274">
        <v>35.865055084228516</v>
      </c>
      <c r="E274">
        <v>1253.300048828125</v>
      </c>
      <c r="F274">
        <v>2016</v>
      </c>
      <c r="G274" t="s">
        <v>2171</v>
      </c>
      <c r="H274">
        <v>1.38996624947</v>
      </c>
      <c r="I274" t="str">
        <f t="shared" si="4"/>
        <v>very gentle</v>
      </c>
      <c r="J274" t="s">
        <v>2173</v>
      </c>
      <c r="K274">
        <v>8.4776775111099995E-6</v>
      </c>
      <c r="L274">
        <v>9.7598037719700006</v>
      </c>
    </row>
    <row r="275" spans="1:12" x14ac:dyDescent="0.2">
      <c r="A275">
        <v>324</v>
      </c>
      <c r="B275" t="s">
        <v>1580</v>
      </c>
      <c r="C275">
        <v>-4.2528867721557617</v>
      </c>
      <c r="D275">
        <v>35.928688049316406</v>
      </c>
      <c r="E275">
        <v>1160.300048828125</v>
      </c>
      <c r="F275">
        <v>2016</v>
      </c>
      <c r="G275" t="s">
        <v>2171</v>
      </c>
      <c r="H275">
        <v>1.0303390026100001</v>
      </c>
      <c r="I275" t="str">
        <f t="shared" si="4"/>
        <v>very gentle</v>
      </c>
      <c r="J275" t="s">
        <v>2172</v>
      </c>
      <c r="K275">
        <v>-0.90641051530799999</v>
      </c>
      <c r="L275">
        <v>11.9886894226</v>
      </c>
    </row>
    <row r="276" spans="1:12" x14ac:dyDescent="0.2">
      <c r="A276">
        <v>325</v>
      </c>
      <c r="B276" t="s">
        <v>90</v>
      </c>
      <c r="C276">
        <v>-4.2592735290527344</v>
      </c>
      <c r="D276">
        <v>35.889389038085938</v>
      </c>
      <c r="E276">
        <v>1245.4000244140625</v>
      </c>
      <c r="F276">
        <v>2016</v>
      </c>
      <c r="G276" t="s">
        <v>2171</v>
      </c>
      <c r="H276">
        <v>0.97686570882799995</v>
      </c>
      <c r="I276" t="str">
        <f t="shared" si="4"/>
        <v>very gentle</v>
      </c>
      <c r="J276" t="s">
        <v>2173</v>
      </c>
      <c r="K276">
        <v>-0.27191722393000001</v>
      </c>
      <c r="L276">
        <v>11.0940961838</v>
      </c>
    </row>
    <row r="277" spans="1:12" x14ac:dyDescent="0.2">
      <c r="A277">
        <v>326</v>
      </c>
      <c r="B277" t="s">
        <v>1581</v>
      </c>
      <c r="C277">
        <v>-4.2445945739746094</v>
      </c>
      <c r="D277">
        <v>35.891304016113281</v>
      </c>
      <c r="E277">
        <v>1230.300048828125</v>
      </c>
      <c r="F277">
        <v>2016</v>
      </c>
      <c r="G277" t="s">
        <v>2171</v>
      </c>
      <c r="H277">
        <v>0.93315756320999999</v>
      </c>
      <c r="I277" t="str">
        <f t="shared" si="4"/>
        <v>very gentle</v>
      </c>
      <c r="J277" t="s">
        <v>2173</v>
      </c>
      <c r="K277">
        <v>9.0650379657699995E-2</v>
      </c>
      <c r="L277">
        <v>10.5559015274</v>
      </c>
    </row>
    <row r="278" spans="1:12" x14ac:dyDescent="0.2">
      <c r="A278">
        <v>327</v>
      </c>
      <c r="B278" t="s">
        <v>1582</v>
      </c>
      <c r="C278">
        <v>-4.2504177093505859</v>
      </c>
      <c r="D278">
        <v>35.909275054931641</v>
      </c>
      <c r="E278">
        <v>1061.300048828125</v>
      </c>
      <c r="F278">
        <v>2016</v>
      </c>
      <c r="G278" t="s">
        <v>2171</v>
      </c>
      <c r="H278">
        <v>1.22101557255</v>
      </c>
      <c r="I278" t="str">
        <f t="shared" si="4"/>
        <v>very gentle</v>
      </c>
      <c r="J278" t="s">
        <v>2173</v>
      </c>
      <c r="K278">
        <v>-0.27191722393000001</v>
      </c>
      <c r="L278">
        <v>10.8360595703</v>
      </c>
    </row>
    <row r="279" spans="1:12" x14ac:dyDescent="0.2">
      <c r="A279">
        <v>328</v>
      </c>
      <c r="B279" t="s">
        <v>1583</v>
      </c>
      <c r="C279">
        <v>-4.2256708145141602</v>
      </c>
      <c r="D279">
        <v>35.892726898193359</v>
      </c>
      <c r="E279">
        <v>1233.5999755859375</v>
      </c>
      <c r="F279">
        <v>2016</v>
      </c>
      <c r="G279" t="s">
        <v>2171</v>
      </c>
      <c r="H279">
        <v>1.22101557255</v>
      </c>
      <c r="I279" t="str">
        <f t="shared" si="4"/>
        <v>very gentle</v>
      </c>
      <c r="J279" t="s">
        <v>2173</v>
      </c>
      <c r="K279">
        <v>-0.27191722393000001</v>
      </c>
      <c r="L279">
        <v>10.0314970016</v>
      </c>
    </row>
    <row r="280" spans="1:12" x14ac:dyDescent="0.2">
      <c r="A280">
        <v>329</v>
      </c>
      <c r="B280" t="s">
        <v>1584</v>
      </c>
      <c r="C280">
        <v>-4.359921932220459</v>
      </c>
      <c r="D280">
        <v>35.458244323730469</v>
      </c>
      <c r="E280">
        <v>1688.9000244140625</v>
      </c>
      <c r="F280">
        <v>2016</v>
      </c>
      <c r="G280" t="s">
        <v>2171</v>
      </c>
      <c r="H280">
        <v>2.1615679264100001</v>
      </c>
      <c r="I280" t="str">
        <f t="shared" si="4"/>
        <v>Gentle</v>
      </c>
      <c r="J280" t="s">
        <v>2173</v>
      </c>
      <c r="K280">
        <v>-0.18127532303300001</v>
      </c>
      <c r="L280">
        <v>8.4489393234300003</v>
      </c>
    </row>
    <row r="281" spans="1:12" x14ac:dyDescent="0.2">
      <c r="A281">
        <v>330</v>
      </c>
      <c r="B281" t="s">
        <v>1585</v>
      </c>
      <c r="C281">
        <v>-4.3545351028442383</v>
      </c>
      <c r="D281">
        <v>35.483566284179688</v>
      </c>
      <c r="E281">
        <v>1690.0999755859375</v>
      </c>
      <c r="F281">
        <v>2016</v>
      </c>
      <c r="G281" t="s">
        <v>2171</v>
      </c>
      <c r="H281">
        <v>4.3443403244000001</v>
      </c>
      <c r="I281" t="str">
        <f t="shared" si="4"/>
        <v>Gentle</v>
      </c>
      <c r="J281" t="s">
        <v>2173</v>
      </c>
      <c r="K281">
        <v>0.18129228055499999</v>
      </c>
      <c r="L281">
        <v>8.6502752304099992</v>
      </c>
    </row>
    <row r="282" spans="1:12" x14ac:dyDescent="0.2">
      <c r="A282">
        <v>331</v>
      </c>
      <c r="B282" t="s">
        <v>1586</v>
      </c>
      <c r="C282">
        <v>-1.2230236530303955</v>
      </c>
      <c r="D282">
        <v>36.890125274658203</v>
      </c>
      <c r="E282">
        <v>0</v>
      </c>
      <c r="F282">
        <v>2016</v>
      </c>
    </row>
    <row r="283" spans="1:12" x14ac:dyDescent="0.2">
      <c r="A283">
        <v>332</v>
      </c>
      <c r="B283" t="s">
        <v>1587</v>
      </c>
      <c r="C283">
        <v>-4.3563976287841797</v>
      </c>
      <c r="D283">
        <v>35.484077453613281</v>
      </c>
      <c r="E283">
        <v>1696.199951171875</v>
      </c>
      <c r="F283">
        <v>2016</v>
      </c>
      <c r="G283" t="s">
        <v>2171</v>
      </c>
      <c r="H283">
        <v>4.1276497840899999</v>
      </c>
      <c r="I283" t="str">
        <f t="shared" si="4"/>
        <v>Gentle</v>
      </c>
      <c r="J283" t="s">
        <v>2177</v>
      </c>
      <c r="K283">
        <v>0.906427502632</v>
      </c>
      <c r="L283">
        <v>7.89191532135</v>
      </c>
    </row>
    <row r="284" spans="1:12" x14ac:dyDescent="0.2">
      <c r="A284">
        <v>333</v>
      </c>
      <c r="B284" t="s">
        <v>1588</v>
      </c>
      <c r="C284">
        <v>-4.2338318824768066</v>
      </c>
      <c r="D284">
        <v>35.498001098632812</v>
      </c>
      <c r="E284">
        <v>1644.9000244140625</v>
      </c>
      <c r="F284">
        <v>2016</v>
      </c>
      <c r="G284" t="s">
        <v>2184</v>
      </c>
      <c r="H284">
        <v>9.9442968368500004</v>
      </c>
      <c r="I284" t="str">
        <f t="shared" si="4"/>
        <v>Strong</v>
      </c>
      <c r="J284" t="s">
        <v>2176</v>
      </c>
      <c r="K284">
        <v>-1.08769440651</v>
      </c>
      <c r="L284">
        <v>8.7401666641200002</v>
      </c>
    </row>
    <row r="285" spans="1:12" x14ac:dyDescent="0.2">
      <c r="A285">
        <v>334</v>
      </c>
      <c r="B285" t="s">
        <v>1589</v>
      </c>
      <c r="C285">
        <v>-4.3426060676574707</v>
      </c>
      <c r="D285">
        <v>35.490867614746094</v>
      </c>
      <c r="E285">
        <v>1649.0999755859375</v>
      </c>
      <c r="F285">
        <v>2016</v>
      </c>
      <c r="G285" t="s">
        <v>2171</v>
      </c>
      <c r="H285">
        <v>2.88332009315</v>
      </c>
      <c r="I285" t="str">
        <f t="shared" si="4"/>
        <v>Gentle</v>
      </c>
      <c r="J285" t="s">
        <v>2173</v>
      </c>
      <c r="K285">
        <v>0.45321798324599999</v>
      </c>
      <c r="L285">
        <v>8.9593324661300002</v>
      </c>
    </row>
    <row r="286" spans="1:12" x14ac:dyDescent="0.2">
      <c r="A286">
        <v>335</v>
      </c>
      <c r="B286" t="s">
        <v>1590</v>
      </c>
      <c r="C286">
        <v>-4.2626585960388184</v>
      </c>
      <c r="D286">
        <v>35.519443511962891</v>
      </c>
      <c r="E286">
        <v>1656.300048828125</v>
      </c>
      <c r="F286">
        <v>2016</v>
      </c>
      <c r="G286" t="s">
        <v>2171</v>
      </c>
      <c r="H286">
        <v>3.7609581947300001</v>
      </c>
      <c r="I286" t="str">
        <f t="shared" si="4"/>
        <v>Gentle</v>
      </c>
      <c r="J286" t="s">
        <v>2173</v>
      </c>
      <c r="K286">
        <v>-9.0633422136300004E-2</v>
      </c>
      <c r="L286">
        <v>8.8179960250900002</v>
      </c>
    </row>
    <row r="287" spans="1:12" x14ac:dyDescent="0.2">
      <c r="A287">
        <v>336</v>
      </c>
      <c r="B287" t="s">
        <v>1591</v>
      </c>
      <c r="C287">
        <v>-4.3025307655334473</v>
      </c>
      <c r="D287">
        <v>35.894577026367188</v>
      </c>
      <c r="E287">
        <v>1196.300048828125</v>
      </c>
      <c r="F287">
        <v>2016</v>
      </c>
      <c r="G287" t="s">
        <v>2171</v>
      </c>
      <c r="H287">
        <v>2.7373270988499998</v>
      </c>
      <c r="I287" t="str">
        <f t="shared" si="4"/>
        <v>Gentle</v>
      </c>
      <c r="J287" t="s">
        <v>2173</v>
      </c>
      <c r="K287">
        <v>0.18129228055499999</v>
      </c>
      <c r="L287">
        <v>10.390487670900001</v>
      </c>
    </row>
    <row r="288" spans="1:12" x14ac:dyDescent="0.2">
      <c r="A288">
        <v>337</v>
      </c>
      <c r="B288" t="s">
        <v>317</v>
      </c>
      <c r="C288">
        <v>-4.241539478302002</v>
      </c>
      <c r="D288">
        <v>35.917472839355469</v>
      </c>
      <c r="E288">
        <v>1223.5999755859375</v>
      </c>
      <c r="F288">
        <v>2016</v>
      </c>
      <c r="G288" t="s">
        <v>2171</v>
      </c>
      <c r="H288">
        <v>0.54612094163900005</v>
      </c>
      <c r="I288" t="str">
        <f t="shared" si="4"/>
        <v>very gentle</v>
      </c>
      <c r="J288" t="s">
        <v>2173</v>
      </c>
      <c r="K288">
        <v>0.18129228055499999</v>
      </c>
      <c r="L288">
        <v>11.5399780273</v>
      </c>
    </row>
    <row r="289" spans="1:12" x14ac:dyDescent="0.2">
      <c r="A289">
        <v>338</v>
      </c>
      <c r="B289" t="s">
        <v>1592</v>
      </c>
      <c r="C289">
        <v>-4.3417725563049316</v>
      </c>
      <c r="D289">
        <v>35.479534149169922</v>
      </c>
      <c r="E289">
        <v>1627.5999755859375</v>
      </c>
      <c r="F289">
        <v>2016</v>
      </c>
      <c r="G289" t="s">
        <v>2171</v>
      </c>
      <c r="H289">
        <v>2.8312993049599999</v>
      </c>
      <c r="I289" t="str">
        <f t="shared" si="4"/>
        <v>Gentle</v>
      </c>
      <c r="J289" t="s">
        <v>2173</v>
      </c>
      <c r="K289">
        <v>0.36257606744799997</v>
      </c>
      <c r="L289">
        <v>8.7040214538599994</v>
      </c>
    </row>
    <row r="290" spans="1:12" x14ac:dyDescent="0.2">
      <c r="A290">
        <v>339</v>
      </c>
      <c r="B290" t="s">
        <v>1593</v>
      </c>
      <c r="C290">
        <v>-4.2455215454101562</v>
      </c>
      <c r="D290">
        <v>35.506969451904297</v>
      </c>
      <c r="E290">
        <v>1631.5999755859375</v>
      </c>
      <c r="F290">
        <v>2016</v>
      </c>
      <c r="G290" t="s">
        <v>2171</v>
      </c>
      <c r="H290">
        <v>4.3197422027599996</v>
      </c>
      <c r="I290" t="str">
        <f t="shared" si="4"/>
        <v>Gentle</v>
      </c>
      <c r="J290" t="s">
        <v>2173</v>
      </c>
      <c r="K290">
        <v>8.4776775111099995E-6</v>
      </c>
      <c r="L290">
        <v>8.9581680297900004</v>
      </c>
    </row>
    <row r="291" spans="1:12" x14ac:dyDescent="0.2">
      <c r="A291">
        <v>340</v>
      </c>
      <c r="B291" t="s">
        <v>1594</v>
      </c>
      <c r="C291">
        <v>-4.2534222602844238</v>
      </c>
      <c r="D291">
        <v>35.508319854736328</v>
      </c>
      <c r="E291">
        <v>1677.300048828125</v>
      </c>
      <c r="F291">
        <v>2016</v>
      </c>
      <c r="G291" t="s">
        <v>2180</v>
      </c>
      <c r="H291">
        <v>1.6703859567599999</v>
      </c>
      <c r="I291" t="str">
        <f t="shared" si="4"/>
        <v>very gentle</v>
      </c>
      <c r="J291" t="s">
        <v>2173</v>
      </c>
      <c r="K291">
        <v>0.45321798324599999</v>
      </c>
      <c r="L291">
        <v>8.7899465560899994</v>
      </c>
    </row>
    <row r="292" spans="1:12" x14ac:dyDescent="0.2">
      <c r="A292">
        <v>341</v>
      </c>
      <c r="B292" t="s">
        <v>1595</v>
      </c>
      <c r="C292">
        <v>-4.2937712669372559</v>
      </c>
      <c r="D292">
        <v>35.877468109130859</v>
      </c>
      <c r="E292">
        <v>1230.5999755859375</v>
      </c>
      <c r="F292">
        <v>2016</v>
      </c>
      <c r="G292" t="s">
        <v>2171</v>
      </c>
      <c r="H292">
        <v>0.69078183174100005</v>
      </c>
      <c r="I292" t="str">
        <f t="shared" si="4"/>
        <v>very gentle</v>
      </c>
      <c r="J292" t="s">
        <v>2173</v>
      </c>
      <c r="K292">
        <v>-0.27191722393000001</v>
      </c>
      <c r="L292">
        <v>11.425368309</v>
      </c>
    </row>
    <row r="293" spans="1:12" x14ac:dyDescent="0.2">
      <c r="A293">
        <v>342</v>
      </c>
      <c r="B293" t="s">
        <v>1596</v>
      </c>
      <c r="C293">
        <v>-4.3029909133911133</v>
      </c>
      <c r="D293">
        <v>35.890647888183594</v>
      </c>
      <c r="E293">
        <v>1207.300048828125</v>
      </c>
      <c r="F293">
        <v>2016</v>
      </c>
      <c r="G293" t="s">
        <v>2171</v>
      </c>
      <c r="H293">
        <v>1.00692403316</v>
      </c>
      <c r="I293" t="str">
        <f t="shared" si="4"/>
        <v>very gentle</v>
      </c>
      <c r="J293" t="s">
        <v>2173</v>
      </c>
      <c r="K293">
        <v>0.36257606744799997</v>
      </c>
      <c r="L293">
        <v>8.7353200912499993</v>
      </c>
    </row>
    <row r="294" spans="1:12" x14ac:dyDescent="0.2">
      <c r="A294">
        <v>343</v>
      </c>
      <c r="B294" t="s">
        <v>1597</v>
      </c>
      <c r="C294">
        <v>-4.2961330413818359</v>
      </c>
      <c r="D294">
        <v>35.849506378173828</v>
      </c>
      <c r="E294">
        <v>1279.5</v>
      </c>
      <c r="F294">
        <v>2016</v>
      </c>
      <c r="G294" t="s">
        <v>2171</v>
      </c>
      <c r="H294">
        <v>1.52882194519</v>
      </c>
      <c r="I294" t="str">
        <f t="shared" si="4"/>
        <v>very gentle</v>
      </c>
      <c r="J294" t="s">
        <v>2173</v>
      </c>
      <c r="K294">
        <v>-9.0633422136300004E-2</v>
      </c>
      <c r="L294">
        <v>9.7258768081699998</v>
      </c>
    </row>
    <row r="295" spans="1:12" x14ac:dyDescent="0.2">
      <c r="A295">
        <v>344</v>
      </c>
      <c r="B295" t="s">
        <v>1598</v>
      </c>
      <c r="C295">
        <v>-4.3422346115112305</v>
      </c>
      <c r="D295">
        <v>35.479740142822266</v>
      </c>
      <c r="E295">
        <v>1631.0999755859375</v>
      </c>
      <c r="F295">
        <v>2016</v>
      </c>
      <c r="G295" t="s">
        <v>2171</v>
      </c>
      <c r="H295">
        <v>2.6422429084800001</v>
      </c>
      <c r="I295" t="str">
        <f t="shared" si="4"/>
        <v>Gentle</v>
      </c>
      <c r="J295" t="s">
        <v>2173</v>
      </c>
      <c r="K295">
        <v>0.18129228055499999</v>
      </c>
      <c r="L295">
        <v>8.89119148254</v>
      </c>
    </row>
    <row r="296" spans="1:12" x14ac:dyDescent="0.2">
      <c r="A296">
        <v>345</v>
      </c>
      <c r="B296" t="s">
        <v>1599</v>
      </c>
      <c r="C296">
        <v>-4.2591547966003418</v>
      </c>
      <c r="D296">
        <v>35.890132904052734</v>
      </c>
      <c r="E296">
        <v>1247.5999755859375</v>
      </c>
      <c r="F296">
        <v>2016</v>
      </c>
      <c r="G296" t="s">
        <v>2171</v>
      </c>
      <c r="H296">
        <v>0.88055086135899996</v>
      </c>
      <c r="I296" t="str">
        <f t="shared" si="4"/>
        <v>very gentle</v>
      </c>
      <c r="J296" t="s">
        <v>2173</v>
      </c>
      <c r="K296">
        <v>-9.0633422136300004E-2</v>
      </c>
      <c r="L296">
        <v>11.108488082899999</v>
      </c>
    </row>
    <row r="297" spans="1:12" x14ac:dyDescent="0.2">
      <c r="A297">
        <v>346</v>
      </c>
      <c r="B297" t="s">
        <v>1600</v>
      </c>
      <c r="C297">
        <v>-4.2993950843811035</v>
      </c>
      <c r="D297">
        <v>35.858203887939453</v>
      </c>
      <c r="E297">
        <v>1263.9000244140625</v>
      </c>
      <c r="F297">
        <v>2016</v>
      </c>
      <c r="G297" t="s">
        <v>2171</v>
      </c>
      <c r="H297">
        <v>0.66437512636200002</v>
      </c>
      <c r="I297" t="str">
        <f t="shared" si="4"/>
        <v>very gentle</v>
      </c>
      <c r="J297" t="s">
        <v>2173</v>
      </c>
      <c r="K297">
        <v>0.36257606744799997</v>
      </c>
      <c r="L297">
        <v>9.8205451965300004</v>
      </c>
    </row>
    <row r="298" spans="1:12" x14ac:dyDescent="0.2">
      <c r="A298">
        <v>347</v>
      </c>
      <c r="B298" t="s">
        <v>1601</v>
      </c>
      <c r="C298">
        <v>-4.2460055351257324</v>
      </c>
      <c r="D298">
        <v>35.510974884033203</v>
      </c>
      <c r="E298">
        <v>1612.300048828125</v>
      </c>
      <c r="F298">
        <v>2016</v>
      </c>
      <c r="G298" t="s">
        <v>2171</v>
      </c>
      <c r="H298">
        <v>4.7064456939700001</v>
      </c>
      <c r="I298" t="str">
        <f t="shared" si="4"/>
        <v>Gentle</v>
      </c>
      <c r="J298" t="s">
        <v>2173</v>
      </c>
      <c r="K298">
        <v>9.0650379657699995E-2</v>
      </c>
      <c r="L298">
        <v>9.5125341415399998</v>
      </c>
    </row>
    <row r="299" spans="1:12" x14ac:dyDescent="0.2">
      <c r="A299">
        <v>348</v>
      </c>
      <c r="B299" t="s">
        <v>1602</v>
      </c>
      <c r="C299">
        <v>-4.2417697906494141</v>
      </c>
      <c r="D299">
        <v>35.90484619140625</v>
      </c>
      <c r="E299">
        <v>1224.9000244140625</v>
      </c>
      <c r="F299">
        <v>2016</v>
      </c>
      <c r="G299" t="s">
        <v>2171</v>
      </c>
      <c r="H299">
        <v>0.10922735929500001</v>
      </c>
      <c r="I299" t="str">
        <f t="shared" si="4"/>
        <v>Depression</v>
      </c>
      <c r="J299" t="s">
        <v>2173</v>
      </c>
      <c r="K299">
        <v>-9.0633422136300004E-2</v>
      </c>
      <c r="L299">
        <v>10.2228441238</v>
      </c>
    </row>
    <row r="300" spans="1:12" x14ac:dyDescent="0.2">
      <c r="A300">
        <v>349</v>
      </c>
      <c r="B300" t="s">
        <v>1603</v>
      </c>
      <c r="C300">
        <v>-4.3572759628295898</v>
      </c>
      <c r="D300">
        <v>35.460823059082031</v>
      </c>
      <c r="E300">
        <v>1685.9000244140625</v>
      </c>
      <c r="F300">
        <v>2016</v>
      </c>
      <c r="G300" t="s">
        <v>2171</v>
      </c>
      <c r="H300">
        <v>1.4238591194200001</v>
      </c>
      <c r="I300" t="str">
        <f t="shared" si="4"/>
        <v>very gentle</v>
      </c>
      <c r="J300" t="s">
        <v>2177</v>
      </c>
      <c r="K300">
        <v>0.63450175523800001</v>
      </c>
      <c r="L300">
        <v>8.2428121566799994</v>
      </c>
    </row>
    <row r="301" spans="1:12" x14ac:dyDescent="0.2">
      <c r="A301">
        <v>350</v>
      </c>
      <c r="B301" t="s">
        <v>1604</v>
      </c>
      <c r="C301">
        <v>-4.2965764999389648</v>
      </c>
      <c r="D301">
        <v>35.884807586669922</v>
      </c>
      <c r="E301">
        <v>432.5</v>
      </c>
      <c r="F301">
        <v>2016</v>
      </c>
      <c r="G301" t="s">
        <v>2171</v>
      </c>
      <c r="H301">
        <v>1.00692403316</v>
      </c>
      <c r="I301" t="str">
        <f t="shared" si="4"/>
        <v>very gentle</v>
      </c>
      <c r="J301" t="s">
        <v>2173</v>
      </c>
      <c r="K301">
        <v>8.4776775111099995E-6</v>
      </c>
      <c r="L301">
        <v>10.7686634064</v>
      </c>
    </row>
    <row r="302" spans="1:12" x14ac:dyDescent="0.2">
      <c r="A302">
        <v>351</v>
      </c>
      <c r="B302" t="s">
        <v>1605</v>
      </c>
      <c r="C302">
        <v>-4.3029961585998535</v>
      </c>
      <c r="D302">
        <v>35.912372589111328</v>
      </c>
      <c r="E302">
        <v>1170.4000244140625</v>
      </c>
      <c r="F302">
        <v>2016</v>
      </c>
      <c r="G302" t="s">
        <v>2171</v>
      </c>
      <c r="H302">
        <v>0.787601053715</v>
      </c>
      <c r="I302" t="str">
        <f t="shared" si="4"/>
        <v>very gentle</v>
      </c>
      <c r="J302" t="s">
        <v>2173</v>
      </c>
      <c r="K302">
        <v>9.0650379657699995E-2</v>
      </c>
      <c r="L302">
        <v>9.5621004104599994</v>
      </c>
    </row>
    <row r="303" spans="1:12" x14ac:dyDescent="0.2">
      <c r="A303">
        <v>352</v>
      </c>
      <c r="B303" t="s">
        <v>1606</v>
      </c>
      <c r="C303">
        <v>-4.2497754096984863</v>
      </c>
      <c r="D303">
        <v>35.523223876953125</v>
      </c>
      <c r="E303">
        <v>1614.5999755859375</v>
      </c>
      <c r="F303">
        <v>2016</v>
      </c>
      <c r="G303" t="s">
        <v>2171</v>
      </c>
      <c r="H303">
        <v>1.00692403316</v>
      </c>
      <c r="I303" t="str">
        <f t="shared" si="4"/>
        <v>very gentle</v>
      </c>
      <c r="J303" t="s">
        <v>2173</v>
      </c>
      <c r="K303">
        <v>0.36257606744799997</v>
      </c>
      <c r="L303">
        <v>8.7313680648799998</v>
      </c>
    </row>
    <row r="304" spans="1:12" x14ac:dyDescent="0.2">
      <c r="A304">
        <v>353</v>
      </c>
      <c r="B304" t="s">
        <v>1607</v>
      </c>
      <c r="C304">
        <v>-4.3045382499694824</v>
      </c>
      <c r="D304">
        <v>35.889080047607422</v>
      </c>
      <c r="E304">
        <v>1213.5</v>
      </c>
      <c r="F304">
        <v>2016</v>
      </c>
      <c r="G304" t="s">
        <v>2171</v>
      </c>
      <c r="H304">
        <v>0.85303092002900005</v>
      </c>
      <c r="I304" t="str">
        <f t="shared" si="4"/>
        <v>very gentle</v>
      </c>
      <c r="J304" t="s">
        <v>2173</v>
      </c>
      <c r="K304">
        <v>0.18129228055499999</v>
      </c>
      <c r="L304">
        <v>9.1510152816799994</v>
      </c>
    </row>
    <row r="305" spans="1:12" x14ac:dyDescent="0.2">
      <c r="A305">
        <v>354</v>
      </c>
      <c r="B305" t="s">
        <v>1608</v>
      </c>
      <c r="C305">
        <v>-4.2490124702453613</v>
      </c>
      <c r="D305">
        <v>35.513996124267578</v>
      </c>
      <c r="E305">
        <v>1592.800048828125</v>
      </c>
      <c r="F305">
        <v>2016</v>
      </c>
      <c r="G305" t="s">
        <v>2174</v>
      </c>
      <c r="H305">
        <v>5.0222363471999998</v>
      </c>
      <c r="I305" t="str">
        <f t="shared" si="4"/>
        <v>Moderate</v>
      </c>
      <c r="J305" t="s">
        <v>2178</v>
      </c>
      <c r="K305">
        <v>9.0650379657699995E-2</v>
      </c>
      <c r="L305">
        <v>9.1338977813700009</v>
      </c>
    </row>
    <row r="306" spans="1:12" x14ac:dyDescent="0.2">
      <c r="A306">
        <v>355</v>
      </c>
      <c r="B306" t="s">
        <v>1609</v>
      </c>
      <c r="C306">
        <v>-4.2626128196716309</v>
      </c>
      <c r="D306">
        <v>35.518863677978516</v>
      </c>
      <c r="E306">
        <v>1658.800048828125</v>
      </c>
      <c r="F306">
        <v>2016</v>
      </c>
      <c r="G306" t="s">
        <v>2171</v>
      </c>
      <c r="H306">
        <v>3.96957707405</v>
      </c>
      <c r="I306" t="str">
        <f t="shared" si="4"/>
        <v>Gentle</v>
      </c>
      <c r="J306" t="s">
        <v>2173</v>
      </c>
      <c r="K306">
        <v>0.18129228055499999</v>
      </c>
      <c r="L306">
        <v>8.6478815078700002</v>
      </c>
    </row>
    <row r="307" spans="1:12" x14ac:dyDescent="0.2">
      <c r="A307">
        <v>356</v>
      </c>
      <c r="B307" t="s">
        <v>1610</v>
      </c>
      <c r="C307">
        <v>-4.3285040855407715</v>
      </c>
      <c r="D307">
        <v>35.491764068603516</v>
      </c>
      <c r="E307">
        <v>1639.4000244140625</v>
      </c>
      <c r="F307">
        <v>2016</v>
      </c>
      <c r="G307" t="s">
        <v>2171</v>
      </c>
      <c r="H307">
        <v>1.0921425819399999</v>
      </c>
      <c r="I307" t="str">
        <f t="shared" si="4"/>
        <v>very gentle</v>
      </c>
      <c r="J307" t="s">
        <v>2173</v>
      </c>
      <c r="K307">
        <v>0.45321798324599999</v>
      </c>
      <c r="L307">
        <v>8.4147758483900006</v>
      </c>
    </row>
    <row r="308" spans="1:12" x14ac:dyDescent="0.2">
      <c r="A308">
        <v>357</v>
      </c>
      <c r="B308" t="s">
        <v>1444</v>
      </c>
      <c r="C308">
        <v>-4.260711669921875</v>
      </c>
      <c r="D308">
        <v>35.518913269042969</v>
      </c>
      <c r="E308">
        <v>1633.800048828125</v>
      </c>
      <c r="F308">
        <v>2016</v>
      </c>
      <c r="G308" t="s">
        <v>2171</v>
      </c>
      <c r="H308">
        <v>2.6196329593700001</v>
      </c>
      <c r="I308" t="str">
        <f t="shared" si="4"/>
        <v>Gentle</v>
      </c>
      <c r="J308" t="s">
        <v>2173</v>
      </c>
      <c r="K308">
        <v>0.18129228055499999</v>
      </c>
      <c r="L308">
        <v>9.7167339325000004</v>
      </c>
    </row>
    <row r="309" spans="1:12" x14ac:dyDescent="0.2">
      <c r="A309">
        <v>358</v>
      </c>
      <c r="B309" t="s">
        <v>1611</v>
      </c>
      <c r="C309">
        <v>-4.2474956512451172</v>
      </c>
      <c r="D309">
        <v>35.504825592041016</v>
      </c>
      <c r="E309">
        <v>1657.800048828125</v>
      </c>
      <c r="F309">
        <v>2016</v>
      </c>
      <c r="G309" t="s">
        <v>2171</v>
      </c>
      <c r="H309">
        <v>2.7953686714199999</v>
      </c>
      <c r="I309" t="str">
        <f t="shared" si="4"/>
        <v>Gentle</v>
      </c>
      <c r="J309" t="s">
        <v>2173</v>
      </c>
      <c r="K309">
        <v>0.36257606744799997</v>
      </c>
      <c r="L309">
        <v>9.2114715576199995</v>
      </c>
    </row>
    <row r="310" spans="1:12" x14ac:dyDescent="0.2">
      <c r="A310">
        <v>359</v>
      </c>
      <c r="B310" t="s">
        <v>1612</v>
      </c>
      <c r="C310">
        <v>-4.3514766693115234</v>
      </c>
      <c r="D310">
        <v>35.499477386474609</v>
      </c>
      <c r="E310">
        <v>1660.800048828125</v>
      </c>
      <c r="F310">
        <v>2016</v>
      </c>
      <c r="G310" t="s">
        <v>2171</v>
      </c>
      <c r="H310">
        <v>3.7149398326899998</v>
      </c>
      <c r="I310" t="str">
        <f t="shared" si="4"/>
        <v>Gentle</v>
      </c>
      <c r="J310" t="s">
        <v>2173</v>
      </c>
      <c r="K310">
        <v>0.18129228055499999</v>
      </c>
      <c r="L310">
        <v>9.2529096603400003</v>
      </c>
    </row>
    <row r="311" spans="1:12" x14ac:dyDescent="0.2">
      <c r="A311">
        <v>360</v>
      </c>
      <c r="B311" t="s">
        <v>1613</v>
      </c>
      <c r="C311">
        <v>-4.3040528297424316</v>
      </c>
      <c r="D311">
        <v>35.891185760498047</v>
      </c>
      <c r="E311">
        <v>1177.5999755859375</v>
      </c>
      <c r="F311">
        <v>2016</v>
      </c>
      <c r="G311" t="s">
        <v>2171</v>
      </c>
      <c r="H311">
        <v>1.38996624947</v>
      </c>
      <c r="I311" t="str">
        <f t="shared" si="4"/>
        <v>very gentle</v>
      </c>
      <c r="J311" t="s">
        <v>2173</v>
      </c>
      <c r="K311">
        <v>9.0650379657699995E-2</v>
      </c>
      <c r="L311">
        <v>9.1462488174400001</v>
      </c>
    </row>
    <row r="312" spans="1:12" x14ac:dyDescent="0.2">
      <c r="A312">
        <v>361</v>
      </c>
      <c r="B312" t="s">
        <v>1614</v>
      </c>
      <c r="C312">
        <v>-4.3577346801757812</v>
      </c>
      <c r="D312">
        <v>35.476352691650391</v>
      </c>
      <c r="E312">
        <v>1666.4000244140625</v>
      </c>
      <c r="F312">
        <v>2016</v>
      </c>
      <c r="G312" t="s">
        <v>2171</v>
      </c>
      <c r="H312">
        <v>3.36980676651</v>
      </c>
      <c r="I312" t="str">
        <f t="shared" si="4"/>
        <v>Gentle</v>
      </c>
      <c r="J312" t="s">
        <v>2173</v>
      </c>
      <c r="K312">
        <v>-0.45320102572400001</v>
      </c>
      <c r="L312">
        <v>10.7425298691</v>
      </c>
    </row>
    <row r="313" spans="1:12" x14ac:dyDescent="0.2">
      <c r="A313">
        <v>362</v>
      </c>
      <c r="B313" t="s">
        <v>1615</v>
      </c>
      <c r="C313">
        <v>-4.348729133605957</v>
      </c>
      <c r="D313">
        <v>35.488506317138672</v>
      </c>
      <c r="E313">
        <v>1658.300048828125</v>
      </c>
      <c r="F313">
        <v>2016</v>
      </c>
      <c r="G313" t="s">
        <v>2171</v>
      </c>
      <c r="H313">
        <v>1.6632362604099999</v>
      </c>
      <c r="I313" t="str">
        <f t="shared" si="4"/>
        <v>very gentle</v>
      </c>
      <c r="J313" t="s">
        <v>2177</v>
      </c>
      <c r="K313">
        <v>0.72514367103599997</v>
      </c>
      <c r="L313">
        <v>8.5437908172599997</v>
      </c>
    </row>
    <row r="314" spans="1:12" x14ac:dyDescent="0.2">
      <c r="A314">
        <v>363</v>
      </c>
      <c r="B314" t="s">
        <v>1616</v>
      </c>
      <c r="C314">
        <v>-4.2476592063903809</v>
      </c>
      <c r="D314">
        <v>35.508716583251953</v>
      </c>
      <c r="E314">
        <v>1651.0999755859375</v>
      </c>
      <c r="F314">
        <v>2016</v>
      </c>
      <c r="G314" t="s">
        <v>2174</v>
      </c>
      <c r="H314">
        <v>5.3631119728099996</v>
      </c>
      <c r="I314" t="str">
        <f t="shared" si="4"/>
        <v>Moderate</v>
      </c>
      <c r="J314" t="s">
        <v>2178</v>
      </c>
      <c r="K314">
        <v>-0.27191722393000001</v>
      </c>
      <c r="L314">
        <v>8.8276615142800008</v>
      </c>
    </row>
    <row r="315" spans="1:12" x14ac:dyDescent="0.2">
      <c r="A315">
        <v>364</v>
      </c>
      <c r="B315" t="s">
        <v>1617</v>
      </c>
      <c r="C315">
        <v>-4.3601951599121094</v>
      </c>
      <c r="D315">
        <v>35.470413208007812</v>
      </c>
      <c r="E315">
        <v>1652.199951171875</v>
      </c>
      <c r="F315">
        <v>2016</v>
      </c>
      <c r="G315" t="s">
        <v>2171</v>
      </c>
      <c r="H315">
        <v>0.10922735929500001</v>
      </c>
      <c r="I315" t="str">
        <f t="shared" si="4"/>
        <v>Depression</v>
      </c>
      <c r="J315" t="s">
        <v>2173</v>
      </c>
      <c r="K315">
        <v>-0.18127532303300001</v>
      </c>
      <c r="L315">
        <v>11.455457687399999</v>
      </c>
    </row>
    <row r="316" spans="1:12" x14ac:dyDescent="0.2">
      <c r="A316">
        <v>365</v>
      </c>
      <c r="B316" t="s">
        <v>1618</v>
      </c>
      <c r="C316">
        <v>-4.2344136238098145</v>
      </c>
      <c r="D316">
        <v>35.927539825439453</v>
      </c>
      <c r="E316">
        <v>1202.4000244140625</v>
      </c>
      <c r="F316">
        <v>2016</v>
      </c>
      <c r="G316" t="s">
        <v>2171</v>
      </c>
      <c r="H316">
        <v>2.6287004947699999</v>
      </c>
      <c r="I316" t="str">
        <f t="shared" si="4"/>
        <v>Gentle</v>
      </c>
      <c r="J316" t="s">
        <v>2173</v>
      </c>
      <c r="K316">
        <v>9.0650379657699995E-2</v>
      </c>
      <c r="L316">
        <v>8.0654935836800004</v>
      </c>
    </row>
    <row r="317" spans="1:12" x14ac:dyDescent="0.2">
      <c r="A317">
        <v>366</v>
      </c>
      <c r="B317" t="s">
        <v>1619</v>
      </c>
      <c r="C317">
        <v>-4.2990636825561523</v>
      </c>
      <c r="D317">
        <v>35.868850708007812</v>
      </c>
      <c r="E317">
        <v>1243.800048828125</v>
      </c>
      <c r="F317">
        <v>2016</v>
      </c>
      <c r="G317" t="s">
        <v>2171</v>
      </c>
      <c r="H317">
        <v>1.2451889514900001</v>
      </c>
      <c r="I317" t="str">
        <f t="shared" si="4"/>
        <v>very gentle</v>
      </c>
      <c r="J317" t="s">
        <v>2173</v>
      </c>
      <c r="K317">
        <v>-0.18127532303300001</v>
      </c>
      <c r="L317">
        <v>11.6044940948</v>
      </c>
    </row>
    <row r="318" spans="1:12" x14ac:dyDescent="0.2">
      <c r="A318">
        <v>367</v>
      </c>
      <c r="B318" t="s">
        <v>1620</v>
      </c>
      <c r="C318">
        <v>-4.3524937629699707</v>
      </c>
      <c r="D318">
        <v>35.454299926757812</v>
      </c>
      <c r="E318">
        <v>1713.699951171875</v>
      </c>
      <c r="F318">
        <v>2016</v>
      </c>
      <c r="G318" t="s">
        <v>2171</v>
      </c>
      <c r="H318">
        <v>1.2451889514900001</v>
      </c>
      <c r="I318" t="str">
        <f t="shared" si="4"/>
        <v>very gentle</v>
      </c>
      <c r="J318" t="s">
        <v>2173</v>
      </c>
      <c r="K318">
        <v>9.0650379657699995E-2</v>
      </c>
      <c r="L318">
        <v>8.9861001968400007</v>
      </c>
    </row>
    <row r="319" spans="1:12" x14ac:dyDescent="0.2">
      <c r="A319">
        <v>368</v>
      </c>
      <c r="B319" t="s">
        <v>1621</v>
      </c>
      <c r="C319">
        <v>-4.2571544647216797</v>
      </c>
      <c r="D319">
        <v>35.525123596191406</v>
      </c>
      <c r="E319">
        <v>1641</v>
      </c>
      <c r="F319">
        <v>2016</v>
      </c>
      <c r="G319" t="s">
        <v>2171</v>
      </c>
      <c r="H319">
        <v>1.52882194519</v>
      </c>
      <c r="I319" t="str">
        <f t="shared" si="4"/>
        <v>very gentle</v>
      </c>
      <c r="J319" t="s">
        <v>2177</v>
      </c>
      <c r="K319">
        <v>0.63450175523800001</v>
      </c>
      <c r="L319">
        <v>8.1430721283</v>
      </c>
    </row>
    <row r="320" spans="1:12" x14ac:dyDescent="0.2">
      <c r="A320">
        <v>369</v>
      </c>
      <c r="B320" t="s">
        <v>1622</v>
      </c>
      <c r="C320">
        <v>-4.3433661460876465</v>
      </c>
      <c r="D320">
        <v>35.478267669677734</v>
      </c>
      <c r="E320">
        <v>1634.300048828125</v>
      </c>
      <c r="F320">
        <v>2016</v>
      </c>
      <c r="G320" t="s">
        <v>2174</v>
      </c>
      <c r="H320">
        <v>4.8365068435699996</v>
      </c>
      <c r="I320" t="str">
        <f t="shared" si="4"/>
        <v>Gentle</v>
      </c>
      <c r="J320" t="s">
        <v>2173</v>
      </c>
      <c r="K320">
        <v>0.18129228055499999</v>
      </c>
      <c r="L320">
        <v>8.2040119171099999</v>
      </c>
    </row>
    <row r="321" spans="1:12" x14ac:dyDescent="0.2">
      <c r="A321">
        <v>370</v>
      </c>
      <c r="B321" t="s">
        <v>1623</v>
      </c>
      <c r="C321">
        <v>-4.3504128456115723</v>
      </c>
      <c r="D321">
        <v>35.482978820800781</v>
      </c>
      <c r="E321">
        <v>1662.199951171875</v>
      </c>
      <c r="F321">
        <v>2016</v>
      </c>
      <c r="G321" t="s">
        <v>2171</v>
      </c>
      <c r="H321">
        <v>3.5533039569899998</v>
      </c>
      <c r="I321" t="str">
        <f t="shared" si="4"/>
        <v>Gentle</v>
      </c>
      <c r="J321" t="s">
        <v>2173</v>
      </c>
      <c r="K321">
        <v>-9.0633422136300004E-2</v>
      </c>
      <c r="L321">
        <v>8.7059078216600003</v>
      </c>
    </row>
    <row r="322" spans="1:12" x14ac:dyDescent="0.2">
      <c r="A322">
        <v>371</v>
      </c>
      <c r="B322" t="s">
        <v>1624</v>
      </c>
      <c r="C322">
        <v>-4.3047699928283691</v>
      </c>
      <c r="D322">
        <v>35.909523010253906</v>
      </c>
      <c r="E322">
        <v>1172</v>
      </c>
      <c r="F322">
        <v>2016</v>
      </c>
      <c r="G322" t="s">
        <v>2171</v>
      </c>
      <c r="H322">
        <v>0.85303092002900005</v>
      </c>
      <c r="I322" t="str">
        <f t="shared" si="4"/>
        <v>very gentle</v>
      </c>
      <c r="J322" t="s">
        <v>2173</v>
      </c>
      <c r="K322">
        <v>9.0650379657699995E-2</v>
      </c>
      <c r="L322">
        <v>8.7994308471699991</v>
      </c>
    </row>
    <row r="323" spans="1:12" x14ac:dyDescent="0.2">
      <c r="A323">
        <v>372</v>
      </c>
      <c r="B323" t="s">
        <v>1625</v>
      </c>
      <c r="C323">
        <v>-4.3521065711975098</v>
      </c>
      <c r="D323">
        <v>35.487308502197266</v>
      </c>
      <c r="E323">
        <v>1675.699951171875</v>
      </c>
      <c r="F323">
        <v>2016</v>
      </c>
      <c r="G323" t="s">
        <v>2171</v>
      </c>
      <c r="H323">
        <v>3.7798345089000001</v>
      </c>
      <c r="I323" t="str">
        <f t="shared" ref="I323:I357" si="5">IF(H323&lt;0.5,"Depression",IF(H323&lt;2,"very gentle",IF(H323&lt;5,"Gentle",IF(H323&lt;9,"Moderate",IF(H323&lt;15,"Strong",IF(H323&lt;30,"Steep",IF(H323&lt;1,"very steep")))))))</f>
        <v>Gentle</v>
      </c>
      <c r="J323" t="s">
        <v>2173</v>
      </c>
      <c r="K323">
        <v>-9.0633422136300004E-2</v>
      </c>
      <c r="L323">
        <v>7.9694843292200002</v>
      </c>
    </row>
    <row r="324" spans="1:12" x14ac:dyDescent="0.2">
      <c r="A324">
        <v>373</v>
      </c>
      <c r="B324" t="s">
        <v>1626</v>
      </c>
      <c r="C324">
        <v>-4.3001585006713867</v>
      </c>
      <c r="D324">
        <v>35.861297607421875</v>
      </c>
      <c r="E324">
        <v>1254.699951171875</v>
      </c>
      <c r="F324">
        <v>2016</v>
      </c>
      <c r="G324" t="s">
        <v>2171</v>
      </c>
      <c r="H324">
        <v>1.5327152013800001</v>
      </c>
      <c r="I324" t="str">
        <f t="shared" si="5"/>
        <v>very gentle</v>
      </c>
      <c r="J324" t="s">
        <v>2173</v>
      </c>
      <c r="K324">
        <v>-0.27191722393000001</v>
      </c>
      <c r="L324">
        <v>9.8536863327000006</v>
      </c>
    </row>
    <row r="325" spans="1:12" x14ac:dyDescent="0.2">
      <c r="A325">
        <v>374</v>
      </c>
      <c r="B325" t="s">
        <v>236</v>
      </c>
      <c r="C325">
        <v>-4.3093271255493164</v>
      </c>
      <c r="D325">
        <v>35.873100280761719</v>
      </c>
      <c r="E325">
        <v>1229.800048828125</v>
      </c>
      <c r="F325">
        <v>2016</v>
      </c>
      <c r="G325" t="s">
        <v>2171</v>
      </c>
      <c r="H325">
        <v>1.27826285362</v>
      </c>
      <c r="I325" t="str">
        <f t="shared" si="5"/>
        <v>very gentle</v>
      </c>
      <c r="J325" t="s">
        <v>2173</v>
      </c>
      <c r="K325">
        <v>-0.18127532303300001</v>
      </c>
      <c r="L325">
        <v>10.549393653899999</v>
      </c>
    </row>
    <row r="326" spans="1:12" x14ac:dyDescent="0.2">
      <c r="A326">
        <v>375</v>
      </c>
      <c r="B326" t="s">
        <v>1627</v>
      </c>
      <c r="C326">
        <v>-4.3079228401184082</v>
      </c>
      <c r="D326">
        <v>35.909744262695312</v>
      </c>
      <c r="E326">
        <v>1170.699951171875</v>
      </c>
      <c r="F326">
        <v>2016</v>
      </c>
      <c r="G326" t="s">
        <v>2171</v>
      </c>
      <c r="H326">
        <v>0.66437512636200002</v>
      </c>
      <c r="I326" t="str">
        <f t="shared" si="5"/>
        <v>very gentle</v>
      </c>
      <c r="J326" t="s">
        <v>2177</v>
      </c>
      <c r="K326">
        <v>0.63450175523800001</v>
      </c>
      <c r="L326">
        <v>8.9477910995500007</v>
      </c>
    </row>
    <row r="327" spans="1:12" x14ac:dyDescent="0.2">
      <c r="A327">
        <v>376</v>
      </c>
      <c r="B327" t="s">
        <v>1628</v>
      </c>
      <c r="C327">
        <v>-4.3092341423034668</v>
      </c>
      <c r="D327">
        <v>35.852409362792969</v>
      </c>
      <c r="E327">
        <v>1241.800048828125</v>
      </c>
      <c r="F327">
        <v>2016</v>
      </c>
      <c r="G327" t="s">
        <v>2171</v>
      </c>
      <c r="H327">
        <v>0.988998770714</v>
      </c>
      <c r="I327" t="str">
        <f t="shared" si="5"/>
        <v>very gentle</v>
      </c>
      <c r="J327" t="s">
        <v>2173</v>
      </c>
      <c r="K327">
        <v>0.27193418145199999</v>
      </c>
      <c r="L327">
        <v>8.7208023071300005</v>
      </c>
    </row>
    <row r="328" spans="1:12" x14ac:dyDescent="0.2">
      <c r="A328">
        <v>377</v>
      </c>
      <c r="B328" t="s">
        <v>1629</v>
      </c>
      <c r="C328">
        <v>-4.2475175857543945</v>
      </c>
      <c r="D328">
        <v>35.513191223144531</v>
      </c>
      <c r="E328">
        <v>1593.699951171875</v>
      </c>
      <c r="F328">
        <v>2016</v>
      </c>
      <c r="G328" t="s">
        <v>2171</v>
      </c>
      <c r="H328">
        <v>4.8947916030899998</v>
      </c>
      <c r="I328" t="str">
        <f t="shared" si="5"/>
        <v>Gentle</v>
      </c>
      <c r="J328" t="s">
        <v>2173</v>
      </c>
      <c r="K328">
        <v>9.0650379657699995E-2</v>
      </c>
      <c r="L328">
        <v>9.3069200515699997</v>
      </c>
    </row>
    <row r="329" spans="1:12" x14ac:dyDescent="0.2">
      <c r="A329">
        <v>378</v>
      </c>
      <c r="B329" t="s">
        <v>1630</v>
      </c>
      <c r="C329">
        <v>-4.3556714057922363</v>
      </c>
      <c r="D329">
        <v>35.483055114746094</v>
      </c>
      <c r="E329">
        <v>1686.199951171875</v>
      </c>
      <c r="F329">
        <v>2016</v>
      </c>
      <c r="G329" t="s">
        <v>2174</v>
      </c>
      <c r="H329">
        <v>5.0304594039900001</v>
      </c>
      <c r="I329" t="str">
        <f t="shared" si="5"/>
        <v>Moderate</v>
      </c>
      <c r="J329" t="s">
        <v>2178</v>
      </c>
      <c r="K329">
        <v>-9.0633422136300004E-2</v>
      </c>
      <c r="L329">
        <v>8.4956922531100005</v>
      </c>
    </row>
    <row r="330" spans="1:12" x14ac:dyDescent="0.2">
      <c r="A330">
        <v>379</v>
      </c>
      <c r="B330" t="s">
        <v>1631</v>
      </c>
      <c r="C330">
        <v>-4.3016114234924316</v>
      </c>
      <c r="D330">
        <v>35.888858795166016</v>
      </c>
      <c r="E330">
        <v>1056.0999755859375</v>
      </c>
      <c r="F330">
        <v>2016</v>
      </c>
      <c r="G330" t="s">
        <v>2171</v>
      </c>
      <c r="H330">
        <v>0.39381912350699999</v>
      </c>
      <c r="I330" t="str">
        <f t="shared" si="5"/>
        <v>Depression</v>
      </c>
      <c r="J330" t="s">
        <v>2173</v>
      </c>
      <c r="K330">
        <v>-9.0633422136300004E-2</v>
      </c>
      <c r="L330">
        <v>11.0928001404</v>
      </c>
    </row>
    <row r="331" spans="1:12" x14ac:dyDescent="0.2">
      <c r="A331">
        <v>380</v>
      </c>
      <c r="B331" t="s">
        <v>1632</v>
      </c>
      <c r="C331">
        <v>-4.3651537895202637</v>
      </c>
      <c r="D331">
        <v>35.470615386962891</v>
      </c>
      <c r="E331">
        <v>1675.4000244140625</v>
      </c>
      <c r="F331">
        <v>2016</v>
      </c>
      <c r="G331" t="s">
        <v>2171</v>
      </c>
      <c r="H331">
        <v>0.15447062253999999</v>
      </c>
      <c r="I331" t="str">
        <f t="shared" si="5"/>
        <v>Depression</v>
      </c>
      <c r="J331" t="s">
        <v>2173</v>
      </c>
      <c r="K331">
        <v>-0.18127532303300001</v>
      </c>
      <c r="L331" s="14">
        <v>12.658034324600001</v>
      </c>
    </row>
    <row r="332" spans="1:12" x14ac:dyDescent="0.2">
      <c r="A332">
        <v>381</v>
      </c>
      <c r="B332" t="s">
        <v>1633</v>
      </c>
      <c r="C332">
        <v>-4.3010497093200684</v>
      </c>
      <c r="D332">
        <v>35.901809692382812</v>
      </c>
      <c r="E332">
        <v>1176.5</v>
      </c>
      <c r="F332">
        <v>2016</v>
      </c>
      <c r="G332" t="s">
        <v>2171</v>
      </c>
      <c r="H332">
        <v>0.55693554878200002</v>
      </c>
      <c r="I332" t="str">
        <f t="shared" si="5"/>
        <v>very gentle</v>
      </c>
      <c r="J332" t="s">
        <v>2173</v>
      </c>
      <c r="K332">
        <v>-0.18127532303300001</v>
      </c>
      <c r="L332">
        <v>10.4543714523</v>
      </c>
    </row>
    <row r="333" spans="1:12" x14ac:dyDescent="0.2">
      <c r="A333">
        <v>382</v>
      </c>
      <c r="B333" t="s">
        <v>1634</v>
      </c>
      <c r="C333">
        <v>-4.2328763008117676</v>
      </c>
      <c r="D333">
        <v>35.901908874511719</v>
      </c>
      <c r="E333">
        <v>1226.9000244140625</v>
      </c>
      <c r="F333">
        <v>2016</v>
      </c>
      <c r="G333" t="s">
        <v>2171</v>
      </c>
      <c r="H333">
        <v>0.88055086135899996</v>
      </c>
      <c r="I333" t="str">
        <f t="shared" si="5"/>
        <v>very gentle</v>
      </c>
      <c r="J333" t="s">
        <v>2173</v>
      </c>
      <c r="K333">
        <v>9.0650379657699995E-2</v>
      </c>
      <c r="L333">
        <v>11.0998716354</v>
      </c>
    </row>
    <row r="334" spans="1:12" x14ac:dyDescent="0.2">
      <c r="A334">
        <v>383</v>
      </c>
      <c r="B334" t="s">
        <v>1635</v>
      </c>
      <c r="C334">
        <v>-4.2436933517456055</v>
      </c>
      <c r="D334">
        <v>35.508197784423828</v>
      </c>
      <c r="E334">
        <v>1612</v>
      </c>
      <c r="F334">
        <v>2016</v>
      </c>
      <c r="G334" t="s">
        <v>2174</v>
      </c>
      <c r="H334">
        <v>5.0468635559099999</v>
      </c>
      <c r="I334" t="str">
        <f t="shared" si="5"/>
        <v>Moderate</v>
      </c>
      <c r="J334" t="s">
        <v>2178</v>
      </c>
      <c r="K334">
        <v>8.4776775111099995E-6</v>
      </c>
      <c r="L334">
        <v>8.9272241592399997</v>
      </c>
    </row>
    <row r="335" spans="1:12" x14ac:dyDescent="0.2">
      <c r="A335">
        <v>384</v>
      </c>
      <c r="B335" t="s">
        <v>1636</v>
      </c>
      <c r="C335">
        <v>-4.2940831184387207</v>
      </c>
      <c r="D335">
        <v>35.893199920654297</v>
      </c>
      <c r="E335">
        <v>1215.800048828125</v>
      </c>
      <c r="F335">
        <v>2016</v>
      </c>
      <c r="G335" t="s">
        <v>2171</v>
      </c>
      <c r="H335">
        <v>0.58818739652600005</v>
      </c>
      <c r="I335" t="str">
        <f t="shared" si="5"/>
        <v>very gentle</v>
      </c>
      <c r="J335" t="s">
        <v>2173</v>
      </c>
      <c r="K335">
        <v>0.27193418145199999</v>
      </c>
      <c r="L335">
        <v>9.8142709732100002</v>
      </c>
    </row>
    <row r="336" spans="1:12" x14ac:dyDescent="0.2">
      <c r="A336">
        <v>385</v>
      </c>
      <c r="B336" t="s">
        <v>1637</v>
      </c>
      <c r="C336">
        <v>-4.2934036254882812</v>
      </c>
      <c r="D336">
        <v>35.862258911132812</v>
      </c>
      <c r="E336">
        <v>1277.300048828125</v>
      </c>
      <c r="F336">
        <v>2016</v>
      </c>
      <c r="G336" t="s">
        <v>2171</v>
      </c>
      <c r="H336">
        <v>1.96835184097</v>
      </c>
      <c r="I336" t="str">
        <f t="shared" si="5"/>
        <v>very gentle</v>
      </c>
      <c r="J336" t="s">
        <v>2173</v>
      </c>
      <c r="K336">
        <v>-0.362559139729</v>
      </c>
      <c r="L336">
        <v>8.6962680816700004</v>
      </c>
    </row>
    <row r="337" spans="1:12" x14ac:dyDescent="0.2">
      <c r="A337">
        <v>386</v>
      </c>
      <c r="B337" t="s">
        <v>1638</v>
      </c>
      <c r="C337">
        <v>-4.244441032409668</v>
      </c>
      <c r="D337">
        <v>35.510654449462891</v>
      </c>
      <c r="E337">
        <v>1590.9000244140625</v>
      </c>
      <c r="F337">
        <v>2016</v>
      </c>
      <c r="G337" t="s">
        <v>2174</v>
      </c>
      <c r="H337">
        <v>5.7490391731299999</v>
      </c>
      <c r="I337" t="str">
        <f t="shared" si="5"/>
        <v>Moderate</v>
      </c>
      <c r="J337" t="s">
        <v>2178</v>
      </c>
      <c r="K337">
        <v>-0.362559139729</v>
      </c>
      <c r="L337">
        <v>8.79124450684</v>
      </c>
    </row>
    <row r="338" spans="1:12" x14ac:dyDescent="0.2">
      <c r="A338">
        <v>387</v>
      </c>
      <c r="B338" t="s">
        <v>1639</v>
      </c>
      <c r="C338">
        <v>-4.3433279991149902</v>
      </c>
      <c r="D338">
        <v>35.482681274414062</v>
      </c>
      <c r="E338">
        <v>1649</v>
      </c>
      <c r="F338">
        <v>2016</v>
      </c>
      <c r="G338" t="s">
        <v>2171</v>
      </c>
      <c r="H338">
        <v>3.3254601955399998</v>
      </c>
      <c r="I338" t="str">
        <f t="shared" si="5"/>
        <v>Gentle</v>
      </c>
      <c r="J338" t="s">
        <v>2173</v>
      </c>
      <c r="K338">
        <v>9.0650379657699995E-2</v>
      </c>
      <c r="L338">
        <v>9.0971612930300001</v>
      </c>
    </row>
    <row r="339" spans="1:12" x14ac:dyDescent="0.2">
      <c r="A339">
        <v>388</v>
      </c>
      <c r="B339" t="s">
        <v>228</v>
      </c>
      <c r="C339">
        <v>-4.2963123321533203</v>
      </c>
      <c r="D339">
        <v>35.850147247314453</v>
      </c>
      <c r="E339">
        <v>1272.5999755859375</v>
      </c>
      <c r="F339">
        <v>2016</v>
      </c>
      <c r="G339" t="s">
        <v>2171</v>
      </c>
      <c r="H339">
        <v>0.79513710737200005</v>
      </c>
      <c r="I339" t="str">
        <f t="shared" si="5"/>
        <v>very gentle</v>
      </c>
      <c r="J339" t="s">
        <v>2173</v>
      </c>
      <c r="K339">
        <v>0.18129228055499999</v>
      </c>
      <c r="L339">
        <v>10.3004999161</v>
      </c>
    </row>
    <row r="340" spans="1:12" x14ac:dyDescent="0.2">
      <c r="A340">
        <v>389</v>
      </c>
      <c r="B340" t="s">
        <v>1486</v>
      </c>
      <c r="C340">
        <v>-4.2672357559204102</v>
      </c>
      <c r="D340">
        <v>35.510417938232422</v>
      </c>
      <c r="E340">
        <v>1696.9000244140625</v>
      </c>
      <c r="F340">
        <v>2016</v>
      </c>
      <c r="G340" t="s">
        <v>2171</v>
      </c>
      <c r="H340">
        <v>0.93315756320999999</v>
      </c>
      <c r="I340" t="str">
        <f t="shared" si="5"/>
        <v>very gentle</v>
      </c>
      <c r="J340" t="s">
        <v>2173</v>
      </c>
      <c r="K340">
        <v>9.0650379657699995E-2</v>
      </c>
      <c r="L340">
        <v>10.7247610092</v>
      </c>
    </row>
    <row r="341" spans="1:12" x14ac:dyDescent="0.2">
      <c r="A341">
        <v>390</v>
      </c>
      <c r="B341" t="s">
        <v>1640</v>
      </c>
      <c r="C341">
        <v>-4.2852721214294434</v>
      </c>
      <c r="D341">
        <v>35.875308990478516</v>
      </c>
      <c r="E341">
        <v>1255.199951171875</v>
      </c>
      <c r="F341">
        <v>2016</v>
      </c>
      <c r="G341" t="s">
        <v>2171</v>
      </c>
      <c r="H341">
        <v>1.0975884199099999</v>
      </c>
      <c r="I341" t="str">
        <f t="shared" si="5"/>
        <v>very gentle</v>
      </c>
      <c r="J341" t="s">
        <v>2173</v>
      </c>
      <c r="K341">
        <v>-9.0633422136300004E-2</v>
      </c>
      <c r="L341">
        <v>12.361929893499999</v>
      </c>
    </row>
    <row r="342" spans="1:12" x14ac:dyDescent="0.2">
      <c r="A342">
        <v>391</v>
      </c>
      <c r="B342" t="s">
        <v>1641</v>
      </c>
      <c r="C342">
        <v>-4.3031759262084961</v>
      </c>
      <c r="D342">
        <v>35.849292755126953</v>
      </c>
      <c r="E342">
        <v>1271.0999755859375</v>
      </c>
      <c r="F342">
        <v>2016</v>
      </c>
      <c r="G342" t="s">
        <v>2171</v>
      </c>
      <c r="H342">
        <v>0.73268032074</v>
      </c>
      <c r="I342" t="str">
        <f t="shared" si="5"/>
        <v>very gentle</v>
      </c>
      <c r="J342" t="s">
        <v>2173</v>
      </c>
      <c r="K342">
        <v>-0.45320102572400001</v>
      </c>
      <c r="L342">
        <v>10.668348312399999</v>
      </c>
    </row>
    <row r="343" spans="1:12" x14ac:dyDescent="0.2">
      <c r="A343">
        <v>392</v>
      </c>
      <c r="B343" t="s">
        <v>1642</v>
      </c>
      <c r="C343">
        <v>-4.244441032409668</v>
      </c>
      <c r="D343">
        <v>35.510612487792969</v>
      </c>
      <c r="E343">
        <v>1594.300048828125</v>
      </c>
      <c r="F343">
        <v>2016</v>
      </c>
      <c r="G343" t="s">
        <v>2174</v>
      </c>
      <c r="H343">
        <v>5.7490391731299999</v>
      </c>
      <c r="I343" t="str">
        <f t="shared" si="5"/>
        <v>Moderate</v>
      </c>
      <c r="J343" t="s">
        <v>2178</v>
      </c>
      <c r="K343">
        <v>-0.362559139729</v>
      </c>
      <c r="L343">
        <v>8.79124450684</v>
      </c>
    </row>
    <row r="344" spans="1:12" x14ac:dyDescent="0.2">
      <c r="A344">
        <v>393</v>
      </c>
      <c r="B344" t="s">
        <v>72</v>
      </c>
      <c r="C344">
        <v>-4.2445087432861328</v>
      </c>
      <c r="D344">
        <v>35.89190673828125</v>
      </c>
      <c r="E344">
        <v>1216.5</v>
      </c>
      <c r="F344">
        <v>2016</v>
      </c>
      <c r="G344" t="s">
        <v>2171</v>
      </c>
      <c r="H344">
        <v>1.0756396055199999</v>
      </c>
      <c r="I344" t="str">
        <f t="shared" si="5"/>
        <v>very gentle</v>
      </c>
      <c r="J344" t="s">
        <v>2173</v>
      </c>
      <c r="K344">
        <v>-0.18127532303300001</v>
      </c>
      <c r="L344">
        <v>10.502039909400001</v>
      </c>
    </row>
    <row r="345" spans="1:12" x14ac:dyDescent="0.2">
      <c r="A345">
        <v>394</v>
      </c>
      <c r="B345" t="s">
        <v>74</v>
      </c>
      <c r="C345">
        <v>-4.2445945739746094</v>
      </c>
      <c r="D345">
        <v>35.891304016113281</v>
      </c>
      <c r="E345">
        <v>1230.300048828125</v>
      </c>
      <c r="F345">
        <v>2016</v>
      </c>
      <c r="G345" t="s">
        <v>2171</v>
      </c>
      <c r="H345">
        <v>0.93315756320999999</v>
      </c>
      <c r="I345" t="str">
        <f t="shared" si="5"/>
        <v>very gentle</v>
      </c>
      <c r="J345" t="s">
        <v>2173</v>
      </c>
      <c r="K345">
        <v>9.0650379657699995E-2</v>
      </c>
      <c r="L345">
        <v>10.5559015274</v>
      </c>
    </row>
    <row r="346" spans="1:12" x14ac:dyDescent="0.2">
      <c r="A346">
        <v>395</v>
      </c>
      <c r="B346" t="s">
        <v>1643</v>
      </c>
      <c r="C346">
        <v>-4.2357511520385742</v>
      </c>
      <c r="D346">
        <v>35.501522064208984</v>
      </c>
      <c r="E346">
        <v>1635.5999755859375</v>
      </c>
      <c r="F346">
        <v>2016</v>
      </c>
      <c r="G346" t="s">
        <v>2171</v>
      </c>
      <c r="H346">
        <v>4.1519761085500004</v>
      </c>
      <c r="I346" t="str">
        <f t="shared" si="5"/>
        <v>Gentle</v>
      </c>
      <c r="J346" t="s">
        <v>2173</v>
      </c>
      <c r="K346">
        <v>8.4776775111099995E-6</v>
      </c>
      <c r="L346">
        <v>7.9673552513099999</v>
      </c>
    </row>
    <row r="347" spans="1:12" x14ac:dyDescent="0.2">
      <c r="A347">
        <v>396</v>
      </c>
      <c r="B347" t="s">
        <v>1644</v>
      </c>
      <c r="C347">
        <v>-4.2497115135192871</v>
      </c>
      <c r="D347">
        <v>35.514411926269531</v>
      </c>
      <c r="E347">
        <v>1597.300048828125</v>
      </c>
      <c r="F347">
        <v>2016</v>
      </c>
      <c r="G347" t="s">
        <v>2171</v>
      </c>
      <c r="H347">
        <v>4.4705643653899996</v>
      </c>
      <c r="I347" t="str">
        <f t="shared" si="5"/>
        <v>Gentle</v>
      </c>
      <c r="J347" t="s">
        <v>2173</v>
      </c>
      <c r="K347">
        <v>-9.0633422136300004E-2</v>
      </c>
      <c r="L347">
        <v>9.6106100082400001</v>
      </c>
    </row>
    <row r="348" spans="1:12" x14ac:dyDescent="0.2">
      <c r="A348">
        <v>397</v>
      </c>
      <c r="B348" t="s">
        <v>1645</v>
      </c>
      <c r="C348">
        <v>-4.2983078956604004</v>
      </c>
      <c r="D348">
        <v>35.862110137939453</v>
      </c>
      <c r="E348">
        <v>1273.5999755859375</v>
      </c>
      <c r="F348">
        <v>2016</v>
      </c>
      <c r="G348" t="s">
        <v>2171</v>
      </c>
      <c r="H348">
        <v>1.4569623470299999</v>
      </c>
      <c r="I348" t="str">
        <f t="shared" si="5"/>
        <v>very gentle</v>
      </c>
      <c r="J348" t="s">
        <v>2173</v>
      </c>
      <c r="K348">
        <v>-0.27191722393000001</v>
      </c>
      <c r="L348">
        <v>10.086148262</v>
      </c>
    </row>
    <row r="349" spans="1:12" x14ac:dyDescent="0.2">
      <c r="A349">
        <v>398</v>
      </c>
      <c r="B349" t="s">
        <v>1646</v>
      </c>
      <c r="C349">
        <v>-4.2453560829162598</v>
      </c>
      <c r="D349">
        <v>35.51031494140625</v>
      </c>
      <c r="E349">
        <v>1618.5</v>
      </c>
      <c r="F349">
        <v>2016</v>
      </c>
      <c r="G349" t="s">
        <v>2174</v>
      </c>
      <c r="H349">
        <v>5.9144892692599997</v>
      </c>
      <c r="I349" t="str">
        <f t="shared" si="5"/>
        <v>Moderate</v>
      </c>
      <c r="J349" t="s">
        <v>2178</v>
      </c>
      <c r="K349">
        <v>-0.45320102572400001</v>
      </c>
      <c r="L349">
        <v>9.0885667800899999</v>
      </c>
    </row>
    <row r="350" spans="1:12" x14ac:dyDescent="0.2">
      <c r="A350">
        <v>399</v>
      </c>
      <c r="B350" t="s">
        <v>1647</v>
      </c>
      <c r="C350">
        <v>-4.2305812835693359</v>
      </c>
      <c r="D350">
        <v>35.458072662353516</v>
      </c>
      <c r="E350">
        <v>2177.300048828125</v>
      </c>
      <c r="F350">
        <v>2016</v>
      </c>
      <c r="G350" t="s">
        <v>2171</v>
      </c>
      <c r="H350">
        <v>1.2062788009600001</v>
      </c>
      <c r="I350" t="str">
        <f t="shared" si="5"/>
        <v>very gentle</v>
      </c>
      <c r="J350" t="s">
        <v>2177</v>
      </c>
      <c r="K350">
        <v>0.54385989904400001</v>
      </c>
      <c r="L350">
        <v>8.48265075684</v>
      </c>
    </row>
    <row r="351" spans="1:12" x14ac:dyDescent="0.2">
      <c r="A351">
        <v>400</v>
      </c>
      <c r="B351" t="s">
        <v>1648</v>
      </c>
      <c r="C351">
        <v>-4.2303147315979004</v>
      </c>
      <c r="D351">
        <v>35.462150573730469</v>
      </c>
      <c r="E351">
        <v>2171</v>
      </c>
      <c r="F351">
        <v>2016</v>
      </c>
      <c r="G351" t="s">
        <v>2171</v>
      </c>
      <c r="H351">
        <v>5.0468635559099999</v>
      </c>
      <c r="I351" t="str">
        <f t="shared" si="5"/>
        <v>Moderate</v>
      </c>
      <c r="J351" t="s">
        <v>2178</v>
      </c>
      <c r="K351">
        <v>-0.18127532303300001</v>
      </c>
      <c r="L351">
        <v>8.2959737777699996</v>
      </c>
    </row>
    <row r="352" spans="1:12" x14ac:dyDescent="0.2">
      <c r="A352">
        <v>401</v>
      </c>
      <c r="B352" t="s">
        <v>1649</v>
      </c>
      <c r="C352">
        <v>-4.2851095199584961</v>
      </c>
      <c r="D352">
        <v>35.879844665527344</v>
      </c>
      <c r="E352">
        <v>1243.5999755859375</v>
      </c>
      <c r="F352">
        <v>2016</v>
      </c>
      <c r="G352" t="s">
        <v>2171</v>
      </c>
      <c r="H352">
        <v>0.77230823039999996</v>
      </c>
      <c r="I352" t="str">
        <f t="shared" si="5"/>
        <v>very gentle</v>
      </c>
      <c r="J352" t="s">
        <v>2173</v>
      </c>
      <c r="K352">
        <v>0.27193418145199999</v>
      </c>
      <c r="L352">
        <v>9.2502164840700001</v>
      </c>
    </row>
    <row r="353" spans="1:12" x14ac:dyDescent="0.2">
      <c r="A353">
        <v>402</v>
      </c>
      <c r="B353" t="s">
        <v>1650</v>
      </c>
      <c r="C353">
        <v>-4.2852959632873535</v>
      </c>
      <c r="D353">
        <v>35.875473022460938</v>
      </c>
      <c r="E353">
        <v>1251.4000244140625</v>
      </c>
      <c r="F353">
        <v>2016</v>
      </c>
      <c r="G353" t="s">
        <v>2171</v>
      </c>
      <c r="H353">
        <v>1.0975884199099999</v>
      </c>
      <c r="I353" t="str">
        <f t="shared" si="5"/>
        <v>very gentle</v>
      </c>
      <c r="J353" t="s">
        <v>2173</v>
      </c>
      <c r="K353">
        <v>-9.0633422136300004E-2</v>
      </c>
      <c r="L353">
        <v>12.361929893499999</v>
      </c>
    </row>
    <row r="354" spans="1:12" x14ac:dyDescent="0.2">
      <c r="A354">
        <v>403</v>
      </c>
      <c r="B354" t="s">
        <v>1651</v>
      </c>
      <c r="C354">
        <v>-4.2305536270141602</v>
      </c>
      <c r="D354">
        <v>35.451656341552734</v>
      </c>
      <c r="E354">
        <v>2174.699951171875</v>
      </c>
      <c r="F354">
        <v>2016</v>
      </c>
      <c r="G354" t="s">
        <v>2171</v>
      </c>
      <c r="H354">
        <v>1.8594241142300001</v>
      </c>
      <c r="I354" t="str">
        <f t="shared" si="5"/>
        <v>very gentle</v>
      </c>
      <c r="J354" t="s">
        <v>2173</v>
      </c>
      <c r="K354">
        <v>0.27193418145199999</v>
      </c>
      <c r="L354">
        <v>8.0761127471900007</v>
      </c>
    </row>
    <row r="355" spans="1:12" x14ac:dyDescent="0.2">
      <c r="A355">
        <v>404</v>
      </c>
      <c r="B355" t="s">
        <v>1652</v>
      </c>
      <c r="C355">
        <v>-4.2977871894836426</v>
      </c>
      <c r="D355">
        <v>35.887058258056641</v>
      </c>
      <c r="E355">
        <v>1226.5</v>
      </c>
      <c r="F355">
        <v>2016</v>
      </c>
      <c r="G355" t="s">
        <v>2171</v>
      </c>
      <c r="H355">
        <v>1.2062788009600001</v>
      </c>
      <c r="I355" t="str">
        <f t="shared" si="5"/>
        <v>very gentle</v>
      </c>
      <c r="J355" t="s">
        <v>2173</v>
      </c>
      <c r="K355">
        <v>-0.27191722393000001</v>
      </c>
      <c r="L355">
        <v>9.2031240463300001</v>
      </c>
    </row>
    <row r="356" spans="1:12" x14ac:dyDescent="0.2">
      <c r="A356">
        <v>405</v>
      </c>
      <c r="B356" t="s">
        <v>1653</v>
      </c>
      <c r="C356">
        <v>-4.3067855834960938</v>
      </c>
      <c r="D356">
        <v>35.858661651611328</v>
      </c>
      <c r="E356">
        <v>1257.5</v>
      </c>
      <c r="F356">
        <v>2016</v>
      </c>
      <c r="G356" t="s">
        <v>2171</v>
      </c>
      <c r="H356">
        <v>0.79513710737200005</v>
      </c>
      <c r="I356" t="str">
        <f t="shared" si="5"/>
        <v>very gentle</v>
      </c>
      <c r="J356" t="s">
        <v>2173</v>
      </c>
      <c r="K356">
        <v>0.45321798324599999</v>
      </c>
      <c r="L356">
        <v>8.80544090271</v>
      </c>
    </row>
    <row r="357" spans="1:12" x14ac:dyDescent="0.2">
      <c r="A357">
        <v>406</v>
      </c>
      <c r="B357" t="s">
        <v>1654</v>
      </c>
      <c r="C357">
        <v>-4.2999897003173828</v>
      </c>
      <c r="D357">
        <v>35.888870239257812</v>
      </c>
      <c r="E357">
        <v>1221.5999755859375</v>
      </c>
      <c r="F357">
        <v>2016</v>
      </c>
      <c r="G357" t="s">
        <v>2171</v>
      </c>
      <c r="H357">
        <v>1.2451889514900001</v>
      </c>
      <c r="I357" t="str">
        <f t="shared" si="5"/>
        <v>very gentle</v>
      </c>
      <c r="J357" t="s">
        <v>2173</v>
      </c>
      <c r="K357">
        <v>-0.45320102572400001</v>
      </c>
      <c r="L357">
        <v>9.1311635971099996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X128"/>
  <sheetViews>
    <sheetView workbookViewId="0">
      <selection activeCell="B24" sqref="B24"/>
    </sheetView>
  </sheetViews>
  <sheetFormatPr baseColWidth="10" defaultColWidth="9.1640625" defaultRowHeight="15" x14ac:dyDescent="0.2"/>
  <cols>
    <col min="1" max="1" width="9.1640625" style="51"/>
    <col min="2" max="2" width="31.83203125" style="51" customWidth="1"/>
    <col min="3" max="24" width="9.1640625" style="51"/>
    <col min="25" max="25" width="17.5" style="51" bestFit="1" customWidth="1"/>
    <col min="26" max="36" width="9.1640625" style="51"/>
    <col min="37" max="37" width="9.33203125" style="51" customWidth="1"/>
    <col min="38" max="38" width="9.1640625" style="51" customWidth="1"/>
    <col min="39" max="16384" width="9.1640625" style="51"/>
  </cols>
  <sheetData>
    <row r="2" spans="2:24" x14ac:dyDescent="0.2">
      <c r="B2" s="29" t="s">
        <v>2192</v>
      </c>
    </row>
    <row r="3" spans="2:24" x14ac:dyDescent="0.2">
      <c r="C3" s="51" t="s">
        <v>2193</v>
      </c>
      <c r="D3" s="29" t="s">
        <v>2194</v>
      </c>
      <c r="E3" s="29" t="s">
        <v>2195</v>
      </c>
    </row>
    <row r="4" spans="2:24" x14ac:dyDescent="0.2">
      <c r="B4" s="29" t="s">
        <v>1553</v>
      </c>
      <c r="C4" s="29">
        <v>1.64</v>
      </c>
      <c r="D4" s="29">
        <v>1.3620000000000001</v>
      </c>
      <c r="E4" s="29">
        <v>2.0339999999999998</v>
      </c>
      <c r="F4" s="51">
        <f>C4-D4</f>
        <v>0.2779999999999998</v>
      </c>
      <c r="G4" s="51">
        <f>E4-C4</f>
        <v>0.39399999999999991</v>
      </c>
    </row>
    <row r="5" spans="2:24" x14ac:dyDescent="0.2">
      <c r="B5" s="29" t="s">
        <v>2196</v>
      </c>
      <c r="C5" s="29">
        <v>5.18</v>
      </c>
      <c r="D5" s="29">
        <v>4.7949999999999999</v>
      </c>
      <c r="E5" s="29">
        <v>5.5839999999999996</v>
      </c>
      <c r="F5" s="51">
        <f t="shared" ref="F5:F6" si="0">C5-D5</f>
        <v>0.38499999999999979</v>
      </c>
      <c r="G5" s="51">
        <f t="shared" ref="G5:G6" si="1">E5-C5</f>
        <v>0.40399999999999991</v>
      </c>
    </row>
    <row r="6" spans="2:24" x14ac:dyDescent="0.2">
      <c r="B6" s="29" t="s">
        <v>1550</v>
      </c>
      <c r="C6" s="29">
        <v>5.32</v>
      </c>
      <c r="D6" s="29">
        <v>4.8639999999999999</v>
      </c>
      <c r="E6" s="29">
        <v>5.774</v>
      </c>
      <c r="F6" s="51">
        <f t="shared" si="0"/>
        <v>0.45600000000000041</v>
      </c>
      <c r="G6" s="51">
        <f t="shared" si="1"/>
        <v>0.45399999999999974</v>
      </c>
    </row>
    <row r="9" spans="2:24" x14ac:dyDescent="0.2">
      <c r="B9" s="51" t="s">
        <v>2197</v>
      </c>
    </row>
    <row r="10" spans="2:24" x14ac:dyDescent="0.2">
      <c r="C10" s="51" t="s">
        <v>2193</v>
      </c>
      <c r="D10" s="51" t="s">
        <v>2186</v>
      </c>
      <c r="E10" s="51" t="s">
        <v>2187</v>
      </c>
    </row>
    <row r="11" spans="2:24" x14ac:dyDescent="0.2">
      <c r="B11" s="51" t="s">
        <v>2198</v>
      </c>
      <c r="C11" s="51">
        <v>3.21</v>
      </c>
      <c r="D11" s="51">
        <v>1.381</v>
      </c>
      <c r="E11" s="51">
        <v>6.38</v>
      </c>
      <c r="F11" s="51">
        <f>C11-D11</f>
        <v>1.829</v>
      </c>
      <c r="G11" s="51">
        <f>E11-C11</f>
        <v>3.17</v>
      </c>
    </row>
    <row r="12" spans="2:24" x14ac:dyDescent="0.2">
      <c r="B12" s="51" t="s">
        <v>2199</v>
      </c>
      <c r="C12" s="51">
        <v>5.8879999999999999</v>
      </c>
      <c r="D12" s="51">
        <v>5.3339999999999996</v>
      </c>
      <c r="E12" s="51">
        <v>6.2060000000000004</v>
      </c>
      <c r="F12" s="51">
        <f t="shared" ref="F12" si="2">C12-D12</f>
        <v>0.55400000000000027</v>
      </c>
      <c r="G12" s="51">
        <f t="shared" ref="G12" si="3">E12-C12</f>
        <v>0.3180000000000005</v>
      </c>
    </row>
    <row r="13" spans="2:24" x14ac:dyDescent="0.2">
      <c r="B13" s="52"/>
      <c r="D13" s="29"/>
      <c r="E13" s="29"/>
    </row>
    <row r="14" spans="2:24" x14ac:dyDescent="0.2">
      <c r="X14" s="53"/>
    </row>
    <row r="15" spans="2:24" x14ac:dyDescent="0.2">
      <c r="C15" s="51">
        <f>C12-C11</f>
        <v>2.6779999999999999</v>
      </c>
      <c r="D15" s="51">
        <f>C15/C11</f>
        <v>0.83426791277258561</v>
      </c>
    </row>
    <row r="17" spans="1:24" x14ac:dyDescent="0.2">
      <c r="D17" s="29"/>
      <c r="E17" s="29"/>
    </row>
    <row r="18" spans="1:24" x14ac:dyDescent="0.2">
      <c r="B18" s="29"/>
      <c r="C18" s="29"/>
      <c r="D18" s="29"/>
      <c r="E18" s="29"/>
      <c r="X18" s="53"/>
    </row>
    <row r="19" spans="1:24" x14ac:dyDescent="0.2">
      <c r="B19" s="29"/>
      <c r="C19" s="29"/>
      <c r="D19" s="29"/>
      <c r="E19" s="29"/>
    </row>
    <row r="20" spans="1:24" x14ac:dyDescent="0.2">
      <c r="B20" s="29"/>
      <c r="C20" s="29"/>
      <c r="D20" s="29"/>
      <c r="E20" s="29"/>
    </row>
    <row r="21" spans="1:24" x14ac:dyDescent="0.2">
      <c r="B21" s="29"/>
      <c r="C21" s="29"/>
      <c r="D21" s="29"/>
      <c r="E21" s="29"/>
    </row>
    <row r="22" spans="1:24" x14ac:dyDescent="0.2">
      <c r="B22" s="51" t="s">
        <v>2197</v>
      </c>
    </row>
    <row r="23" spans="1:24" x14ac:dyDescent="0.2">
      <c r="C23" s="51" t="s">
        <v>2193</v>
      </c>
      <c r="D23" s="51" t="s">
        <v>2186</v>
      </c>
      <c r="E23" s="51" t="s">
        <v>2187</v>
      </c>
    </row>
    <row r="24" spans="1:24" x14ac:dyDescent="0.2">
      <c r="A24" s="51">
        <v>47</v>
      </c>
      <c r="B24" s="51" t="s">
        <v>2200</v>
      </c>
      <c r="C24" s="51">
        <v>1.9875</v>
      </c>
      <c r="D24" s="51">
        <v>1.738</v>
      </c>
      <c r="E24" s="51">
        <v>2.1960000000000002</v>
      </c>
      <c r="F24" s="51">
        <f t="shared" ref="F24:F26" si="4">C24-D24</f>
        <v>0.24950000000000006</v>
      </c>
      <c r="G24" s="51">
        <f t="shared" ref="G24:G26" si="5">E24-C24</f>
        <v>0.20850000000000013</v>
      </c>
    </row>
    <row r="25" spans="1:24" x14ac:dyDescent="0.2">
      <c r="A25" s="51">
        <v>60</v>
      </c>
      <c r="B25" t="s">
        <v>2202</v>
      </c>
      <c r="C25" s="51">
        <v>2.4748800000000002</v>
      </c>
      <c r="D25" s="51">
        <v>2.0880000000000001</v>
      </c>
      <c r="E25" s="51">
        <v>2.7490000000000001</v>
      </c>
      <c r="F25" s="51">
        <f t="shared" si="4"/>
        <v>0.38688000000000011</v>
      </c>
      <c r="G25" s="51">
        <f t="shared" si="5"/>
        <v>0.27411999999999992</v>
      </c>
      <c r="H25" s="51">
        <f>(C26-C25)/C25</f>
        <v>0.98102130204292737</v>
      </c>
      <c r="I25" s="51">
        <f>C26-C25</f>
        <v>2.4279100000000002</v>
      </c>
    </row>
    <row r="26" spans="1:24" x14ac:dyDescent="0.2">
      <c r="A26" s="51">
        <v>86</v>
      </c>
      <c r="B26" t="s">
        <v>2203</v>
      </c>
      <c r="C26" s="51">
        <v>4.9027900000000004</v>
      </c>
      <c r="D26" s="29">
        <v>4.6100000000000003</v>
      </c>
      <c r="E26" s="29">
        <v>5.3019999999999996</v>
      </c>
      <c r="F26" s="51">
        <f t="shared" si="4"/>
        <v>0.29279000000000011</v>
      </c>
      <c r="G26" s="51">
        <f t="shared" si="5"/>
        <v>0.39920999999999918</v>
      </c>
    </row>
    <row r="27" spans="1:24" x14ac:dyDescent="0.2">
      <c r="B27" t="s">
        <v>2201</v>
      </c>
      <c r="C27">
        <v>3.59</v>
      </c>
      <c r="D27">
        <v>3.4350000000000001</v>
      </c>
      <c r="E27">
        <v>3.8570000000000002</v>
      </c>
      <c r="F27" s="51">
        <f>C27-D27</f>
        <v>0.1549999999999998</v>
      </c>
      <c r="G27" s="51">
        <f>E27-C27</f>
        <v>0.26700000000000035</v>
      </c>
      <c r="H27" s="51">
        <f>(C28-C27)/C27</f>
        <v>0.23955431754874662</v>
      </c>
      <c r="I27" s="51">
        <f>C28-C27</f>
        <v>0.86000000000000032</v>
      </c>
    </row>
    <row r="28" spans="1:24" x14ac:dyDescent="0.2">
      <c r="B28" t="s">
        <v>2185</v>
      </c>
      <c r="C28">
        <v>4.45</v>
      </c>
      <c r="D28">
        <v>4.28</v>
      </c>
      <c r="E28">
        <v>4.7699999999999996</v>
      </c>
      <c r="F28" s="51">
        <f>C28-D28</f>
        <v>0.16999999999999993</v>
      </c>
      <c r="G28" s="51">
        <f>E28-C28</f>
        <v>0.3199999999999994</v>
      </c>
    </row>
    <row r="29" spans="1:24" x14ac:dyDescent="0.2">
      <c r="B29" t="s">
        <v>2188</v>
      </c>
      <c r="C29">
        <v>2.29</v>
      </c>
      <c r="D29">
        <v>2.1360000000000001</v>
      </c>
      <c r="E29">
        <v>2.4809999999999999</v>
      </c>
      <c r="F29" s="51">
        <f>C29-D29</f>
        <v>0.15399999999999991</v>
      </c>
      <c r="G29" s="51">
        <f>E29-C29</f>
        <v>0.19099999999999984</v>
      </c>
    </row>
    <row r="40" spans="5:7" x14ac:dyDescent="0.2">
      <c r="E40" s="54"/>
      <c r="F40" s="54"/>
      <c r="G40" s="54"/>
    </row>
    <row r="41" spans="5:7" x14ac:dyDescent="0.2">
      <c r="E41" s="55"/>
      <c r="F41" s="55"/>
      <c r="G41" s="55"/>
    </row>
    <row r="42" spans="5:7" x14ac:dyDescent="0.2">
      <c r="E42" s="55"/>
      <c r="F42" s="55"/>
      <c r="G42" s="55"/>
    </row>
    <row r="43" spans="5:7" x14ac:dyDescent="0.2">
      <c r="E43" s="55"/>
      <c r="F43" s="55"/>
      <c r="G43" s="55"/>
    </row>
    <row r="44" spans="5:7" x14ac:dyDescent="0.2">
      <c r="E44" s="55"/>
      <c r="F44" s="55"/>
      <c r="G44" s="55"/>
    </row>
    <row r="45" spans="5:7" x14ac:dyDescent="0.2">
      <c r="E45" s="55"/>
      <c r="F45" s="55"/>
      <c r="G45" s="55"/>
    </row>
    <row r="46" spans="5:7" x14ac:dyDescent="0.2">
      <c r="E46" s="55"/>
      <c r="F46" s="55"/>
      <c r="G46" s="55"/>
    </row>
    <row r="47" spans="5:7" x14ac:dyDescent="0.2">
      <c r="E47" s="55"/>
      <c r="F47" s="55"/>
      <c r="G47" s="55"/>
    </row>
    <row r="48" spans="5:7" x14ac:dyDescent="0.2">
      <c r="E48" s="55"/>
      <c r="F48" s="55"/>
      <c r="G48" s="55"/>
    </row>
    <row r="49" spans="5:23" x14ac:dyDescent="0.2">
      <c r="E49" s="55"/>
      <c r="F49" s="55"/>
      <c r="G49" s="55"/>
    </row>
    <row r="50" spans="5:23" x14ac:dyDescent="0.2">
      <c r="E50" s="55"/>
      <c r="F50" s="55"/>
      <c r="G50" s="55"/>
    </row>
    <row r="51" spans="5:23" x14ac:dyDescent="0.2">
      <c r="E51" s="55"/>
      <c r="F51" s="55"/>
      <c r="G51" s="55"/>
    </row>
    <row r="52" spans="5:23" x14ac:dyDescent="0.2">
      <c r="E52" s="55"/>
      <c r="F52" s="55"/>
      <c r="G52" s="55"/>
    </row>
    <row r="53" spans="5:23" x14ac:dyDescent="0.2">
      <c r="E53" s="55"/>
      <c r="F53" s="55"/>
      <c r="G53" s="55"/>
    </row>
    <row r="54" spans="5:23" x14ac:dyDescent="0.2">
      <c r="E54" s="55"/>
      <c r="F54" s="55"/>
      <c r="G54" s="55"/>
    </row>
    <row r="55" spans="5:23" x14ac:dyDescent="0.2">
      <c r="E55" s="55"/>
      <c r="F55" s="55"/>
      <c r="G55" s="55"/>
    </row>
    <row r="56" spans="5:23" x14ac:dyDescent="0.2">
      <c r="E56" s="55"/>
      <c r="F56" s="55"/>
      <c r="G56" s="55"/>
    </row>
    <row r="57" spans="5:23" x14ac:dyDescent="0.2">
      <c r="E57" s="55"/>
      <c r="F57" s="55"/>
      <c r="G57" s="55"/>
    </row>
    <row r="58" spans="5:23" x14ac:dyDescent="0.2">
      <c r="E58" s="55"/>
      <c r="F58" s="55"/>
      <c r="G58" s="55"/>
    </row>
    <row r="59" spans="5:23" x14ac:dyDescent="0.2">
      <c r="E59" s="55"/>
      <c r="F59" s="55"/>
      <c r="G59" s="55"/>
    </row>
    <row r="60" spans="5:23" x14ac:dyDescent="0.2">
      <c r="E60" s="55"/>
      <c r="F60" s="55"/>
      <c r="G60" s="55"/>
    </row>
    <row r="61" spans="5:23" x14ac:dyDescent="0.2">
      <c r="E61" s="55"/>
      <c r="F61" s="55"/>
      <c r="G61" s="55"/>
    </row>
    <row r="62" spans="5:23" x14ac:dyDescent="0.2">
      <c r="E62" s="55"/>
      <c r="F62" s="55"/>
      <c r="G62" s="55"/>
      <c r="W62" s="53"/>
    </row>
    <row r="63" spans="5:23" x14ac:dyDescent="0.2">
      <c r="E63" s="55"/>
      <c r="F63" s="55"/>
      <c r="G63" s="55"/>
    </row>
    <row r="64" spans="5:23" x14ac:dyDescent="0.2">
      <c r="E64" s="55"/>
      <c r="F64" s="55"/>
      <c r="G64" s="55"/>
    </row>
    <row r="65" spans="5:23" x14ac:dyDescent="0.2">
      <c r="E65" s="55"/>
      <c r="F65" s="55"/>
      <c r="G65" s="55"/>
    </row>
    <row r="66" spans="5:23" x14ac:dyDescent="0.2">
      <c r="E66" s="55"/>
      <c r="F66" s="55"/>
      <c r="G66" s="55"/>
    </row>
    <row r="67" spans="5:23" x14ac:dyDescent="0.2">
      <c r="E67" s="55"/>
      <c r="F67" s="55"/>
      <c r="G67" s="55"/>
    </row>
    <row r="68" spans="5:23" x14ac:dyDescent="0.2">
      <c r="E68" s="55"/>
      <c r="F68" s="55"/>
      <c r="G68" s="55"/>
    </row>
    <row r="69" spans="5:23" x14ac:dyDescent="0.2">
      <c r="E69" s="55"/>
      <c r="F69" s="55"/>
      <c r="G69" s="55"/>
    </row>
    <row r="70" spans="5:23" x14ac:dyDescent="0.2">
      <c r="E70" s="55"/>
      <c r="F70" s="55"/>
      <c r="G70" s="55"/>
    </row>
    <row r="71" spans="5:23" x14ac:dyDescent="0.2">
      <c r="E71" s="55"/>
      <c r="F71" s="55"/>
      <c r="G71" s="55"/>
    </row>
    <row r="72" spans="5:23" x14ac:dyDescent="0.2">
      <c r="E72" s="55"/>
      <c r="F72" s="55"/>
      <c r="G72" s="55"/>
    </row>
    <row r="73" spans="5:23" x14ac:dyDescent="0.2">
      <c r="E73" s="55"/>
      <c r="F73" s="55"/>
      <c r="G73" s="55"/>
      <c r="W73" s="53"/>
    </row>
    <row r="74" spans="5:23" x14ac:dyDescent="0.2">
      <c r="E74" s="55"/>
      <c r="F74" s="55"/>
      <c r="G74" s="55"/>
    </row>
    <row r="75" spans="5:23" x14ac:dyDescent="0.2">
      <c r="E75" s="55"/>
      <c r="F75" s="55"/>
      <c r="G75" s="55"/>
    </row>
    <row r="76" spans="5:23" x14ac:dyDescent="0.2">
      <c r="E76" s="55"/>
      <c r="F76" s="55"/>
      <c r="G76" s="55"/>
    </row>
    <row r="77" spans="5:23" x14ac:dyDescent="0.2">
      <c r="E77" s="55"/>
      <c r="F77" s="55"/>
      <c r="G77" s="55"/>
    </row>
    <row r="78" spans="5:23" x14ac:dyDescent="0.2">
      <c r="E78" s="55"/>
      <c r="F78" s="55"/>
      <c r="G78" s="55"/>
    </row>
    <row r="79" spans="5:23" x14ac:dyDescent="0.2">
      <c r="E79" s="55"/>
      <c r="F79" s="55"/>
      <c r="G79" s="55"/>
    </row>
    <row r="80" spans="5:23" x14ac:dyDescent="0.2">
      <c r="E80" s="55"/>
      <c r="F80" s="55"/>
      <c r="G80" s="55"/>
    </row>
    <row r="81" spans="5:22" x14ac:dyDescent="0.2">
      <c r="E81" s="55"/>
      <c r="F81" s="55"/>
      <c r="G81" s="55"/>
    </row>
    <row r="82" spans="5:22" x14ac:dyDescent="0.2">
      <c r="E82" s="55"/>
      <c r="F82" s="55"/>
      <c r="G82" s="55"/>
    </row>
    <row r="83" spans="5:22" x14ac:dyDescent="0.2">
      <c r="E83" s="55"/>
      <c r="F83" s="55"/>
      <c r="G83" s="55"/>
    </row>
    <row r="84" spans="5:22" x14ac:dyDescent="0.2">
      <c r="E84" s="55"/>
      <c r="F84" s="55"/>
      <c r="G84" s="55"/>
    </row>
    <row r="85" spans="5:22" x14ac:dyDescent="0.2">
      <c r="E85" s="55"/>
      <c r="F85" s="55"/>
      <c r="G85" s="55"/>
    </row>
    <row r="86" spans="5:22" x14ac:dyDescent="0.2">
      <c r="E86" s="55"/>
      <c r="F86" s="55"/>
      <c r="G86" s="55"/>
    </row>
    <row r="87" spans="5:22" x14ac:dyDescent="0.2">
      <c r="E87" s="55"/>
      <c r="F87" s="55"/>
      <c r="G87" s="55"/>
    </row>
    <row r="88" spans="5:22" x14ac:dyDescent="0.2">
      <c r="E88" s="55"/>
      <c r="G88" s="55"/>
      <c r="I88" s="55"/>
    </row>
    <row r="89" spans="5:22" x14ac:dyDescent="0.2">
      <c r="E89" s="55"/>
      <c r="G89" s="55"/>
    </row>
    <row r="90" spans="5:22" x14ac:dyDescent="0.2">
      <c r="E90" s="55"/>
      <c r="G90" s="55"/>
    </row>
    <row r="91" spans="5:22" x14ac:dyDescent="0.2">
      <c r="E91" s="55"/>
      <c r="G91" s="55"/>
    </row>
    <row r="92" spans="5:22" x14ac:dyDescent="0.2">
      <c r="E92" s="55"/>
      <c r="G92" s="55"/>
    </row>
    <row r="93" spans="5:22" x14ac:dyDescent="0.2">
      <c r="E93" s="55"/>
      <c r="G93" s="55"/>
    </row>
    <row r="94" spans="5:22" x14ac:dyDescent="0.2">
      <c r="E94" s="55"/>
      <c r="G94" s="55"/>
      <c r="V94" s="53"/>
    </row>
    <row r="95" spans="5:22" x14ac:dyDescent="0.2">
      <c r="E95" s="55"/>
      <c r="G95" s="55"/>
    </row>
    <row r="96" spans="5:22" x14ac:dyDescent="0.2">
      <c r="E96" s="55"/>
      <c r="G96" s="55"/>
    </row>
    <row r="97" spans="5:22" x14ac:dyDescent="0.2">
      <c r="E97" s="55"/>
      <c r="G97" s="55"/>
    </row>
    <row r="98" spans="5:22" x14ac:dyDescent="0.2">
      <c r="E98" s="55"/>
      <c r="G98" s="55"/>
    </row>
    <row r="99" spans="5:22" x14ac:dyDescent="0.2">
      <c r="E99" s="55"/>
      <c r="G99" s="55"/>
    </row>
    <row r="100" spans="5:22" x14ac:dyDescent="0.2">
      <c r="E100" s="55"/>
      <c r="G100" s="55"/>
    </row>
    <row r="101" spans="5:22" x14ac:dyDescent="0.2">
      <c r="E101" s="55"/>
      <c r="G101" s="55"/>
    </row>
    <row r="102" spans="5:22" x14ac:dyDescent="0.2">
      <c r="E102" s="55"/>
      <c r="F102" s="55"/>
      <c r="G102" s="55"/>
    </row>
    <row r="103" spans="5:22" x14ac:dyDescent="0.2">
      <c r="E103" s="55"/>
      <c r="F103" s="55"/>
      <c r="G103" s="55"/>
    </row>
    <row r="104" spans="5:22" x14ac:dyDescent="0.2">
      <c r="E104" s="55"/>
      <c r="F104" s="55"/>
      <c r="G104" s="55"/>
    </row>
    <row r="105" spans="5:22" x14ac:dyDescent="0.2">
      <c r="E105" s="55"/>
      <c r="F105" s="55"/>
      <c r="G105" s="55"/>
      <c r="V105" s="53"/>
    </row>
    <row r="106" spans="5:22" x14ac:dyDescent="0.2">
      <c r="E106" s="55"/>
      <c r="F106" s="55"/>
      <c r="G106" s="55"/>
    </row>
    <row r="107" spans="5:22" x14ac:dyDescent="0.2">
      <c r="E107" s="55"/>
      <c r="F107" s="55"/>
      <c r="G107" s="55"/>
    </row>
    <row r="108" spans="5:22" x14ac:dyDescent="0.2">
      <c r="E108" s="55"/>
      <c r="F108" s="55"/>
      <c r="G108" s="55"/>
    </row>
    <row r="109" spans="5:22" x14ac:dyDescent="0.2">
      <c r="E109" s="55"/>
      <c r="F109" s="55"/>
      <c r="G109" s="55"/>
    </row>
    <row r="110" spans="5:22" x14ac:dyDescent="0.2">
      <c r="E110" s="55"/>
      <c r="F110" s="55"/>
      <c r="G110" s="55"/>
    </row>
    <row r="111" spans="5:22" x14ac:dyDescent="0.2">
      <c r="E111" s="55"/>
      <c r="F111" s="55"/>
      <c r="G111" s="55"/>
    </row>
    <row r="112" spans="5:22" x14ac:dyDescent="0.2">
      <c r="E112" s="55"/>
      <c r="F112" s="55"/>
      <c r="G112" s="55"/>
    </row>
    <row r="113" spans="5:7" x14ac:dyDescent="0.2">
      <c r="E113" s="55"/>
      <c r="F113" s="55"/>
      <c r="G113" s="55"/>
    </row>
    <row r="114" spans="5:7" x14ac:dyDescent="0.2">
      <c r="E114" s="55"/>
      <c r="F114" s="55"/>
      <c r="G114" s="55"/>
    </row>
    <row r="115" spans="5:7" x14ac:dyDescent="0.2">
      <c r="E115" s="55"/>
      <c r="F115" s="55"/>
      <c r="G115" s="55"/>
    </row>
    <row r="116" spans="5:7" x14ac:dyDescent="0.2">
      <c r="E116" s="55"/>
      <c r="F116" s="55"/>
      <c r="G116" s="55"/>
    </row>
    <row r="117" spans="5:7" x14ac:dyDescent="0.2">
      <c r="E117" s="55"/>
      <c r="F117" s="55"/>
      <c r="G117" s="55"/>
    </row>
    <row r="118" spans="5:7" x14ac:dyDescent="0.2">
      <c r="E118" s="55"/>
      <c r="F118" s="55"/>
      <c r="G118" s="55"/>
    </row>
    <row r="119" spans="5:7" x14ac:dyDescent="0.2">
      <c r="E119" s="55"/>
      <c r="F119" s="55"/>
      <c r="G119" s="55"/>
    </row>
    <row r="120" spans="5:7" x14ac:dyDescent="0.2">
      <c r="E120" s="55"/>
      <c r="F120" s="55"/>
      <c r="G120" s="55"/>
    </row>
    <row r="121" spans="5:7" x14ac:dyDescent="0.2">
      <c r="E121" s="55"/>
      <c r="F121" s="55"/>
      <c r="G121" s="55"/>
    </row>
    <row r="122" spans="5:7" x14ac:dyDescent="0.2">
      <c r="E122" s="55"/>
      <c r="F122" s="55"/>
      <c r="G122" s="55"/>
    </row>
    <row r="123" spans="5:7" x14ac:dyDescent="0.2">
      <c r="E123" s="55"/>
      <c r="F123" s="55"/>
      <c r="G123" s="55"/>
    </row>
    <row r="124" spans="5:7" x14ac:dyDescent="0.2">
      <c r="E124" s="55"/>
      <c r="F124" s="55"/>
      <c r="G124" s="55"/>
    </row>
    <row r="125" spans="5:7" x14ac:dyDescent="0.2">
      <c r="E125" s="55"/>
      <c r="F125" s="55"/>
      <c r="G125" s="55"/>
    </row>
    <row r="126" spans="5:7" x14ac:dyDescent="0.2">
      <c r="E126" s="55"/>
      <c r="F126" s="55"/>
      <c r="G126" s="55"/>
    </row>
    <row r="127" spans="5:7" x14ac:dyDescent="0.2">
      <c r="E127" s="55"/>
      <c r="F127" s="55"/>
      <c r="G127" s="55"/>
    </row>
    <row r="128" spans="5:7" x14ac:dyDescent="0.2">
      <c r="E128" s="55"/>
      <c r="F128" s="55"/>
      <c r="G128" s="55"/>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E0AB9E2D8D5894898F96C1E3D31D56C" ma:contentTypeVersion="14" ma:contentTypeDescription="Create a new document." ma:contentTypeScope="" ma:versionID="a94ccacf64abc99596b16f1bb8c7684f">
  <xsd:schema xmlns:xsd="http://www.w3.org/2001/XMLSchema" xmlns:xs="http://www.w3.org/2001/XMLSchema" xmlns:p="http://schemas.microsoft.com/office/2006/metadata/properties" xmlns:ns3="9c5b454a-81d6-46c5-be72-8d9b04583a2d" xmlns:ns4="d633d9b0-d173-42ee-9584-b0cffcfb3934" targetNamespace="http://schemas.microsoft.com/office/2006/metadata/properties" ma:root="true" ma:fieldsID="afd2c2c31a425b50c85a77a45fc6745a" ns3:_="" ns4:_="">
    <xsd:import namespace="9c5b454a-81d6-46c5-be72-8d9b04583a2d"/>
    <xsd:import namespace="d633d9b0-d173-42ee-9584-b0cffcfb3934"/>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Location" minOccurs="0"/>
                <xsd:element ref="ns4:SharedWithUsers" minOccurs="0"/>
                <xsd:element ref="ns4:SharedWithDetails" minOccurs="0"/>
                <xsd:element ref="ns4:SharingHintHash"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c5b454a-81d6-46c5-be72-8d9b04583a2d"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Location" ma:index="12" nillable="true" ma:displayName="MediaServiceLocation" ma:internalName="MediaServiceLocation" ma:readOnly="true">
      <xsd:simpleType>
        <xsd:restriction base="dms:Text"/>
      </xsd:simpleType>
    </xsd:element>
    <xsd:element name="MediaServiceOCR" ma:index="16" nillable="true" ma:displayName="MediaServiceOCR"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633d9b0-d173-42ee-9584-b0cffcfb393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SharingHintHash" ma:index="15"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364AF1B-EAE1-4D94-9986-1D0641F6896C}">
  <ds:schemaRefs>
    <ds:schemaRef ds:uri="http://www.w3.org/XML/1998/namespace"/>
    <ds:schemaRef ds:uri="9c5b454a-81d6-46c5-be72-8d9b04583a2d"/>
    <ds:schemaRef ds:uri="http://schemas.microsoft.com/office/infopath/2007/PartnerControls"/>
    <ds:schemaRef ds:uri="http://schemas.microsoft.com/office/2006/documentManagement/types"/>
    <ds:schemaRef ds:uri="http://schemas.openxmlformats.org/package/2006/metadata/core-properties"/>
    <ds:schemaRef ds:uri="http://schemas.microsoft.com/office/2006/metadata/properties"/>
    <ds:schemaRef ds:uri="http://purl.org/dc/elements/1.1/"/>
    <ds:schemaRef ds:uri="http://purl.org/dc/terms/"/>
    <ds:schemaRef ds:uri="d633d9b0-d173-42ee-9584-b0cffcfb3934"/>
    <ds:schemaRef ds:uri="http://purl.org/dc/dcmitype/"/>
  </ds:schemaRefs>
</ds:datastoreItem>
</file>

<file path=customXml/itemProps2.xml><?xml version="1.0" encoding="utf-8"?>
<ds:datastoreItem xmlns:ds="http://schemas.openxmlformats.org/officeDocument/2006/customXml" ds:itemID="{652C05CA-A8D2-4CAE-B847-68DC03144658}">
  <ds:schemaRefs>
    <ds:schemaRef ds:uri="http://schemas.microsoft.com/sharepoint/v3/contenttype/forms"/>
  </ds:schemaRefs>
</ds:datastoreItem>
</file>

<file path=customXml/itemProps3.xml><?xml version="1.0" encoding="utf-8"?>
<ds:datastoreItem xmlns:ds="http://schemas.openxmlformats.org/officeDocument/2006/customXml" ds:itemID="{C89F78F4-3B39-49CA-8BCF-11596FD4232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c5b454a-81d6-46c5-be72-8d9b04583a2d"/>
    <ds:schemaRef ds:uri="d633d9b0-d173-42ee-9584-b0cffcfb393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Charts</vt:lpstr>
      </vt:variant>
      <vt:variant>
        <vt:i4>1</vt:i4>
      </vt:variant>
    </vt:vector>
  </HeadingPairs>
  <TitlesOfParts>
    <vt:vector size="10" baseType="lpstr">
      <vt:lpstr>Sheet2</vt:lpstr>
      <vt:lpstr>Harvest_2017_Formulae</vt:lpstr>
      <vt:lpstr>OtherFigs</vt:lpstr>
      <vt:lpstr>Harvest_2017</vt:lpstr>
      <vt:lpstr>Sheet1</vt:lpstr>
      <vt:lpstr>Survey_2017</vt:lpstr>
      <vt:lpstr>Survey_2017_sila</vt:lpstr>
      <vt:lpstr>All_Coords</vt:lpstr>
      <vt:lpstr>Figs1</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Songoyani, Inot</dc:creator>
  <cp:lastModifiedBy>Microsoft Office User</cp:lastModifiedBy>
  <dcterms:created xsi:type="dcterms:W3CDTF">2017-07-25T12:53:55Z</dcterms:created>
  <dcterms:modified xsi:type="dcterms:W3CDTF">2023-02-21T07:20:34Z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0x0101008E0AB9E2D8D5894898F96C1E3D31D56C</vt:lpwstr>
  </property>
</Properties>
</file>