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stuff\important\"/>
    </mc:Choice>
  </mc:AlternateContent>
  <xr:revisionPtr revIDLastSave="0" documentId="13_ncr:1_{B2A7CA8F-AF28-4434-B7DF-AA85284B889B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Kerbodynamics" sheetId="1" r:id="rId1"/>
    <sheet name="Orbital" sheetId="2" r:id="rId2"/>
    <sheet name=" Sa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C19" i="3"/>
  <c r="F19" i="3" s="1"/>
  <c r="I19" i="3" s="1"/>
  <c r="H18" i="3"/>
  <c r="J18" i="3" s="1"/>
  <c r="C18" i="3"/>
  <c r="F18" i="3" s="1"/>
  <c r="I18" i="3" s="1"/>
  <c r="H17" i="3"/>
  <c r="F17" i="3"/>
  <c r="G17" i="3" s="1"/>
  <c r="C17" i="3"/>
  <c r="E17" i="3" s="1"/>
  <c r="H16" i="3"/>
  <c r="C16" i="3"/>
  <c r="H15" i="3"/>
  <c r="C15" i="3"/>
  <c r="F15" i="3" s="1"/>
  <c r="I15" i="3" s="1"/>
  <c r="H14" i="3"/>
  <c r="C14" i="3"/>
  <c r="F14" i="3" s="1"/>
  <c r="I14" i="3" s="1"/>
  <c r="H13" i="3"/>
  <c r="C13" i="3"/>
  <c r="F13" i="3" s="1"/>
  <c r="I13" i="3" s="1"/>
  <c r="H12" i="3"/>
  <c r="C12" i="3"/>
  <c r="H11" i="3"/>
  <c r="C11" i="3"/>
  <c r="H10" i="3"/>
  <c r="E10" i="3"/>
  <c r="C10" i="3"/>
  <c r="F10" i="3" s="1"/>
  <c r="H9" i="3"/>
  <c r="C9" i="3"/>
  <c r="F9" i="3" s="1"/>
  <c r="I9" i="3" s="1"/>
  <c r="H8" i="3"/>
  <c r="F8" i="3"/>
  <c r="I8" i="3" s="1"/>
  <c r="E8" i="3"/>
  <c r="C8" i="3"/>
  <c r="H7" i="3"/>
  <c r="C7" i="3"/>
  <c r="F7" i="3" s="1"/>
  <c r="I7" i="3" s="1"/>
  <c r="J7" i="3" s="1"/>
  <c r="H6" i="3"/>
  <c r="C6" i="3"/>
  <c r="H5" i="3"/>
  <c r="C5" i="3"/>
  <c r="E5" i="3" s="1"/>
  <c r="H4" i="3"/>
  <c r="J4" i="3" s="1"/>
  <c r="C4" i="3"/>
  <c r="F4" i="3" s="1"/>
  <c r="I4" i="3" s="1"/>
  <c r="B19" i="2"/>
  <c r="H19" i="2" s="1"/>
  <c r="B18" i="2"/>
  <c r="H18" i="2" s="1"/>
  <c r="B17" i="2"/>
  <c r="B16" i="2"/>
  <c r="H16" i="2" s="1"/>
  <c r="B15" i="2"/>
  <c r="H15" i="2" s="1"/>
  <c r="B14" i="2"/>
  <c r="G14" i="2" s="1"/>
  <c r="B13" i="2"/>
  <c r="G13" i="2" s="1"/>
  <c r="B12" i="2"/>
  <c r="H12" i="2" s="1"/>
  <c r="B11" i="2"/>
  <c r="G11" i="2" s="1"/>
  <c r="B10" i="2"/>
  <c r="H10" i="2" s="1"/>
  <c r="F9" i="2"/>
  <c r="B9" i="2"/>
  <c r="H9" i="2" s="1"/>
  <c r="B8" i="2"/>
  <c r="H8" i="2" s="1"/>
  <c r="B7" i="2"/>
  <c r="H7" i="2" s="1"/>
  <c r="B6" i="2"/>
  <c r="H6" i="2" s="1"/>
  <c r="B5" i="2"/>
  <c r="H5" i="2" s="1"/>
  <c r="B4" i="2"/>
  <c r="H4" i="2" s="1"/>
  <c r="O1" i="1"/>
  <c r="M5" i="1"/>
  <c r="L5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L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J9" i="1"/>
  <c r="J4" i="1"/>
  <c r="J13" i="3" l="1"/>
  <c r="J14" i="3"/>
  <c r="J15" i="3"/>
  <c r="J8" i="3"/>
  <c r="G16" i="3"/>
  <c r="J16" i="3"/>
  <c r="J9" i="3"/>
  <c r="I10" i="3"/>
  <c r="J10" i="3" s="1"/>
  <c r="G10" i="3"/>
  <c r="G11" i="3"/>
  <c r="J11" i="3"/>
  <c r="G5" i="3"/>
  <c r="G19" i="3"/>
  <c r="D9" i="2"/>
  <c r="I9" i="2" s="1"/>
  <c r="E16" i="3"/>
  <c r="E7" i="3"/>
  <c r="F16" i="3"/>
  <c r="I16" i="3" s="1"/>
  <c r="E14" i="3"/>
  <c r="F5" i="3"/>
  <c r="I5" i="3" s="1"/>
  <c r="J5" i="3" s="1"/>
  <c r="E12" i="3"/>
  <c r="G14" i="3"/>
  <c r="E15" i="3"/>
  <c r="G8" i="3"/>
  <c r="F6" i="3"/>
  <c r="I6" i="3" s="1"/>
  <c r="J6" i="3" s="1"/>
  <c r="E13" i="3"/>
  <c r="G15" i="3"/>
  <c r="I17" i="3"/>
  <c r="J17" i="3" s="1"/>
  <c r="G4" i="3"/>
  <c r="F11" i="3"/>
  <c r="I11" i="3" s="1"/>
  <c r="E18" i="3"/>
  <c r="G18" i="3"/>
  <c r="G7" i="3"/>
  <c r="F12" i="3"/>
  <c r="I12" i="3" s="1"/>
  <c r="J12" i="3" s="1"/>
  <c r="E19" i="3"/>
  <c r="G7" i="2"/>
  <c r="E11" i="3"/>
  <c r="G13" i="3"/>
  <c r="G9" i="3"/>
  <c r="E6" i="3"/>
  <c r="J19" i="3"/>
  <c r="E4" i="3"/>
  <c r="E9" i="3"/>
  <c r="H13" i="2"/>
  <c r="D16" i="2"/>
  <c r="I16" i="2" s="1"/>
  <c r="D11" i="2"/>
  <c r="I11" i="2" s="1"/>
  <c r="D6" i="2"/>
  <c r="I6" i="2" s="1"/>
  <c r="G6" i="2"/>
  <c r="C9" i="2"/>
  <c r="H11" i="2"/>
  <c r="D14" i="2"/>
  <c r="I14" i="2" s="1"/>
  <c r="G9" i="2"/>
  <c r="C12" i="2"/>
  <c r="G17" i="2"/>
  <c r="H17" i="2"/>
  <c r="H14" i="2"/>
  <c r="D17" i="2"/>
  <c r="I17" i="2" s="1"/>
  <c r="D4" i="2"/>
  <c r="I4" i="2" s="1"/>
  <c r="G4" i="2"/>
  <c r="D12" i="2"/>
  <c r="I12" i="2" s="1"/>
  <c r="D7" i="2"/>
  <c r="I7" i="2" s="1"/>
  <c r="G12" i="2"/>
  <c r="G15" i="2"/>
  <c r="D15" i="2"/>
  <c r="I15" i="2" s="1"/>
  <c r="D10" i="2"/>
  <c r="I10" i="2" s="1"/>
  <c r="D18" i="2"/>
  <c r="I18" i="2" s="1"/>
  <c r="G10" i="2"/>
  <c r="G18" i="2"/>
  <c r="D5" i="2"/>
  <c r="I5" i="2" s="1"/>
  <c r="G5" i="2"/>
  <c r="D13" i="2"/>
  <c r="I13" i="2" s="1"/>
  <c r="D8" i="2"/>
  <c r="I8" i="2" s="1"/>
  <c r="C16" i="2"/>
  <c r="G8" i="2"/>
  <c r="C11" i="2"/>
  <c r="G16" i="2"/>
  <c r="C19" i="2"/>
  <c r="D19" i="2"/>
  <c r="I19" i="2" s="1"/>
  <c r="G19" i="2"/>
  <c r="C14" i="2" l="1"/>
  <c r="C4" i="2"/>
  <c r="G6" i="3"/>
  <c r="C5" i="2"/>
  <c r="G12" i="3"/>
  <c r="C15" i="2"/>
  <c r="C8" i="2"/>
  <c r="C7" i="2"/>
  <c r="C6" i="2"/>
  <c r="C18" i="2"/>
  <c r="C10" i="2"/>
  <c r="C13" i="2"/>
  <c r="C17" i="2"/>
</calcChain>
</file>

<file path=xl/sharedStrings.xml><?xml version="1.0" encoding="utf-8"?>
<sst xmlns="http://schemas.openxmlformats.org/spreadsheetml/2006/main" count="104" uniqueCount="45">
  <si>
    <t>Planet</t>
  </si>
  <si>
    <t>Radius, km</t>
  </si>
  <si>
    <r>
      <t>GM, km</t>
    </r>
    <r>
      <rPr>
        <b/>
        <vertAlign val="superscript"/>
        <sz val="11"/>
        <color indexed="9"/>
        <rFont val="Calibri"/>
        <family val="2"/>
        <charset val="204"/>
      </rPr>
      <t>3</t>
    </r>
    <r>
      <rPr>
        <b/>
        <sz val="11"/>
        <color indexed="9"/>
        <rFont val="Calibri"/>
        <family val="2"/>
        <charset val="204"/>
      </rPr>
      <t>/s</t>
    </r>
    <r>
      <rPr>
        <b/>
        <vertAlign val="superscript"/>
        <sz val="11"/>
        <color indexed="9"/>
        <rFont val="Calibri"/>
        <family val="2"/>
        <charset val="204"/>
      </rPr>
      <t>2</t>
    </r>
  </si>
  <si>
    <t>Rotation, s</t>
  </si>
  <si>
    <t>SOI, km</t>
  </si>
  <si>
    <t>Hgso, km</t>
  </si>
  <si>
    <r>
      <t>H</t>
    </r>
    <r>
      <rPr>
        <b/>
        <vertAlign val="subscript"/>
        <sz val="11"/>
        <color indexed="9"/>
        <rFont val="Calibri"/>
        <family val="2"/>
        <charset val="204"/>
      </rPr>
      <t>atm</t>
    </r>
    <r>
      <rPr>
        <b/>
        <sz val="11"/>
        <color indexed="9"/>
        <rFont val="Calibri"/>
        <family val="2"/>
        <charset val="204"/>
      </rPr>
      <t>, km</t>
    </r>
  </si>
  <si>
    <r>
      <t>P</t>
    </r>
    <r>
      <rPr>
        <b/>
        <vertAlign val="subscript"/>
        <sz val="11"/>
        <color indexed="9"/>
        <rFont val="Calibri"/>
        <family val="2"/>
        <charset val="204"/>
      </rPr>
      <t>atm</t>
    </r>
  </si>
  <si>
    <t>i</t>
  </si>
  <si>
    <t>e</t>
  </si>
  <si>
    <t>a</t>
  </si>
  <si>
    <t>Ap</t>
  </si>
  <si>
    <t>Pe</t>
  </si>
  <si>
    <t>Reference</t>
  </si>
  <si>
    <t>Sun</t>
  </si>
  <si>
    <t>Moho</t>
  </si>
  <si>
    <t>Eve</t>
  </si>
  <si>
    <t>Gilly</t>
  </si>
  <si>
    <t>Kerbin</t>
  </si>
  <si>
    <t>Mun</t>
  </si>
  <si>
    <t>Minmus</t>
  </si>
  <si>
    <t>Duna</t>
  </si>
  <si>
    <t>Ike</t>
  </si>
  <si>
    <t>Dres</t>
  </si>
  <si>
    <t>Jool</t>
  </si>
  <si>
    <t>Laythe</t>
  </si>
  <si>
    <t>Vall</t>
  </si>
  <si>
    <t>Tylo</t>
  </si>
  <si>
    <t>Bop</t>
  </si>
  <si>
    <t>Pol</t>
  </si>
  <si>
    <t>Eeloo</t>
  </si>
  <si>
    <t>ORBITAL PARAMETERS CALCULATION</t>
  </si>
  <si>
    <t>ORBITAL PARAMETERS CALCULATION FOR PLACEMENT OF SATELLITES ON AN EQUILATERAL POLYGON</t>
  </si>
  <si>
    <t>FIRST ORBIT</t>
  </si>
  <si>
    <t>SECOND ORBIT</t>
  </si>
  <si>
    <t>orbit for placement</t>
  </si>
  <si>
    <t>a, km</t>
  </si>
  <si>
    <t>Ap, km</t>
  </si>
  <si>
    <t>Pe, km</t>
  </si>
  <si>
    <t>Va, km/s</t>
  </si>
  <si>
    <t>Vp, km/s</t>
  </si>
  <si>
    <t>T, s</t>
  </si>
  <si>
    <t>Count of satellites/polygons</t>
  </si>
  <si>
    <t xml:space="preserve">main orbit for spining </t>
  </si>
  <si>
    <t>Planet radius,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</si>
</sst>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vertAlign val="superscript"/>
      <sz val="11"/>
      <color indexed="9"/>
      <name val="Calibri"/>
      <family val="2"/>
      <charset val="204"/>
    </font>
    <font>
      <b/>
      <vertAlign val="subscript"/>
      <sz val="11"/>
      <color indexed="9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2" xfId="0" applyBorder="1"/>
    <xf numFmtId="0" fontId="6" fillId="0" borderId="1" xfId="0" applyFon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4" fillId="2" borderId="6" xfId="0" applyFont="1" applyFill="1" applyBorder="1"/>
    <xf numFmtId="0" fontId="0" fillId="0" borderId="30" xfId="0" applyBorder="1"/>
    <xf numFmtId="0" fontId="0" fillId="0" borderId="31" xfId="0" applyBorder="1"/>
    <xf numFmtId="164" fontId="0" fillId="2" borderId="32" xfId="0" applyNumberFormat="1" applyFill="1" applyBorder="1"/>
    <xf numFmtId="164" fontId="0" fillId="2" borderId="33" xfId="0" applyNumberFormat="1" applyFill="1" applyBorder="1"/>
    <xf numFmtId="165" fontId="0" fillId="0" borderId="31" xfId="0" applyNumberFormat="1" applyBorder="1"/>
    <xf numFmtId="2" fontId="0" fillId="0" borderId="34" xfId="0" applyNumberFormat="1" applyBorder="1"/>
    <xf numFmtId="0" fontId="0" fillId="0" borderId="33" xfId="0" applyBorder="1"/>
    <xf numFmtId="0" fontId="0" fillId="0" borderId="34" xfId="0" applyBorder="1"/>
    <xf numFmtId="0" fontId="0" fillId="2" borderId="31" xfId="0" applyFill="1" applyBorder="1"/>
    <xf numFmtId="0" fontId="4" fillId="2" borderId="12" xfId="0" applyFont="1" applyFill="1" applyBorder="1"/>
    <xf numFmtId="0" fontId="0" fillId="0" borderId="35" xfId="0" applyBorder="1"/>
    <xf numFmtId="164" fontId="0" fillId="2" borderId="36" xfId="0" applyNumberFormat="1" applyFill="1" applyBorder="1"/>
    <xf numFmtId="164" fontId="0" fillId="2" borderId="37" xfId="0" applyNumberFormat="1" applyFill="1" applyBorder="1"/>
    <xf numFmtId="0" fontId="0" fillId="0" borderId="37" xfId="0" applyBorder="1"/>
    <xf numFmtId="0" fontId="0" fillId="0" borderId="38" xfId="0" applyBorder="1"/>
    <xf numFmtId="0" fontId="0" fillId="2" borderId="30" xfId="0" applyFill="1" applyBorder="1"/>
    <xf numFmtId="0" fontId="0" fillId="2" borderId="36" xfId="0" applyFill="1" applyBorder="1"/>
    <xf numFmtId="0" fontId="0" fillId="2" borderId="37" xfId="0" applyFill="1" applyBorder="1"/>
    <xf numFmtId="0" fontId="4" fillId="2" borderId="14" xfId="0" applyFont="1" applyFill="1" applyBorder="1"/>
    <xf numFmtId="0" fontId="0" fillId="0" borderId="39" xfId="0" applyBorder="1"/>
    <xf numFmtId="0" fontId="0" fillId="0" borderId="40" xfId="0" applyBorder="1"/>
    <xf numFmtId="0" fontId="0" fillId="2" borderId="41" xfId="0" applyFill="1" applyBorder="1"/>
    <xf numFmtId="0" fontId="0" fillId="2" borderId="42" xfId="0" applyFill="1" applyBorder="1"/>
    <xf numFmtId="0" fontId="0" fillId="0" borderId="42" xfId="0" applyBorder="1"/>
    <xf numFmtId="0" fontId="0" fillId="0" borderId="43" xfId="0" applyBorder="1"/>
    <xf numFmtId="0" fontId="0" fillId="2" borderId="40" xfId="0" applyFill="1" applyBorder="1"/>
    <xf numFmtId="164" fontId="0" fillId="0" borderId="0" xfId="0" applyNumberFormat="1" applyAlignment="1">
      <alignment vertical="center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164" fontId="5" fillId="3" borderId="16" xfId="0" applyNumberFormat="1" applyFont="1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 applyAlignment="1">
      <alignment horizontal="right"/>
    </xf>
    <xf numFmtId="165" fontId="0" fillId="0" borderId="44" xfId="0" applyNumberFormat="1" applyBorder="1"/>
    <xf numFmtId="2" fontId="0" fillId="0" borderId="45" xfId="0" applyNumberFormat="1" applyBorder="1"/>
    <xf numFmtId="0" fontId="0" fillId="0" borderId="45" xfId="0" applyBorder="1"/>
    <xf numFmtId="0" fontId="9" fillId="4" borderId="6" xfId="1" applyFont="1" applyBorder="1" applyAlignment="1">
      <alignment horizontal="center" vertical="center" wrapText="1"/>
    </xf>
    <xf numFmtId="0" fontId="9" fillId="4" borderId="7" xfId="1" applyFont="1" applyBorder="1" applyAlignment="1">
      <alignment horizontal="center" vertical="center" wrapText="1"/>
    </xf>
    <xf numFmtId="0" fontId="9" fillId="4" borderId="8" xfId="1" applyFont="1" applyBorder="1" applyAlignment="1">
      <alignment horizontal="center" vertical="center" wrapText="1"/>
    </xf>
    <xf numFmtId="0" fontId="9" fillId="4" borderId="9" xfId="1" applyFont="1" applyBorder="1" applyAlignment="1">
      <alignment horizontal="center" vertical="center" wrapText="1"/>
    </xf>
    <xf numFmtId="0" fontId="9" fillId="4" borderId="3" xfId="1" applyFont="1" applyBorder="1" applyAlignment="1">
      <alignment horizontal="center"/>
    </xf>
    <xf numFmtId="164" fontId="9" fillId="4" borderId="4" xfId="1" applyNumberFormat="1" applyFont="1" applyBorder="1" applyAlignment="1">
      <alignment horizontal="right" vertical="center"/>
    </xf>
    <xf numFmtId="164" fontId="9" fillId="4" borderId="5" xfId="1" applyNumberFormat="1" applyFont="1" applyBorder="1" applyAlignment="1">
      <alignment horizontal="right" vertical="center" indent="1"/>
    </xf>
    <xf numFmtId="0" fontId="9" fillId="4" borderId="12" xfId="1" applyFont="1" applyBorder="1" applyAlignment="1">
      <alignment horizontal="center" vertical="center" wrapText="1"/>
    </xf>
    <xf numFmtId="0" fontId="9" fillId="4" borderId="10" xfId="1" applyFont="1" applyBorder="1" applyAlignment="1">
      <alignment horizontal="center" vertical="center" wrapText="1"/>
    </xf>
    <xf numFmtId="0" fontId="9" fillId="4" borderId="11" xfId="1" applyFont="1" applyBorder="1" applyAlignment="1">
      <alignment horizontal="center" vertical="center" wrapText="1"/>
    </xf>
    <xf numFmtId="164" fontId="9" fillId="4" borderId="12" xfId="1" applyNumberFormat="1" applyFont="1" applyBorder="1" applyAlignment="1">
      <alignment horizontal="center" vertical="center" wrapText="1"/>
    </xf>
    <xf numFmtId="0" fontId="9" fillId="4" borderId="13" xfId="1" applyFont="1" applyBorder="1" applyAlignment="1">
      <alignment horizontal="center" vertical="center" wrapText="1"/>
    </xf>
    <xf numFmtId="0" fontId="9" fillId="4" borderId="15" xfId="1" applyFont="1" applyBorder="1" applyAlignment="1">
      <alignment horizontal="center" vertical="center"/>
    </xf>
    <xf numFmtId="0" fontId="9" fillId="4" borderId="21" xfId="1" applyFont="1" applyBorder="1" applyAlignment="1">
      <alignment horizontal="center" vertical="center"/>
    </xf>
    <xf numFmtId="0" fontId="9" fillId="4" borderId="22" xfId="1" applyFont="1" applyBorder="1" applyAlignment="1">
      <alignment horizontal="center" vertical="center"/>
    </xf>
    <xf numFmtId="0" fontId="9" fillId="4" borderId="23" xfId="1" applyFont="1" applyBorder="1" applyAlignment="1">
      <alignment horizontal="center" vertical="center"/>
    </xf>
    <xf numFmtId="0" fontId="9" fillId="4" borderId="24" xfId="1" applyFont="1" applyBorder="1" applyAlignment="1">
      <alignment horizontal="center" vertical="center"/>
    </xf>
    <xf numFmtId="0" fontId="9" fillId="4" borderId="25" xfId="1" applyFont="1" applyBorder="1" applyAlignment="1">
      <alignment horizontal="center" vertical="center"/>
    </xf>
    <xf numFmtId="0" fontId="9" fillId="4" borderId="26" xfId="1" applyFont="1" applyBorder="1" applyAlignment="1">
      <alignment horizontal="center" vertical="center" wrapText="1"/>
    </xf>
    <xf numFmtId="0" fontId="9" fillId="4" borderId="27" xfId="1" applyFont="1" applyBorder="1" applyAlignment="1">
      <alignment horizontal="center" vertical="center" wrapText="1"/>
    </xf>
    <xf numFmtId="0" fontId="9" fillId="4" borderId="28" xfId="1" applyFont="1" applyBorder="1" applyAlignment="1">
      <alignment horizontal="center" vertical="center" wrapText="1"/>
    </xf>
    <xf numFmtId="164" fontId="9" fillId="4" borderId="29" xfId="1" applyNumberFormat="1" applyFont="1" applyBorder="1" applyAlignment="1">
      <alignment horizontal="center" vertical="center"/>
    </xf>
    <xf numFmtId="164" fontId="9" fillId="4" borderId="3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0" fillId="0" borderId="0" xfId="0" applyNumberFormat="1" applyBorder="1"/>
  </cellXfs>
  <cellStyles count="2">
    <cellStyle name="60% — акцент1" xfId="1" builtinId="32"/>
    <cellStyle name="Обычный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164" formatCode="0.000"/>
      <fill>
        <patternFill patternType="solid">
          <fgColor theme="1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ets" displayName="Planets" ref="A1:N18" totalsRowShown="0" headerRowDxfId="16" dataDxfId="15" tableBorderDxfId="14">
  <autoFilter ref="A1:N18" xr:uid="{00000000-0009-0000-0100-000001000000}"/>
  <tableColumns count="14">
    <tableColumn id="1" xr3:uid="{00000000-0010-0000-0000-000001000000}" name="Planet" dataDxfId="13"/>
    <tableColumn id="2" xr3:uid="{00000000-0010-0000-0000-000002000000}" name="Radius, km" dataDxfId="12"/>
    <tableColumn id="3" xr3:uid="{00000000-0010-0000-0000-000003000000}" name="GM, km3/s2" dataDxfId="11"/>
    <tableColumn id="5" xr3:uid="{00000000-0010-0000-0000-000005000000}" name="Rotation, s" dataDxfId="10"/>
    <tableColumn id="6" xr3:uid="{00000000-0010-0000-0000-000006000000}" name="SOI, km" dataDxfId="9"/>
    <tableColumn id="17" xr3:uid="{00000000-0010-0000-0000-000011000000}" name="Hgso, km" dataDxfId="8">
      <calculatedColumnFormula>IF((($C2*((($D2)/(2*3.1415926535))^2))^(1/3))-$B2-$E2&lt;0,(($C2*((($D2)/(2*3.1415926535))^2))^(1/3))-$B2,"-")</calculatedColumnFormula>
    </tableColumn>
    <tableColumn id="7" xr3:uid="{00000000-0010-0000-0000-000007000000}" name="Hatm, km" dataDxfId="7"/>
    <tableColumn id="8" xr3:uid="{00000000-0010-0000-0000-000008000000}" name="Patm" dataDxfId="6"/>
    <tableColumn id="11" xr3:uid="{00000000-0010-0000-0000-00000B000000}" name="i" dataDxfId="5"/>
    <tableColumn id="12" xr3:uid="{00000000-0010-0000-0000-00000C000000}" name="e" dataDxfId="4"/>
    <tableColumn id="13" xr3:uid="{00000000-0010-0000-0000-00000D000000}" name="a" dataDxfId="3"/>
    <tableColumn id="14" xr3:uid="{00000000-0010-0000-0000-00000E000000}" name="Ap" dataDxfId="2"/>
    <tableColumn id="15" xr3:uid="{00000000-0010-0000-0000-00000F000000}" name="Pe" dataDxfId="1"/>
    <tableColumn id="16" xr3:uid="{00000000-0010-0000-0000-000010000000}" name="Referenc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zoomScale="130" zoomScaleNormal="130" workbookViewId="0">
      <pane ySplit="1" topLeftCell="A2" activePane="bottomLeft" state="frozen"/>
      <selection pane="bottomLeft" activeCell="A18" sqref="A18"/>
    </sheetView>
  </sheetViews>
  <sheetFormatPr defaultRowHeight="15" customHeight="1" x14ac:dyDescent="0.25"/>
  <cols>
    <col min="1" max="1" width="9.42578125" customWidth="1"/>
    <col min="2" max="2" width="13.140625" customWidth="1"/>
    <col min="3" max="3" width="14.5703125" customWidth="1"/>
    <col min="4" max="4" width="11.5703125" customWidth="1"/>
    <col min="5" max="5" width="14.42578125" customWidth="1"/>
    <col min="6" max="6" width="12" customWidth="1"/>
    <col min="7" max="7" width="11.7109375" customWidth="1"/>
    <col min="9" max="9" width="12" customWidth="1"/>
    <col min="12" max="12" width="19.28515625" customWidth="1"/>
    <col min="13" max="13" width="17.7109375" customWidth="1"/>
    <col min="14" max="14" width="12.85546875" customWidth="1"/>
    <col min="15" max="15" width="21.42578125" customWidth="1"/>
    <col min="19" max="19" width="12.140625" customWidth="1"/>
    <col min="20" max="20" width="19.7109375" customWidth="1"/>
    <col min="21" max="21" width="13.5703125" customWidth="1"/>
    <col min="22" max="255" width="9.140625" customWidth="1"/>
  </cols>
  <sheetData>
    <row r="1" spans="1:18" ht="15" customHeight="1" x14ac:dyDescent="0.35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72">
        <f>(6.67*(10^(-11)))</f>
        <v>6.67E-11</v>
      </c>
      <c r="P1" s="72"/>
      <c r="Q1" s="72"/>
      <c r="R1" s="72"/>
    </row>
    <row r="2" spans="1:18" ht="15" customHeight="1" x14ac:dyDescent="0.25">
      <c r="A2" s="41" t="s">
        <v>14</v>
      </c>
      <c r="B2" s="1">
        <v>261600</v>
      </c>
      <c r="C2" s="1">
        <v>1172332800</v>
      </c>
      <c r="D2" s="1">
        <v>432000</v>
      </c>
      <c r="E2" s="2">
        <v>9.0000000000000007E+100</v>
      </c>
      <c r="F2" s="3">
        <f t="shared" ref="F2:F18" si="0">IF((($C2*((($D2)/(2*3.1415926535))^2))^(1/3))-$B2-$E2&lt;0,(($C2*((($D2)/(2*3.1415926535))^2))^(1/3))-$B2,"-")</f>
        <v>1508045.2891249636</v>
      </c>
      <c r="G2" s="1">
        <v>600</v>
      </c>
      <c r="H2" s="1">
        <v>0.15790999999999999</v>
      </c>
      <c r="I2" s="1"/>
      <c r="J2" s="1"/>
      <c r="K2" s="1"/>
      <c r="L2" s="1"/>
      <c r="M2" s="1"/>
      <c r="N2" s="4"/>
      <c r="O2" s="72"/>
      <c r="P2" s="72"/>
      <c r="Q2" s="72"/>
      <c r="R2" s="72"/>
    </row>
    <row r="3" spans="1:18" ht="15" customHeight="1" x14ac:dyDescent="0.25">
      <c r="A3" s="41" t="s">
        <v>15</v>
      </c>
      <c r="B3" s="1">
        <v>250</v>
      </c>
      <c r="C3" s="1">
        <v>168.60937999999999</v>
      </c>
      <c r="D3" s="1">
        <v>1210000</v>
      </c>
      <c r="E3" s="1">
        <v>9647</v>
      </c>
      <c r="F3" s="3" t="str">
        <f t="shared" si="0"/>
        <v>-</v>
      </c>
      <c r="G3" s="1">
        <v>0</v>
      </c>
      <c r="H3" s="1">
        <v>0</v>
      </c>
      <c r="I3" s="1">
        <v>7</v>
      </c>
      <c r="J3" s="5">
        <v>0.2</v>
      </c>
      <c r="K3" s="6">
        <v>5263138.3039999995</v>
      </c>
      <c r="L3" s="1">
        <f>$K3*(1+$J3)</f>
        <v>6315765.9647999993</v>
      </c>
      <c r="M3" s="1">
        <f>$K3*(1-$J3)</f>
        <v>4210510.6431999998</v>
      </c>
      <c r="N3" s="7" t="s">
        <v>14</v>
      </c>
      <c r="O3" s="72"/>
      <c r="P3" s="72"/>
      <c r="Q3" s="72"/>
      <c r="R3" s="72"/>
    </row>
    <row r="4" spans="1:18" ht="15" customHeight="1" x14ac:dyDescent="0.25">
      <c r="A4" s="41" t="s">
        <v>16</v>
      </c>
      <c r="B4" s="1">
        <v>700</v>
      </c>
      <c r="C4" s="1">
        <v>8171.7302</v>
      </c>
      <c r="D4" s="1">
        <v>80500</v>
      </c>
      <c r="E4" s="1">
        <v>85109</v>
      </c>
      <c r="F4" s="3">
        <f t="shared" si="0"/>
        <v>10328.472074081559</v>
      </c>
      <c r="G4" s="1">
        <v>90</v>
      </c>
      <c r="H4" s="1">
        <v>5</v>
      </c>
      <c r="I4" s="1">
        <v>2.1</v>
      </c>
      <c r="J4" s="5">
        <f>0.01</f>
        <v>0.01</v>
      </c>
      <c r="K4" s="6">
        <v>9832684.5439999998</v>
      </c>
      <c r="L4" s="1">
        <f>$K4*(1+$J4)</f>
        <v>9931011.3894400001</v>
      </c>
      <c r="M4" s="1">
        <f t="shared" ref="M4:M18" si="1">$K4*(1-$J4)</f>
        <v>9734357.6985599995</v>
      </c>
      <c r="N4" s="7" t="s">
        <v>14</v>
      </c>
      <c r="O4" s="72"/>
      <c r="P4" s="72"/>
      <c r="Q4" s="72"/>
      <c r="R4" s="72"/>
    </row>
    <row r="5" spans="1:18" ht="15" customHeight="1" x14ac:dyDescent="0.25">
      <c r="A5" s="41" t="s">
        <v>17</v>
      </c>
      <c r="B5" s="1">
        <v>13</v>
      </c>
      <c r="C5" s="1">
        <v>8.2894497999999994E-3</v>
      </c>
      <c r="D5" s="1">
        <v>28255</v>
      </c>
      <c r="E5" s="1">
        <v>126</v>
      </c>
      <c r="F5" s="3">
        <f t="shared" si="0"/>
        <v>42.138150882111759</v>
      </c>
      <c r="G5" s="1">
        <v>0</v>
      </c>
      <c r="H5" s="1">
        <v>0</v>
      </c>
      <c r="I5" s="1">
        <v>12</v>
      </c>
      <c r="J5" s="5">
        <v>0.55000000000000004</v>
      </c>
      <c r="K5" s="1">
        <v>31500</v>
      </c>
      <c r="L5" s="1">
        <f>$K5*(1+$J5)</f>
        <v>48825</v>
      </c>
      <c r="M5" s="1">
        <f>$K5*(1-$J5)</f>
        <v>14174.999999999998</v>
      </c>
      <c r="N5" s="7" t="s">
        <v>16</v>
      </c>
      <c r="O5" s="72"/>
      <c r="P5" s="72"/>
      <c r="Q5" s="72"/>
      <c r="R5" s="72"/>
    </row>
    <row r="6" spans="1:18" ht="15" customHeight="1" x14ac:dyDescent="0.25">
      <c r="A6" s="41" t="s">
        <v>18</v>
      </c>
      <c r="B6" s="1">
        <v>600</v>
      </c>
      <c r="C6" s="1">
        <v>3531.6</v>
      </c>
      <c r="D6" s="1">
        <v>21549.424999999999</v>
      </c>
      <c r="E6" s="1">
        <v>84159</v>
      </c>
      <c r="F6" s="3">
        <f t="shared" si="0"/>
        <v>2863.3340399377998</v>
      </c>
      <c r="G6" s="1">
        <v>70</v>
      </c>
      <c r="H6" s="1">
        <v>1</v>
      </c>
      <c r="I6" s="1">
        <v>0</v>
      </c>
      <c r="J6" s="5">
        <v>0</v>
      </c>
      <c r="K6" s="1">
        <v>13599840.255999999</v>
      </c>
      <c r="L6" s="1">
        <f t="shared" ref="L6:L18" si="2">$K6*(1+$J6)</f>
        <v>13599840.255999999</v>
      </c>
      <c r="M6" s="1">
        <f t="shared" si="1"/>
        <v>13599840.255999999</v>
      </c>
      <c r="N6" s="7" t="s">
        <v>14</v>
      </c>
      <c r="O6" s="72"/>
      <c r="P6" s="72"/>
      <c r="Q6" s="72"/>
      <c r="R6" s="72"/>
    </row>
    <row r="7" spans="1:18" ht="15" customHeight="1" x14ac:dyDescent="0.25">
      <c r="A7" s="41" t="s">
        <v>19</v>
      </c>
      <c r="B7" s="1">
        <v>200</v>
      </c>
      <c r="C7" s="1">
        <v>65.138397999999995</v>
      </c>
      <c r="D7" s="1">
        <v>138984.38</v>
      </c>
      <c r="E7" s="1">
        <v>2430</v>
      </c>
      <c r="F7" s="3" t="str">
        <f t="shared" si="0"/>
        <v>-</v>
      </c>
      <c r="G7" s="1">
        <v>0</v>
      </c>
      <c r="H7" s="1">
        <v>0</v>
      </c>
      <c r="I7" s="1">
        <v>0</v>
      </c>
      <c r="J7" s="5">
        <v>0</v>
      </c>
      <c r="K7" s="1">
        <v>12000</v>
      </c>
      <c r="L7" s="1">
        <f t="shared" si="2"/>
        <v>12000</v>
      </c>
      <c r="M7" s="1">
        <f t="shared" si="1"/>
        <v>12000</v>
      </c>
      <c r="N7" s="7" t="s">
        <v>18</v>
      </c>
      <c r="O7" s="72"/>
      <c r="P7" s="72"/>
      <c r="Q7" s="72"/>
      <c r="R7" s="72"/>
    </row>
    <row r="8" spans="1:18" ht="15" customHeight="1" x14ac:dyDescent="0.25">
      <c r="A8" s="41" t="s">
        <v>20</v>
      </c>
      <c r="B8" s="1">
        <v>60</v>
      </c>
      <c r="C8" s="1">
        <v>1.7658</v>
      </c>
      <c r="D8" s="1">
        <v>40400</v>
      </c>
      <c r="E8" s="1">
        <v>2247</v>
      </c>
      <c r="F8" s="3">
        <f t="shared" si="0"/>
        <v>357.94086318163011</v>
      </c>
      <c r="G8" s="1">
        <v>0</v>
      </c>
      <c r="H8" s="1">
        <v>0</v>
      </c>
      <c r="I8" s="1">
        <v>6</v>
      </c>
      <c r="J8" s="5">
        <v>0</v>
      </c>
      <c r="K8" s="1">
        <v>47000</v>
      </c>
      <c r="L8" s="1">
        <f t="shared" si="2"/>
        <v>47000</v>
      </c>
      <c r="M8" s="1">
        <f t="shared" si="1"/>
        <v>47000</v>
      </c>
      <c r="N8" s="7" t="s">
        <v>18</v>
      </c>
      <c r="O8" s="72"/>
      <c r="P8" s="72"/>
      <c r="Q8" s="72"/>
      <c r="R8" s="72"/>
    </row>
    <row r="9" spans="1:18" ht="15" customHeight="1" x14ac:dyDescent="0.25">
      <c r="A9" s="41" t="s">
        <v>21</v>
      </c>
      <c r="B9" s="1">
        <v>320</v>
      </c>
      <c r="C9" s="1">
        <v>301.36320999999998</v>
      </c>
      <c r="D9" s="1">
        <v>65517.858999999997</v>
      </c>
      <c r="E9" s="1">
        <v>47922</v>
      </c>
      <c r="F9" s="3">
        <f t="shared" si="0"/>
        <v>2879.9998909973829</v>
      </c>
      <c r="G9" s="1">
        <v>50</v>
      </c>
      <c r="H9" s="1">
        <v>6.6669999999999993E-2</v>
      </c>
      <c r="I9" s="1">
        <v>0.06</v>
      </c>
      <c r="J9" s="5">
        <f>0.051</f>
        <v>5.0999999999999997E-2</v>
      </c>
      <c r="K9" s="6">
        <v>20726155.263999999</v>
      </c>
      <c r="L9" s="1">
        <f t="shared" si="2"/>
        <v>21783189.182463996</v>
      </c>
      <c r="M9" s="1">
        <f t="shared" si="1"/>
        <v>19669121.345535997</v>
      </c>
      <c r="N9" s="7" t="s">
        <v>14</v>
      </c>
      <c r="O9" s="72"/>
      <c r="P9" s="72"/>
      <c r="Q9" s="72"/>
      <c r="R9" s="72"/>
    </row>
    <row r="10" spans="1:18" ht="15" customHeight="1" x14ac:dyDescent="0.25">
      <c r="A10" s="41" t="s">
        <v>22</v>
      </c>
      <c r="B10" s="1">
        <v>130</v>
      </c>
      <c r="C10" s="1">
        <v>18.568369000000001</v>
      </c>
      <c r="D10" s="1">
        <v>65517.862000000001</v>
      </c>
      <c r="E10" s="1">
        <v>1050</v>
      </c>
      <c r="F10" s="3" t="str">
        <f t="shared" si="0"/>
        <v>-</v>
      </c>
      <c r="G10" s="1">
        <v>0</v>
      </c>
      <c r="H10" s="1">
        <v>0</v>
      </c>
      <c r="I10" s="1">
        <v>0.2</v>
      </c>
      <c r="J10" s="5">
        <v>0.03</v>
      </c>
      <c r="K10" s="1">
        <v>3200</v>
      </c>
      <c r="L10" s="1">
        <f t="shared" si="2"/>
        <v>3296</v>
      </c>
      <c r="M10" s="1">
        <f t="shared" si="1"/>
        <v>3104</v>
      </c>
      <c r="N10" s="7" t="s">
        <v>21</v>
      </c>
      <c r="O10" s="72"/>
      <c r="P10" s="72"/>
      <c r="Q10" s="72"/>
      <c r="R10" s="72"/>
    </row>
    <row r="11" spans="1:18" ht="15" customHeight="1" x14ac:dyDescent="0.25">
      <c r="A11" s="41" t="s">
        <v>23</v>
      </c>
      <c r="B11" s="1">
        <v>138</v>
      </c>
      <c r="C11" s="1">
        <v>21.484489</v>
      </c>
      <c r="D11" s="1">
        <v>34800</v>
      </c>
      <c r="E11" s="1">
        <v>32833</v>
      </c>
      <c r="F11" s="3">
        <f t="shared" si="0"/>
        <v>732.24444538535977</v>
      </c>
      <c r="G11" s="1">
        <v>0</v>
      </c>
      <c r="H11" s="1">
        <v>0</v>
      </c>
      <c r="I11" s="1">
        <v>5</v>
      </c>
      <c r="J11" s="5">
        <v>0.14499999999999999</v>
      </c>
      <c r="K11" s="6">
        <v>40839348.203000002</v>
      </c>
      <c r="L11" s="1">
        <f t="shared" si="2"/>
        <v>46761053.692435004</v>
      </c>
      <c r="M11" s="1">
        <f t="shared" si="1"/>
        <v>34917642.713564999</v>
      </c>
      <c r="N11" s="7" t="s">
        <v>14</v>
      </c>
      <c r="O11" s="72"/>
      <c r="P11" s="72"/>
      <c r="Q11" s="72"/>
      <c r="R11" s="72"/>
    </row>
    <row r="12" spans="1:18" ht="15" customHeight="1" x14ac:dyDescent="0.25">
      <c r="A12" s="41" t="s">
        <v>24</v>
      </c>
      <c r="B12" s="1">
        <v>6000</v>
      </c>
      <c r="C12" s="1">
        <v>282528</v>
      </c>
      <c r="D12" s="1">
        <v>36000</v>
      </c>
      <c r="E12" s="1">
        <v>2455985</v>
      </c>
      <c r="F12" s="3">
        <f t="shared" si="0"/>
        <v>15010.461246691251</v>
      </c>
      <c r="G12" s="1">
        <v>200</v>
      </c>
      <c r="H12" s="1">
        <v>15</v>
      </c>
      <c r="I12" s="1">
        <v>1.304</v>
      </c>
      <c r="J12" s="5">
        <v>0.05</v>
      </c>
      <c r="K12" s="1">
        <v>68773560.319999993</v>
      </c>
      <c r="L12" s="1">
        <f t="shared" si="2"/>
        <v>72212238.335999995</v>
      </c>
      <c r="M12" s="1">
        <f t="shared" si="1"/>
        <v>65334882.30399999</v>
      </c>
      <c r="N12" s="7" t="s">
        <v>14</v>
      </c>
      <c r="O12" s="72"/>
      <c r="P12" s="72"/>
      <c r="Q12" s="72"/>
      <c r="R12" s="72"/>
    </row>
    <row r="13" spans="1:18" ht="15" customHeight="1" x14ac:dyDescent="0.25">
      <c r="A13" s="41" t="s">
        <v>25</v>
      </c>
      <c r="B13" s="1">
        <v>500</v>
      </c>
      <c r="C13" s="1">
        <v>1962</v>
      </c>
      <c r="D13" s="1">
        <v>52980.879000000001</v>
      </c>
      <c r="E13" s="1">
        <v>3724</v>
      </c>
      <c r="F13" s="3" t="str">
        <f t="shared" si="0"/>
        <v>-</v>
      </c>
      <c r="G13" s="1">
        <v>50</v>
      </c>
      <c r="H13" s="1">
        <v>0.6</v>
      </c>
      <c r="I13" s="1">
        <v>0</v>
      </c>
      <c r="J13" s="5">
        <v>0</v>
      </c>
      <c r="K13" s="1">
        <v>27184</v>
      </c>
      <c r="L13" s="1">
        <f t="shared" si="2"/>
        <v>27184</v>
      </c>
      <c r="M13" s="1">
        <f t="shared" si="1"/>
        <v>27184</v>
      </c>
      <c r="N13" s="7" t="s">
        <v>24</v>
      </c>
      <c r="O13" s="72"/>
      <c r="P13" s="72"/>
      <c r="Q13" s="72"/>
      <c r="R13" s="72"/>
    </row>
    <row r="14" spans="1:18" ht="15" customHeight="1" x14ac:dyDescent="0.25">
      <c r="A14" s="41" t="s">
        <v>26</v>
      </c>
      <c r="B14" s="1">
        <v>300</v>
      </c>
      <c r="C14" s="1">
        <v>207.48150000000001</v>
      </c>
      <c r="D14" s="1">
        <v>105962.09</v>
      </c>
      <c r="E14" s="1">
        <v>2406</v>
      </c>
      <c r="F14" s="3" t="str">
        <f t="shared" si="0"/>
        <v>-</v>
      </c>
      <c r="G14" s="1">
        <v>0</v>
      </c>
      <c r="H14" s="1">
        <v>0</v>
      </c>
      <c r="I14" s="1">
        <v>0</v>
      </c>
      <c r="J14" s="5">
        <v>0</v>
      </c>
      <c r="K14" s="1">
        <v>43152</v>
      </c>
      <c r="L14" s="1">
        <f t="shared" si="2"/>
        <v>43152</v>
      </c>
      <c r="M14" s="1">
        <f t="shared" si="1"/>
        <v>43152</v>
      </c>
      <c r="N14" s="7" t="s">
        <v>24</v>
      </c>
      <c r="O14" s="72"/>
      <c r="P14" s="72"/>
      <c r="Q14" s="72"/>
      <c r="R14" s="72"/>
    </row>
    <row r="15" spans="1:18" ht="15" customHeight="1" x14ac:dyDescent="0.25">
      <c r="A15" s="41" t="s">
        <v>27</v>
      </c>
      <c r="B15" s="1">
        <v>600</v>
      </c>
      <c r="C15" s="1">
        <v>2825.28</v>
      </c>
      <c r="D15" s="1">
        <v>211926.36</v>
      </c>
      <c r="E15" s="1">
        <v>10867</v>
      </c>
      <c r="F15" s="3" t="str">
        <f t="shared" si="0"/>
        <v>-</v>
      </c>
      <c r="G15" s="1">
        <v>0</v>
      </c>
      <c r="H15" s="1">
        <v>0</v>
      </c>
      <c r="I15" s="1">
        <v>2.5000000000000001E-2</v>
      </c>
      <c r="J15" s="5">
        <v>0</v>
      </c>
      <c r="K15" s="1">
        <v>68500</v>
      </c>
      <c r="L15" s="1">
        <f t="shared" si="2"/>
        <v>68500</v>
      </c>
      <c r="M15" s="1">
        <f t="shared" si="1"/>
        <v>68500</v>
      </c>
      <c r="N15" s="7" t="s">
        <v>24</v>
      </c>
      <c r="O15" s="72"/>
      <c r="P15" s="72"/>
      <c r="Q15" s="72"/>
      <c r="R15" s="72"/>
    </row>
    <row r="16" spans="1:18" ht="15" customHeight="1" x14ac:dyDescent="0.25">
      <c r="A16" s="41" t="s">
        <v>28</v>
      </c>
      <c r="B16" s="1">
        <v>65</v>
      </c>
      <c r="C16" s="1">
        <v>2.4868348999999998</v>
      </c>
      <c r="D16" s="1">
        <v>544507.43000000005</v>
      </c>
      <c r="E16" s="1">
        <v>1221</v>
      </c>
      <c r="F16" s="3" t="str">
        <f t="shared" si="0"/>
        <v>-</v>
      </c>
      <c r="G16" s="1">
        <v>0</v>
      </c>
      <c r="H16" s="1">
        <v>0</v>
      </c>
      <c r="I16" s="1">
        <v>15</v>
      </c>
      <c r="J16" s="5">
        <v>0.23499999999999999</v>
      </c>
      <c r="K16" s="1">
        <v>128500</v>
      </c>
      <c r="L16" s="1">
        <f t="shared" si="2"/>
        <v>158697.49999999997</v>
      </c>
      <c r="M16" s="1">
        <f t="shared" si="1"/>
        <v>98302.5</v>
      </c>
      <c r="N16" s="7" t="s">
        <v>24</v>
      </c>
      <c r="O16" s="72"/>
      <c r="P16" s="72"/>
      <c r="Q16" s="72"/>
      <c r="R16" s="72"/>
    </row>
    <row r="17" spans="1:23" ht="15" customHeight="1" x14ac:dyDescent="0.25">
      <c r="A17" s="41" t="s">
        <v>29</v>
      </c>
      <c r="B17" s="1">
        <v>44</v>
      </c>
      <c r="C17" s="1">
        <v>0.72170208000000002</v>
      </c>
      <c r="D17" s="1">
        <v>901902.62</v>
      </c>
      <c r="E17" s="1">
        <v>1042</v>
      </c>
      <c r="F17" s="3" t="str">
        <f t="shared" si="0"/>
        <v>-</v>
      </c>
      <c r="G17" s="1">
        <v>0</v>
      </c>
      <c r="H17" s="1">
        <v>0</v>
      </c>
      <c r="I17" s="1">
        <v>4.25</v>
      </c>
      <c r="J17" s="5">
        <v>0.17100000000000001</v>
      </c>
      <c r="K17" s="1">
        <v>179890</v>
      </c>
      <c r="L17" s="1">
        <f t="shared" si="2"/>
        <v>210651.19</v>
      </c>
      <c r="M17" s="1">
        <f t="shared" si="1"/>
        <v>149128.81</v>
      </c>
      <c r="N17" s="7" t="s">
        <v>24</v>
      </c>
      <c r="O17" s="72"/>
      <c r="P17" s="72"/>
      <c r="Q17" s="72"/>
      <c r="R17" s="72"/>
    </row>
    <row r="18" spans="1:23" ht="15" customHeight="1" thickBot="1" x14ac:dyDescent="0.3">
      <c r="A18" s="42" t="s">
        <v>30</v>
      </c>
      <c r="B18" s="43">
        <v>210</v>
      </c>
      <c r="C18" s="43">
        <v>74.410814999999999</v>
      </c>
      <c r="D18" s="43">
        <v>19460</v>
      </c>
      <c r="E18" s="43">
        <v>119083</v>
      </c>
      <c r="F18" s="3">
        <f t="shared" si="0"/>
        <v>683.6908925685234</v>
      </c>
      <c r="G18" s="43">
        <v>0</v>
      </c>
      <c r="H18" s="43">
        <v>0</v>
      </c>
      <c r="I18" s="43">
        <v>6.15</v>
      </c>
      <c r="J18" s="44">
        <v>0.26</v>
      </c>
      <c r="K18" s="43">
        <v>90118820</v>
      </c>
      <c r="L18" s="1">
        <f t="shared" si="2"/>
        <v>113549713.2</v>
      </c>
      <c r="M18" s="1">
        <f t="shared" si="1"/>
        <v>66687926.799999997</v>
      </c>
      <c r="N18" s="45" t="s">
        <v>14</v>
      </c>
      <c r="O18" s="72"/>
      <c r="P18" s="72"/>
      <c r="Q18" s="72"/>
      <c r="R18" s="72"/>
    </row>
    <row r="19" spans="1:23" ht="15" customHeight="1" x14ac:dyDescent="0.25">
      <c r="M19" s="8"/>
      <c r="N19" s="8"/>
      <c r="O19" s="37"/>
      <c r="P19" s="8"/>
      <c r="Q19" s="9"/>
    </row>
    <row r="20" spans="1:23" ht="15" customHeight="1" x14ac:dyDescent="0.25">
      <c r="H20" s="73"/>
      <c r="I20" s="73"/>
      <c r="J20" s="74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3" ht="15" customHeight="1" x14ac:dyDescent="0.25"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3" ht="33" customHeight="1" x14ac:dyDescent="0.25">
      <c r="H22" s="73"/>
      <c r="I22" s="73"/>
      <c r="J22" s="75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6"/>
      <c r="V22" s="73"/>
      <c r="W22" s="73"/>
    </row>
    <row r="23" spans="1:23" ht="15" customHeight="1" x14ac:dyDescent="0.25">
      <c r="H23" s="73"/>
      <c r="I23" s="73"/>
      <c r="J23" s="77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3" ht="15" customHeight="1" x14ac:dyDescent="0.25">
      <c r="H24" s="73"/>
      <c r="I24" s="73"/>
      <c r="J24" s="77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3" ht="15" customHeight="1" x14ac:dyDescent="0.25">
      <c r="H25" s="73"/>
      <c r="I25" s="73"/>
      <c r="J25" s="77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3" ht="15" customHeight="1" x14ac:dyDescent="0.25">
      <c r="H26" s="73"/>
      <c r="I26" s="73"/>
      <c r="J26" s="77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3" ht="15" customHeight="1" x14ac:dyDescent="0.25">
      <c r="H27" s="73"/>
      <c r="I27" s="73"/>
      <c r="J27" s="77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3" ht="15" customHeight="1" x14ac:dyDescent="0.25">
      <c r="H28" s="73"/>
      <c r="I28" s="73"/>
      <c r="J28" s="77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3" ht="15" customHeight="1" x14ac:dyDescent="0.25">
      <c r="H29" s="73"/>
      <c r="I29" s="73"/>
      <c r="J29" s="77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3" ht="15" customHeight="1" x14ac:dyDescent="0.25">
      <c r="H30" s="73"/>
      <c r="I30" s="73"/>
      <c r="J30" s="77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3" ht="15" customHeight="1" x14ac:dyDescent="0.25">
      <c r="H31" s="73"/>
      <c r="I31" s="73"/>
      <c r="J31" s="77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3" ht="15" customHeight="1" x14ac:dyDescent="0.25">
      <c r="H32" s="73"/>
      <c r="I32" s="73"/>
      <c r="J32" s="77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8:23" ht="15" customHeight="1" x14ac:dyDescent="0.25">
      <c r="H33" s="73"/>
      <c r="I33" s="73"/>
      <c r="J33" s="77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8:23" ht="15" customHeight="1" x14ac:dyDescent="0.25">
      <c r="H34" s="73"/>
      <c r="I34" s="73"/>
      <c r="J34" s="77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8:23" ht="15" customHeight="1" x14ac:dyDescent="0.25">
      <c r="H35" s="73"/>
      <c r="I35" s="73"/>
      <c r="J35" s="77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8:23" ht="15" customHeight="1" x14ac:dyDescent="0.25">
      <c r="H36" s="73"/>
      <c r="I36" s="73"/>
      <c r="J36" s="77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8:23" ht="15" customHeight="1" x14ac:dyDescent="0.25">
      <c r="H37" s="73"/>
      <c r="I37" s="73"/>
      <c r="J37" s="77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</row>
    <row r="38" spans="8:23" ht="15" customHeight="1" x14ac:dyDescent="0.25"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</row>
    <row r="39" spans="8:23" ht="15" customHeight="1" x14ac:dyDescent="0.25"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8:23" ht="15" customHeight="1" x14ac:dyDescent="0.25"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8:23" ht="15" customHeight="1" x14ac:dyDescent="0.25"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</row>
  </sheetData>
  <mergeCells count="1">
    <mergeCell ref="O1:R18"/>
  </mergeCells>
  <pageMargins left="0.7" right="0.7" top="0.75" bottom="0.75" header="0.3" footer="0.3"/>
  <pageSetup paperSize="9" orientation="portrait" r:id="rId1"/>
  <ignoredErrors>
    <ignoredError sqref="L3 L4 M3:M4 L6:L18 M6:M1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733B-F3AD-4CF0-BA9B-48A79DE0308A}">
  <dimension ref="A1:I19"/>
  <sheetViews>
    <sheetView workbookViewId="0">
      <selection sqref="A1:XFD1048576"/>
    </sheetView>
  </sheetViews>
  <sheetFormatPr defaultRowHeight="15" x14ac:dyDescent="0.25"/>
  <cols>
    <col min="1" max="1" width="8.28515625" bestFit="1" customWidth="1"/>
    <col min="2" max="2" width="8" bestFit="1" customWidth="1"/>
    <col min="3" max="4" width="12" bestFit="1" customWidth="1"/>
    <col min="5" max="5" width="12.5703125" bestFit="1" customWidth="1"/>
    <col min="6" max="6" width="12" bestFit="1" customWidth="1"/>
    <col min="7" max="7" width="6.5703125" bestFit="1" customWidth="1"/>
    <col min="8" max="8" width="7.5703125" bestFit="1" customWidth="1"/>
    <col min="9" max="9" width="11.5703125" bestFit="1" customWidth="1"/>
  </cols>
  <sheetData>
    <row r="1" spans="1:9" x14ac:dyDescent="0.25">
      <c r="A1" s="61" t="s">
        <v>31</v>
      </c>
      <c r="B1" s="62"/>
      <c r="C1" s="62"/>
      <c r="D1" s="62"/>
      <c r="E1" s="62"/>
      <c r="F1" s="62"/>
      <c r="G1" s="62"/>
      <c r="H1" s="62"/>
      <c r="I1" s="63"/>
    </row>
    <row r="2" spans="1:9" ht="15.75" thickBot="1" x14ac:dyDescent="0.3">
      <c r="A2" s="64"/>
      <c r="B2" s="65"/>
      <c r="C2" s="65"/>
      <c r="D2" s="65"/>
      <c r="E2" s="65"/>
      <c r="F2" s="65"/>
      <c r="G2" s="65"/>
      <c r="H2" s="65"/>
      <c r="I2" s="66"/>
    </row>
    <row r="3" spans="1:9" ht="31.5" x14ac:dyDescent="0.25">
      <c r="A3" s="49" t="s">
        <v>0</v>
      </c>
      <c r="B3" s="50" t="s">
        <v>1</v>
      </c>
      <c r="C3" s="50" t="s">
        <v>9</v>
      </c>
      <c r="D3" s="50" t="s">
        <v>36</v>
      </c>
      <c r="E3" s="50" t="s">
        <v>37</v>
      </c>
      <c r="F3" s="51" t="s">
        <v>38</v>
      </c>
      <c r="G3" s="50" t="s">
        <v>39</v>
      </c>
      <c r="H3" s="50" t="s">
        <v>40</v>
      </c>
      <c r="I3" s="52" t="s">
        <v>41</v>
      </c>
    </row>
    <row r="4" spans="1:9" x14ac:dyDescent="0.25">
      <c r="A4" s="10" t="s">
        <v>18</v>
      </c>
      <c r="B4" s="21">
        <f>VLOOKUP(A4,Kerbodynamics!$A$2:$N$18,COLUMN(Kerbodynamics!$B$2:$B$18),FALSE)</f>
        <v>600</v>
      </c>
      <c r="C4" s="11">
        <f>((E4+B4)/D4)-1</f>
        <v>0</v>
      </c>
      <c r="D4" s="12">
        <f>((E4+F4)/2)+B4</f>
        <v>1376.575</v>
      </c>
      <c r="E4" s="13">
        <v>776.57500000000005</v>
      </c>
      <c r="F4" s="14">
        <v>776.57500000000005</v>
      </c>
      <c r="G4" s="15">
        <f>SQRT(2*VLOOKUP(A4,Kerbodynamics!$A$2:$N$18,COLUMN(Kerbodynamics!$C$2:$C$18),FALSE)*(((F4+B4)/(E4+B4))/(E4+F4+2*B4)))</f>
        <v>1.6017171106757682</v>
      </c>
      <c r="H4" s="15">
        <f>SQRT(2*VLOOKUP(A4,Kerbodynamics!$A$2:$N$18,COLUMN(Kerbodynamics!$C$2:$C$18),FALSE)*(((E4+B4)/(F4+B4))/(E4+F4+2*B4)))</f>
        <v>1.6017171106757682</v>
      </c>
      <c r="I4" s="16">
        <f>2*PI()*SQRT(POWER(D4,3)/VLOOKUP(A4,Kerbodynamics!$A$2:$N$18,COLUMN(Kerbodynamics!$C$2:$C$18),FALSE))</f>
        <v>5400.0021330742911</v>
      </c>
    </row>
    <row r="5" spans="1:9" x14ac:dyDescent="0.25">
      <c r="A5" s="20" t="s">
        <v>20</v>
      </c>
      <c r="B5" s="21">
        <f>VLOOKUP(A5,Kerbodynamics!$A$2:$N$18,COLUMN(Kerbodynamics!$B$2:$B$18),FALSE)</f>
        <v>60</v>
      </c>
      <c r="C5" s="11">
        <f>((E5+B5)/D5)-1</f>
        <v>0.63866250457820062</v>
      </c>
      <c r="D5" s="11">
        <f>((E5+F5)/2)+B5</f>
        <v>510.52306235281702</v>
      </c>
      <c r="E5" s="22">
        <v>776.57500000000005</v>
      </c>
      <c r="F5" s="23">
        <v>124.47112470563397</v>
      </c>
      <c r="G5" s="15">
        <f>SQRT(2*VLOOKUP(A5,Kerbodynamics!$A$2:$N$18,COLUMN(Kerbodynamics!$C$2:$C$18),FALSE)*(((F5+B5)/(E5+B5))/(E5+F5+2*B5)))</f>
        <v>2.7616893819051917E-2</v>
      </c>
      <c r="H5" s="15">
        <f>SQRT(2*VLOOKUP(A5,Kerbodynamics!$A$2:$N$18,COLUMN(Kerbodynamics!$C$2:$C$18),FALSE)*(((E5+B5)/(F5+B5))/(E5+F5+2*B5)))</f>
        <v>0.12524238134038843</v>
      </c>
      <c r="I5" s="16">
        <f>2*PI()*SQRT(POWER(D5,3)/VLOOKUP(A5,Kerbodynamics!$A$2:$N$18,COLUMN(Kerbodynamics!$C$2:$C$18),FALSE))</f>
        <v>54542.13834575993</v>
      </c>
    </row>
    <row r="6" spans="1:9" x14ac:dyDescent="0.25">
      <c r="A6" s="20" t="s">
        <v>18</v>
      </c>
      <c r="B6" s="21">
        <f>VLOOKUP(A6,Kerbodynamics!$A$2:$N$18,COLUMN(Kerbodynamics!$B$2:$B$18),FALSE)</f>
        <v>600</v>
      </c>
      <c r="C6" s="11">
        <f>((E6+B6)/D6)-1</f>
        <v>0.31037069706280862</v>
      </c>
      <c r="D6" s="11">
        <f>((E6+F6)/2)+B6</f>
        <v>2643.0185044301211</v>
      </c>
      <c r="E6" s="27">
        <v>2863.3339999999998</v>
      </c>
      <c r="F6" s="23">
        <v>1222.7030088602421</v>
      </c>
      <c r="G6" s="15">
        <f>SQRT(2*VLOOKUP(A6,Kerbodynamics!$A$2:$N$18,COLUMN(Kerbodynamics!$C$2:$C$18),FALSE)*(((F6+B6)/(E6+B6))/(E6+F6+2*B6)))</f>
        <v>0.83858370520571412</v>
      </c>
      <c r="H6" s="15">
        <f>SQRT(2*VLOOKUP(A6,Kerbodynamics!$A$2:$N$18,COLUMN(Kerbodynamics!$C$2:$C$18),FALSE)*(((E6+B6)/(F6+B6))/(E6+F6+2*B6)))</f>
        <v>1.5934002654118717</v>
      </c>
      <c r="I6" s="16">
        <f>2*PI()*SQRT(POWER(D6,3)/VLOOKUP(A6,Kerbodynamics!$A$2:$N$18,COLUMN(Kerbodynamics!$C$2:$C$18),FALSE))</f>
        <v>14366.283085929244</v>
      </c>
    </row>
    <row r="7" spans="1:9" x14ac:dyDescent="0.25">
      <c r="A7" s="20" t="s">
        <v>24</v>
      </c>
      <c r="B7" s="21">
        <f>VLOOKUP(A7,Kerbodynamics!$A$2:$N$18,COLUMN(Kerbodynamics!$B$2:$B$18),FALSE)</f>
        <v>6000</v>
      </c>
      <c r="C7" s="11">
        <f>((E7+B7)/D7)-1</f>
        <v>0.96464248154701004</v>
      </c>
      <c r="D7" s="11">
        <f>((E7+F7)/2)+B7</f>
        <v>176765.799</v>
      </c>
      <c r="E7" s="27">
        <v>341281.598</v>
      </c>
      <c r="F7" s="28">
        <v>250</v>
      </c>
      <c r="G7" s="15">
        <f>SQRT(2*VLOOKUP(A7,Kerbodynamics!$A$2:$N$18,COLUMN(Kerbodynamics!$C$2:$C$18),FALSE)*(((F7+B7)/(E7+B7))/(E7+F7+2*B7)))</f>
        <v>0.1696019144844792</v>
      </c>
      <c r="H7" s="15">
        <f>SQRT(2*VLOOKUP(A7,Kerbodynamics!$A$2:$N$18,COLUMN(Kerbodynamics!$C$2:$C$18),FALSE)*(((E7+B7)/(F7+B7))/(E7+F7+2*B7)))</f>
        <v>9.4239398217646837</v>
      </c>
      <c r="I7" s="16">
        <f>2*PI()*SQRT(POWER(D7,3)/VLOOKUP(A7,Kerbodynamics!$A$2:$N$18,COLUMN(Kerbodynamics!$C$2:$C$18),FALSE))</f>
        <v>878509.53951066604</v>
      </c>
    </row>
    <row r="8" spans="1:9" x14ac:dyDescent="0.25">
      <c r="A8" s="20" t="s">
        <v>24</v>
      </c>
      <c r="B8" s="21">
        <f>VLOOKUP(A8,Kerbodynamics!$A$2:$N$18,COLUMN(Kerbodynamics!$B$2:$B$18),FALSE)</f>
        <v>6000</v>
      </c>
      <c r="C8" s="11">
        <f>((E8+B8)/D8)-1</f>
        <v>0.21141373134015762</v>
      </c>
      <c r="D8" s="11">
        <f>((E8+F8)/2)+B8</f>
        <v>286674.64220981777</v>
      </c>
      <c r="E8" s="27">
        <v>341281.598</v>
      </c>
      <c r="F8" s="28">
        <v>220067.6864196356</v>
      </c>
      <c r="G8" s="15">
        <f>SQRT(2*VLOOKUP(A8,Kerbodynamics!$A$2:$N$18,COLUMN(Kerbodynamics!$C$2:$C$18),FALSE)*(((F8+B8)/(E8+B8))/(E8+F8+2*B8)))</f>
        <v>0.80096671197315372</v>
      </c>
      <c r="H8" s="15">
        <f>SQRT(2*VLOOKUP(A8,Kerbodynamics!$A$2:$N$18,COLUMN(Kerbodynamics!$C$2:$C$18),FALSE)*(((E8+B8)/(F8+B8))/(E8+F8+2*B8)))</f>
        <v>1.2304323721989587</v>
      </c>
      <c r="I8" s="16">
        <f>2*PI()*SQRT(POWER(D8,3)/VLOOKUP(A8,Kerbodynamics!$A$2:$N$18,COLUMN(Kerbodynamics!$C$2:$C$18),FALSE))</f>
        <v>1814400.0096130571</v>
      </c>
    </row>
    <row r="9" spans="1:9" x14ac:dyDescent="0.25">
      <c r="A9" s="20" t="s">
        <v>24</v>
      </c>
      <c r="B9" s="21">
        <f>VLOOKUP(A9,Kerbodynamics!$A$2:$N$18,COLUMN(Kerbodynamics!$B$2:$B$18),FALSE)</f>
        <v>6000</v>
      </c>
      <c r="C9" s="11">
        <f>((E9+B9)/D9)-1</f>
        <v>0</v>
      </c>
      <c r="D9" s="11">
        <f>((E9+F9)/2)+B9</f>
        <v>347281.598</v>
      </c>
      <c r="E9" s="27">
        <v>341281.598</v>
      </c>
      <c r="F9" s="28">
        <f>E9</f>
        <v>341281.598</v>
      </c>
      <c r="G9" s="15">
        <f>SQRT(2*VLOOKUP(A9,Kerbodynamics!$A$2:$N$18,COLUMN(Kerbodynamics!$C$2:$C$18),FALSE)*(((F9+B9)/(E9+B9))/(E9+F9+2*B9)))</f>
        <v>0.90196536661742521</v>
      </c>
      <c r="H9" s="15">
        <f>SQRT(2*VLOOKUP(A9,Kerbodynamics!$A$2:$N$18,COLUMN(Kerbodynamics!$C$2:$C$18),FALSE)*(((E9+B9)/(F9+B9))/(E9+F9+2*B9)))</f>
        <v>0.90196536661742521</v>
      </c>
      <c r="I9" s="16">
        <f>2*PI()*SQRT(POWER(D9,3)/VLOOKUP(A9,Kerbodynamics!$A$2:$N$18,COLUMN(Kerbodynamics!$C$2:$C$18),FALSE))</f>
        <v>2419200.0211610924</v>
      </c>
    </row>
    <row r="10" spans="1:9" x14ac:dyDescent="0.25">
      <c r="A10" s="20" t="s">
        <v>22</v>
      </c>
      <c r="B10" s="21">
        <f>VLOOKUP(A10,Kerbodynamics!$A$2:$N$18,COLUMN(Kerbodynamics!$B$2:$B$18),FALSE)</f>
        <v>130</v>
      </c>
      <c r="C10" s="11">
        <f>((E10+B10)/D10)-1</f>
        <v>0.58740105192479763</v>
      </c>
      <c r="D10" s="11">
        <f>((E10+F10)/2)+B10</f>
        <v>501.57723309178692</v>
      </c>
      <c r="E10" s="27">
        <v>666.20422743143195</v>
      </c>
      <c r="F10" s="28">
        <v>76.9502387521419</v>
      </c>
      <c r="G10" s="15">
        <f>SQRT(2*VLOOKUP(A10,Kerbodynamics!$A$2:$N$18,COLUMN(Kerbodynamics!$C$2:$C$18),FALSE)*(((F10+B10)/(E10+B10))/(E10+F10+2*B10)))</f>
        <v>9.8093153770422464E-2</v>
      </c>
      <c r="H10" s="15">
        <f>SQRT(2*VLOOKUP(A10,Kerbodynamics!$A$2:$N$18,COLUMN(Kerbodynamics!$C$2:$C$18),FALSE)*(((E10+B10)/(F10+B10))/(E10+F10+2*B10)))</f>
        <v>0.37739595849238189</v>
      </c>
      <c r="I10" s="16">
        <f>2*PI()*SQRT(POWER(D10,3)/VLOOKUP(A10,Kerbodynamics!$A$2:$N$18,COLUMN(Kerbodynamics!$C$2:$C$18),FALSE))</f>
        <v>16379.465000895154</v>
      </c>
    </row>
    <row r="11" spans="1:9" x14ac:dyDescent="0.25">
      <c r="A11" s="20" t="s">
        <v>21</v>
      </c>
      <c r="B11" s="21">
        <f>VLOOKUP(A11,Kerbodynamics!$A$2:$N$18,COLUMN(Kerbodynamics!$B$2:$B$18),FALSE)</f>
        <v>320</v>
      </c>
      <c r="C11" s="11">
        <f>((E11+B11)/D11)-1</f>
        <v>0.31037072840823265</v>
      </c>
      <c r="D11" s="11">
        <f>((E11+F11)/2)+B11</f>
        <v>2442.0569924415104</v>
      </c>
      <c r="E11" s="27">
        <v>2880</v>
      </c>
      <c r="F11" s="28">
        <v>1364.1139848830212</v>
      </c>
      <c r="G11" s="15">
        <f>SQRT(2*VLOOKUP(A11,Kerbodynamics!$A$2:$N$18,COLUMN(Kerbodynamics!$C$2:$C$18),FALSE)*(((F11+B11)/(E11+B11))/(E11+F11+2*B11)))</f>
        <v>0.25484608774026291</v>
      </c>
      <c r="H11" s="15">
        <f>SQRT(2*VLOOKUP(A11,Kerbodynamics!$A$2:$N$18,COLUMN(Kerbodynamics!$C$2:$C$18),FALSE)*(((E11+B11)/(F11+B11))/(E11+F11+2*B11)))</f>
        <v>0.48423532378984813</v>
      </c>
      <c r="I11" s="16">
        <f>2*PI()*SQRT(POWER(D11,3)/VLOOKUP(A11,Kerbodynamics!$A$2:$N$18,COLUMN(Kerbodynamics!$C$2:$C$18),FALSE))</f>
        <v>43678.573334497632</v>
      </c>
    </row>
    <row r="12" spans="1:9" x14ac:dyDescent="0.25">
      <c r="A12" s="20" t="s">
        <v>20</v>
      </c>
      <c r="B12" s="21">
        <f>VLOOKUP(A12,Kerbodynamics!$A$2:$N$18,COLUMN(Kerbodynamics!$B$2:$B$18),FALSE)</f>
        <v>60</v>
      </c>
      <c r="C12" s="11">
        <f>((E12+B12)/D12)-1</f>
        <v>0.31037069046700005</v>
      </c>
      <c r="D12" s="11">
        <f>((E12+F12)/2)+B12</f>
        <v>275.31492749822382</v>
      </c>
      <c r="E12" s="27">
        <v>300.76461164171963</v>
      </c>
      <c r="F12" s="28">
        <v>129.86524335472802</v>
      </c>
      <c r="G12" s="15">
        <f>SQRT(2*VLOOKUP(A12,Kerbodynamics!$A$2:$N$18,COLUMN(Kerbodynamics!$C$2:$C$18),FALSE)*(((F12+B12)/(E12+B12))/(E12+F12+2*B12)))</f>
        <v>5.8098731024915487E-2</v>
      </c>
      <c r="H12" s="15">
        <f>SQRT(2*VLOOKUP(A12,Kerbodynamics!$A$2:$N$18,COLUMN(Kerbodynamics!$C$2:$C$18),FALSE)*(((E12+B12)/(F12+B12))/(E12+F12+2*B12)))</f>
        <v>0.11039390761962972</v>
      </c>
      <c r="I12" s="16">
        <f>2*PI()*SQRT(POWER(D12,3)/VLOOKUP(A12,Kerbodynamics!$A$2:$N$18,COLUMN(Kerbodynamics!$C$2:$C$18),FALSE))</f>
        <v>21600.000000040218</v>
      </c>
    </row>
    <row r="13" spans="1:9" x14ac:dyDescent="0.25">
      <c r="A13" s="20" t="s">
        <v>19</v>
      </c>
      <c r="B13" s="21">
        <f>VLOOKUP(A13,Kerbodynamics!$A$2:$N$18,COLUMN(Kerbodynamics!$B$2:$B$18),FALSE)</f>
        <v>200</v>
      </c>
      <c r="C13" s="11">
        <f>((E13+B13)/D13)-1</f>
        <v>0.3103706934660575</v>
      </c>
      <c r="D13" s="11">
        <f>((E13+F13)/2)+B13</f>
        <v>916.49115858334142</v>
      </c>
      <c r="E13" s="27">
        <v>1000.9431550283637</v>
      </c>
      <c r="F13" s="28">
        <v>432.03916213831917</v>
      </c>
      <c r="G13" s="15">
        <f>SQRT(2*VLOOKUP(A13,Kerbodynamics!$A$2:$N$18,COLUMN(Kerbodynamics!$C$2:$C$18),FALSE)*(((F13+B13)/(E13+B13))/(E13+F13+2*B13)))</f>
        <v>0.19340387249017013</v>
      </c>
      <c r="H13" s="15">
        <f>SQRT(2*VLOOKUP(A13,Kerbodynamics!$A$2:$N$18,COLUMN(Kerbodynamics!$C$2:$C$18),FALSE)*(((E13+B13)/(F13+B13))/(E13+F13+2*B13)))</f>
        <v>0.36748839429069685</v>
      </c>
      <c r="I13" s="16">
        <f>2*PI()*SQRT(POWER(D13,3)/VLOOKUP(A13,Kerbodynamics!$A$2:$N$18,COLUMN(Kerbodynamics!$C$2:$C$18),FALSE))</f>
        <v>21600.000000050866</v>
      </c>
    </row>
    <row r="14" spans="1:9" x14ac:dyDescent="0.25">
      <c r="A14" s="20" t="s">
        <v>14</v>
      </c>
      <c r="B14" s="21">
        <f>VLOOKUP(A14,Kerbodynamics!$A$2:$N$18,COLUMN(Kerbodynamics!$B$2:$B$18),FALSE)</f>
        <v>261600</v>
      </c>
      <c r="C14" s="11">
        <f>((E14+B14)/D14)-1</f>
        <v>0</v>
      </c>
      <c r="D14" s="11">
        <f>((E14+F14)/2)+B14</f>
        <v>13599840.255999999</v>
      </c>
      <c r="E14" s="22">
        <v>13338240.255999999</v>
      </c>
      <c r="F14" s="28">
        <v>13338240.255999999</v>
      </c>
      <c r="G14" s="15">
        <f>SQRT(2*VLOOKUP(A14,Kerbodynamics!$A$2:$N$18,COLUMN(Kerbodynamics!$C$2:$C$18),FALSE)*(((F14+B14)/(E14+B14))/(E14+F14+2*B14)))</f>
        <v>9.2845007240280442</v>
      </c>
      <c r="H14" s="15">
        <f>SQRT(2*VLOOKUP(A14,Kerbodynamics!$A$2:$N$18,COLUMN(Kerbodynamics!$C$2:$C$18),FALSE)*(((E14+B14)/(F14+B14))/(E14+F14+2*B14)))</f>
        <v>9.2845007240280442</v>
      </c>
      <c r="I14" s="16">
        <f>2*PI()*SQRT(POWER(D14,3)/VLOOKUP(A14,Kerbodynamics!$A$2:$N$18,COLUMN(Kerbodynamics!$C$2:$C$18),FALSE))</f>
        <v>9203544.5972173251</v>
      </c>
    </row>
    <row r="15" spans="1:9" x14ac:dyDescent="0.25">
      <c r="A15" s="20" t="s">
        <v>14</v>
      </c>
      <c r="B15" s="21">
        <f>VLOOKUP(A15,Kerbodynamics!$A$2:$N$18,COLUMN(Kerbodynamics!$B$2:$B$18),FALSE)</f>
        <v>261600</v>
      </c>
      <c r="C15" s="11">
        <f>((E15+B15)/D15)-1</f>
        <v>0.17451818776334838</v>
      </c>
      <c r="D15" s="11">
        <f>((E15+F15)/2)+B15</f>
        <v>16475033.192010727</v>
      </c>
      <c r="E15" s="22">
        <v>19088626.128021453</v>
      </c>
      <c r="F15" s="28">
        <v>13338240.255999999</v>
      </c>
      <c r="G15" s="15">
        <f>SQRT(2*VLOOKUP(A15,Kerbodynamics!$A$2:$N$18,COLUMN(Kerbodynamics!$C$2:$C$18),FALSE)*(((F15+B15)/(E15+B15))/(E15+F15+2*B15)))</f>
        <v>7.07190129079593</v>
      </c>
      <c r="H15" s="15">
        <f>SQRT(2*VLOOKUP(A15,Kerbodynamics!$A$2:$N$18,COLUMN(Kerbodynamics!$C$2:$C$18),FALSE)*(((E15+B15)/(F15+B15))/(E15+F15+2*B15)))</f>
        <v>10.062095330242977</v>
      </c>
      <c r="I15" s="16">
        <f>2*PI()*SQRT(POWER(D15,3)/VLOOKUP(A15,Kerbodynamics!$A$2:$N$18,COLUMN(Kerbodynamics!$C$2:$C$18),FALSE))</f>
        <v>12271392.796000002</v>
      </c>
    </row>
    <row r="16" spans="1:9" x14ac:dyDescent="0.25">
      <c r="A16" s="20" t="s">
        <v>17</v>
      </c>
      <c r="B16" s="21">
        <f>VLOOKUP(A16,Kerbodynamics!$A$2:$N$18,COLUMN(Kerbodynamics!$B$2:$B$18),FALSE)</f>
        <v>13</v>
      </c>
      <c r="C16" s="11">
        <f>((E16+B16)/D16)-1</f>
        <v>0.58740099749986019</v>
      </c>
      <c r="D16" s="11">
        <f>((E16+F16)/2)+B16</f>
        <v>79.126351569429417</v>
      </c>
      <c r="E16" s="27">
        <v>112.60524940983689</v>
      </c>
      <c r="F16" s="28">
        <v>19.647453729021958</v>
      </c>
      <c r="G16" s="15">
        <f>SQRT(2*VLOOKUP(A16,Kerbodynamics!$A$2:$N$18,COLUMN(Kerbodynamics!$C$2:$C$18),FALSE)*(((F16+B16)/(E16+B16))/(E16+F16+2*B16)))</f>
        <v>5.2182279262002968E-3</v>
      </c>
      <c r="H16" s="15">
        <f>SQRT(2*VLOOKUP(A16,Kerbodynamics!$A$2:$N$18,COLUMN(Kerbodynamics!$C$2:$C$18),FALSE)*(((E16+B16)/(F16+B16))/(E16+F16+2*B16)))</f>
        <v>2.0076200293841402E-2</v>
      </c>
      <c r="I16" s="16">
        <f>2*PI()*SQRT(POWER(D16,3)/VLOOKUP(A16,Kerbodynamics!$A$2:$N$18,COLUMN(Kerbodynamics!$C$2:$C$18),FALSE))</f>
        <v>48573.425000060277</v>
      </c>
    </row>
    <row r="17" spans="1:9" x14ac:dyDescent="0.25">
      <c r="A17" s="20" t="s">
        <v>16</v>
      </c>
      <c r="B17" s="21">
        <f>VLOOKUP(A17,Kerbodynamics!$A$2:$N$18,COLUMN(Kerbodynamics!$B$2:$B$18),FALSE)</f>
        <v>700</v>
      </c>
      <c r="C17" s="11">
        <f>((E17+B17)/D17)-1</f>
        <v>0.31037069156802533</v>
      </c>
      <c r="D17" s="11">
        <f>((E17+F17)/2)+B17</f>
        <v>24038.999195186698</v>
      </c>
      <c r="E17" s="27">
        <v>30800</v>
      </c>
      <c r="F17" s="28">
        <v>15877.998390373397</v>
      </c>
      <c r="G17" s="15">
        <f>SQRT(2*VLOOKUP(A17,Kerbodynamics!$A$2:$N$18,COLUMN(Kerbodynamics!$C$2:$C$18),FALSE)*(((F17+B17)/(E17+B17))/(E17+F17+2*B17)))</f>
        <v>0.42297002207251239</v>
      </c>
      <c r="H17" s="15">
        <f>SQRT(2*VLOOKUP(A17,Kerbodynamics!$A$2:$N$18,COLUMN(Kerbodynamics!$C$2:$C$18),FALSE)*(((E17+B17)/(F17+B17))/(E17+F17+2*B17)))</f>
        <v>0.80368904505509764</v>
      </c>
      <c r="I17" s="16">
        <f>2*PI()*SQRT(POWER(D17,3)/VLOOKUP(A17,Kerbodynamics!$A$2:$N$18,COLUMN(Kerbodynamics!$C$2:$C$18),FALSE))</f>
        <v>259058.25333678399</v>
      </c>
    </row>
    <row r="18" spans="1:9" x14ac:dyDescent="0.25">
      <c r="A18" s="20" t="s">
        <v>23</v>
      </c>
      <c r="B18" s="21">
        <f>VLOOKUP(A18,Kerbodynamics!$A$2:$N$18,COLUMN(Kerbodynamics!$B$2:$B$18),FALSE)</f>
        <v>138</v>
      </c>
      <c r="C18" s="11">
        <f>((E18+B18)/D18)-1</f>
        <v>0</v>
      </c>
      <c r="D18" s="11">
        <f>((E18+F18)/2)+B18</f>
        <v>148</v>
      </c>
      <c r="E18" s="27">
        <v>10</v>
      </c>
      <c r="F18" s="28">
        <v>10</v>
      </c>
      <c r="G18" s="15">
        <f>SQRT(2*VLOOKUP(A18,Kerbodynamics!$A$2:$N$18,COLUMN(Kerbodynamics!$C$2:$C$18),FALSE)*(((F18+B18)/(E18+B18))/(E18+F18+2*B18)))</f>
        <v>0.38100586113105428</v>
      </c>
      <c r="H18" s="15">
        <f>SQRT(2*VLOOKUP(A18,Kerbodynamics!$A$2:$N$18,COLUMN(Kerbodynamics!$C$2:$C$18),FALSE)*(((E18+B18)/(F18+B18))/(E18+F18+2*B18)))</f>
        <v>0.38100586113105428</v>
      </c>
      <c r="I18" s="16">
        <f>2*PI()*SQRT(POWER(D18,3)/VLOOKUP(A18,Kerbodynamics!$A$2:$N$18,COLUMN(Kerbodynamics!$C$2:$C$18),FALSE))</f>
        <v>2440.6748565548128</v>
      </c>
    </row>
    <row r="19" spans="1:9" ht="15.75" thickBot="1" x14ac:dyDescent="0.3">
      <c r="A19" s="29" t="s">
        <v>21</v>
      </c>
      <c r="B19" s="30">
        <f>VLOOKUP(A19,Kerbodynamics!$A$2:$N$18,COLUMN(Kerbodynamics!$B$2:$B$18),FALSE)</f>
        <v>320</v>
      </c>
      <c r="C19" s="31">
        <f>((E19+B19)/D19)-1</f>
        <v>0.75299004178269402</v>
      </c>
      <c r="D19" s="31">
        <f>((E19+F19)/2)+B19</f>
        <v>1538.3995153170968</v>
      </c>
      <c r="E19" s="32">
        <v>2376.7990306341935</v>
      </c>
      <c r="F19" s="33">
        <v>60</v>
      </c>
      <c r="G19" s="46">
        <f>SQRT(2*VLOOKUP(A19,Kerbodynamics!$A$2:$N$18,COLUMN(Kerbodynamics!$C$2:$C$18),FALSE)*(((F19+B19)/(E19+B19))/(E19+F19+2*B19)))</f>
        <v>0.16614147277239452</v>
      </c>
      <c r="H19" s="46">
        <f>SQRT(2*VLOOKUP(A19,Kerbodynamics!$A$2:$N$18,COLUMN(Kerbodynamics!$C$2:$C$18),FALSE)*(((E19+B19)/(F19+B19))/(E19+F19+2*B19)))</f>
        <v>1.1790793755808706</v>
      </c>
      <c r="I19" s="47">
        <f>2*PI()*SQRT(POWER(D19,3)/VLOOKUP(A19,Kerbodynamics!$A$2:$N$18,COLUMN(Kerbodynamics!$C$2:$C$18),FALSE))</f>
        <v>21839.286888858976</v>
      </c>
    </row>
  </sheetData>
  <mergeCells count="1">
    <mergeCell ref="A1:I2"/>
  </mergeCells>
  <dataValidations count="1">
    <dataValidation type="list" allowBlank="1" showInputMessage="1" showErrorMessage="1" sqref="A4:A19" xr:uid="{00000000-0002-0000-0000-000000000000}">
      <formula1>$A$2:$A$18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09DE-AAAB-4B4A-A97F-89712FB32C45}">
  <dimension ref="A1:J19"/>
  <sheetViews>
    <sheetView tabSelected="1" workbookViewId="0">
      <selection activeCell="H31" sqref="H31"/>
    </sheetView>
  </sheetViews>
  <sheetFormatPr defaultRowHeight="15" x14ac:dyDescent="0.25"/>
  <cols>
    <col min="1" max="1" width="7.28515625" bestFit="1" customWidth="1"/>
    <col min="2" max="2" width="8.7109375" bestFit="1" customWidth="1"/>
    <col min="3" max="3" width="7.5703125" bestFit="1" customWidth="1"/>
    <col min="4" max="4" width="12" bestFit="1" customWidth="1"/>
    <col min="5" max="5" width="23.28515625" bestFit="1" customWidth="1"/>
    <col min="6" max="9" width="12" bestFit="1" customWidth="1"/>
    <col min="10" max="10" width="21.85546875" bestFit="1" customWidth="1"/>
  </cols>
  <sheetData>
    <row r="1" spans="1:10" ht="16.5" thickBot="1" x14ac:dyDescent="0.3">
      <c r="A1" s="67" t="s">
        <v>32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x14ac:dyDescent="0.25">
      <c r="A2" s="53"/>
      <c r="B2" s="70" t="s">
        <v>33</v>
      </c>
      <c r="C2" s="70"/>
      <c r="D2" s="70"/>
      <c r="E2" s="54" t="s">
        <v>43</v>
      </c>
      <c r="F2" s="71" t="s">
        <v>34</v>
      </c>
      <c r="G2" s="70"/>
      <c r="H2" s="70"/>
      <c r="I2" s="70"/>
      <c r="J2" s="55" t="s">
        <v>35</v>
      </c>
    </row>
    <row r="3" spans="1:10" ht="78.75" x14ac:dyDescent="0.25">
      <c r="A3" s="56" t="s">
        <v>0</v>
      </c>
      <c r="B3" s="57" t="s">
        <v>42</v>
      </c>
      <c r="C3" s="57" t="s">
        <v>44</v>
      </c>
      <c r="D3" s="57" t="s">
        <v>36</v>
      </c>
      <c r="E3" s="58" t="s">
        <v>41</v>
      </c>
      <c r="F3" s="59" t="s">
        <v>36</v>
      </c>
      <c r="G3" s="57" t="s">
        <v>9</v>
      </c>
      <c r="H3" s="57" t="s">
        <v>37</v>
      </c>
      <c r="I3" s="57" t="s">
        <v>38</v>
      </c>
      <c r="J3" s="60" t="s">
        <v>41</v>
      </c>
    </row>
    <row r="4" spans="1:10" x14ac:dyDescent="0.25">
      <c r="A4" s="10" t="s">
        <v>21</v>
      </c>
      <c r="B4" s="17">
        <v>3</v>
      </c>
      <c r="C4" s="11">
        <f>VLOOKUP(A4,Kerbodynamics!$A$2:$N$18,COLUMN(Kerbodynamics!$B$2:$B$18),FALSE)</f>
        <v>320</v>
      </c>
      <c r="D4" s="12">
        <v>45000</v>
      </c>
      <c r="E4" s="25">
        <f>2*PI()*SQRT(POWER(D4+C4,3)/VLOOKUP(A4,Kerbodynamics!$A$2:$N$18,COLUMN(Kerbodynamics!$C$2:$C$18),FALSE))</f>
        <v>3491962.7603267189</v>
      </c>
      <c r="F4" s="17">
        <f>(D4+C4)*(((B4-1)/B4)^(2/3))</f>
        <v>34585.632981677998</v>
      </c>
      <c r="G4" s="12">
        <f>((H4+C4)/F4)-1</f>
        <v>0.31037069710444842</v>
      </c>
      <c r="H4" s="19">
        <f>D4</f>
        <v>45000</v>
      </c>
      <c r="I4" s="12">
        <f>(((2*F4)-H4)-(2*C4))</f>
        <v>23531.265963355996</v>
      </c>
      <c r="J4" s="18">
        <f>2*PI()*SQRT(POWER((H4+I4)/2+C4,3)/VLOOKUP(A4,Kerbodynamics!$A$2:$N$18,COLUMN(Kerbodynamics!$C$2:$C$18),FALSE))</f>
        <v>2327975.1735511455</v>
      </c>
    </row>
    <row r="5" spans="1:10" x14ac:dyDescent="0.25">
      <c r="A5" s="20" t="s">
        <v>16</v>
      </c>
      <c r="B5" s="24">
        <v>3</v>
      </c>
      <c r="C5" s="11">
        <f>VLOOKUP(A5,Kerbodynamics!$A$2:$N$18,COLUMN(Kerbodynamics!$B$2:$B$18),FALSE)</f>
        <v>700</v>
      </c>
      <c r="D5" s="11">
        <v>80000</v>
      </c>
      <c r="E5" s="25">
        <f>2*PI()*SQRT(POWER(D5+C5,3)/VLOOKUP(A5,Kerbodynamics!$A$2:$N$18,COLUMN(Kerbodynamics!$C$2:$C$18),FALSE))</f>
        <v>1593430.6282445726</v>
      </c>
      <c r="F5" s="24">
        <f>(D5+C5)*(((B5-1)/B5)^(2/3))</f>
        <v>61585.626249369256</v>
      </c>
      <c r="G5" s="12">
        <f>((H5+C5)/F5)-1</f>
        <v>0.3103706971044482</v>
      </c>
      <c r="H5" s="26">
        <f>D5</f>
        <v>80000</v>
      </c>
      <c r="I5" s="11">
        <f>(((2*F5)-H5)-(2*C5))</f>
        <v>41771.252498738511</v>
      </c>
      <c r="J5" s="18">
        <f>2*PI()*SQRT(POWER((H5+I5)/2+C5,3)/VLOOKUP(A5,Kerbodynamics!$A$2:$N$18,COLUMN(Kerbodynamics!$C$2:$C$18),FALSE))</f>
        <v>1062287.0854963816</v>
      </c>
    </row>
    <row r="6" spans="1:10" x14ac:dyDescent="0.25">
      <c r="A6" s="20" t="s">
        <v>23</v>
      </c>
      <c r="B6" s="24">
        <v>3</v>
      </c>
      <c r="C6" s="11">
        <f>VLOOKUP(A6,Kerbodynamics!$A$2:$N$18,COLUMN(Kerbodynamics!$B$2:$B$18),FALSE)</f>
        <v>138</v>
      </c>
      <c r="D6" s="11">
        <v>30000</v>
      </c>
      <c r="E6" s="25">
        <f>2*PI()*SQRT(POWER(D6+C6,3)/VLOOKUP(A6,Kerbodynamics!$A$2:$N$18,COLUMN(Kerbodynamics!$C$2:$C$18),FALSE))</f>
        <v>7092331.0143845445</v>
      </c>
      <c r="F6" s="24">
        <f>(D6+C6)*(((B6-1)/B6)^(2/3))</f>
        <v>22999.598561381543</v>
      </c>
      <c r="G6" s="12">
        <f>((H6+C6)/F6)-1</f>
        <v>0.31037069710444842</v>
      </c>
      <c r="H6" s="26">
        <f>D6</f>
        <v>30000</v>
      </c>
      <c r="I6" s="11">
        <f>(((2*F6)-H6)-(2*C6))</f>
        <v>15723.197122763086</v>
      </c>
      <c r="J6" s="18">
        <f>2*PI()*SQRT(POWER((H6+I6)/2+C6,3)/VLOOKUP(A6,Kerbodynamics!$A$2:$N$18,COLUMN(Kerbodynamics!$C$2:$C$18),FALSE))</f>
        <v>4728220.6762563623</v>
      </c>
    </row>
    <row r="7" spans="1:10" x14ac:dyDescent="0.25">
      <c r="A7" s="20" t="s">
        <v>24</v>
      </c>
      <c r="B7" s="24">
        <v>3</v>
      </c>
      <c r="C7" s="11">
        <f>VLOOKUP(A7,Kerbodynamics!$A$2:$N$18,COLUMN(Kerbodynamics!$B$2:$B$18),FALSE)</f>
        <v>6000</v>
      </c>
      <c r="D7" s="27">
        <v>2400000</v>
      </c>
      <c r="E7" s="25">
        <f>2*PI()*SQRT(POWER(D7+C7,3)/VLOOKUP(A7,Kerbodynamics!$A$2:$N$18,COLUMN(Kerbodynamics!$C$2:$C$18),FALSE))</f>
        <v>44115637.077939138</v>
      </c>
      <c r="F7" s="24">
        <f>(D7+C7)*(((B7-1)/B7)^(2/3))</f>
        <v>1836121.6450555443</v>
      </c>
      <c r="G7" s="12">
        <f>((H7+C7)/F7)-1</f>
        <v>0.3103706971044482</v>
      </c>
      <c r="H7" s="26">
        <f>D7</f>
        <v>2400000</v>
      </c>
      <c r="I7" s="11">
        <f>(((2*F7)-H7)-(2*C7))</f>
        <v>1260243.2901110887</v>
      </c>
      <c r="J7" s="18">
        <f>2*PI()*SQRT(POWER((H7+I7)/2+C7,3)/VLOOKUP(A7,Kerbodynamics!$A$2:$N$18,COLUMN(Kerbodynamics!$C$2:$C$18),FALSE))</f>
        <v>29410424.718626097</v>
      </c>
    </row>
    <row r="8" spans="1:10" x14ac:dyDescent="0.25">
      <c r="A8" s="20" t="s">
        <v>30</v>
      </c>
      <c r="B8" s="24">
        <v>3</v>
      </c>
      <c r="C8" s="11">
        <f>VLOOKUP(A8,Kerbodynamics!$A$2:$N$18,COLUMN(Kerbodynamics!$B$2:$B$18),FALSE)</f>
        <v>210</v>
      </c>
      <c r="D8" s="27">
        <v>100000</v>
      </c>
      <c r="E8" s="25">
        <f>2*PI()*SQRT(POWER(D8+C8,3)/VLOOKUP(A8,Kerbodynamics!$A$2:$N$18,COLUMN(Kerbodynamics!$C$2:$C$18),FALSE))</f>
        <v>23106194.82769629</v>
      </c>
      <c r="F8" s="24">
        <f>(D8+C8)*(((B8-1)/B8)^(2/3))</f>
        <v>76474.542830846258</v>
      </c>
      <c r="G8" s="12">
        <f>((H8+C8)/F8)-1</f>
        <v>0.3103706971044482</v>
      </c>
      <c r="H8" s="26">
        <f>D8</f>
        <v>100000</v>
      </c>
      <c r="I8" s="11">
        <f>(((2*F8)-H8)-(2*C8))</f>
        <v>52529.085661692516</v>
      </c>
      <c r="J8" s="18">
        <f>2*PI()*SQRT(POWER((H8+I8)/2+C8,3)/VLOOKUP(A8,Kerbodynamics!$A$2:$N$18,COLUMN(Kerbodynamics!$C$2:$C$18),FALSE))</f>
        <v>15404129.885130862</v>
      </c>
    </row>
    <row r="9" spans="1:10" x14ac:dyDescent="0.25">
      <c r="A9" s="20" t="s">
        <v>18</v>
      </c>
      <c r="B9" s="24">
        <v>5</v>
      </c>
      <c r="C9" s="11">
        <f>VLOOKUP(A9,Kerbodynamics!$A$2:$N$18,COLUMN(Kerbodynamics!$B$2:$B$18),FALSE)</f>
        <v>600</v>
      </c>
      <c r="D9" s="27">
        <v>2863.3340399377998</v>
      </c>
      <c r="E9" s="25">
        <f>2*PI()*SQRT(POWER(D9+C9,3)/VLOOKUP(A9,Kerbodynamics!$A$2:$N$18,COLUMN(Kerbodynamics!$C$2:$C$18),FALSE))</f>
        <v>21549.425000615887</v>
      </c>
      <c r="F9" s="24">
        <f>(D9+C9)*(((B9-1)/B9)^(2/3))</f>
        <v>2984.6107995241064</v>
      </c>
      <c r="G9" s="12">
        <f>((H9+C9)/F9)-1</f>
        <v>0.1603972084031946</v>
      </c>
      <c r="H9" s="26">
        <f>D9</f>
        <v>2863.3340399377998</v>
      </c>
      <c r="I9" s="11">
        <f>(((2*F9)-H9)-(2*C9))</f>
        <v>1905.8875591104129</v>
      </c>
      <c r="J9" s="18">
        <f>2*PI()*SQRT(POWER((H9+I9)/2+C9,3)/VLOOKUP(A9,Kerbodynamics!$A$2:$N$18,COLUMN(Kerbodynamics!$C$2:$C$18),FALSE))</f>
        <v>17239.540000492711</v>
      </c>
    </row>
    <row r="10" spans="1:10" x14ac:dyDescent="0.25">
      <c r="A10" s="20" t="s">
        <v>21</v>
      </c>
      <c r="B10" s="24">
        <v>7</v>
      </c>
      <c r="C10" s="11">
        <f>VLOOKUP(A10,Kerbodynamics!$A$2:$N$18,COLUMN(Kerbodynamics!$B$2:$B$18),FALSE)</f>
        <v>320</v>
      </c>
      <c r="D10" s="27">
        <v>34128</v>
      </c>
      <c r="E10" s="25">
        <f>2*PI()*SQRT(POWER(D10+C10,3)/VLOOKUP(A10,Kerbodynamics!$A$2:$N$18,COLUMN(Kerbodynamics!$C$2:$C$18),FALSE))</f>
        <v>2314092.7968708375</v>
      </c>
      <c r="F10" s="24">
        <f>(D10+C10)*(((B10-1)/B10)^(2/3))</f>
        <v>31083.70791715242</v>
      </c>
      <c r="G10" s="12">
        <f>((H10+C10)/F10)-1</f>
        <v>0.10823329352516264</v>
      </c>
      <c r="H10" s="26">
        <f>D10</f>
        <v>34128</v>
      </c>
      <c r="I10" s="11">
        <f>(((2*F10)-H10)-(2*C10))</f>
        <v>27399.41583430484</v>
      </c>
      <c r="J10" s="18">
        <f>2*PI()*SQRT(POWER((H10+I10)/2+C10,3)/VLOOKUP(A10,Kerbodynamics!$A$2:$N$18,COLUMN(Kerbodynamics!$C$2:$C$18),FALSE))</f>
        <v>1983508.1116035751</v>
      </c>
    </row>
    <row r="11" spans="1:10" x14ac:dyDescent="0.25">
      <c r="A11" s="20" t="s">
        <v>25</v>
      </c>
      <c r="B11" s="24">
        <v>9</v>
      </c>
      <c r="C11" s="11">
        <f>VLOOKUP(A11,Kerbodynamics!$A$2:$N$18,COLUMN(Kerbodynamics!$B$2:$B$18),FALSE)</f>
        <v>500</v>
      </c>
      <c r="D11" s="27">
        <v>666.20422743143195</v>
      </c>
      <c r="E11" s="25">
        <f>2*PI()*SQRT(POWER(D11+C11,3)/VLOOKUP(A11,Kerbodynamics!$A$2:$N$18,COLUMN(Kerbodynamics!$C$2:$C$18),FALSE))</f>
        <v>5649.2693769404286</v>
      </c>
      <c r="F11" s="24">
        <f>(D11+C11)*(((B11-1)/B11)^(2/3))</f>
        <v>1078.1344657132734</v>
      </c>
      <c r="G11" s="12">
        <f>((H11+C11)/F11)-1</f>
        <v>8.1687177730556337E-2</v>
      </c>
      <c r="H11" s="26">
        <f>D11</f>
        <v>666.20422743143195</v>
      </c>
      <c r="I11" s="11">
        <f>(((2*F11)-H11)-(2*C11))</f>
        <v>490.06470399511477</v>
      </c>
      <c r="J11" s="18">
        <f>2*PI()*SQRT(POWER((H11+I11)/2+C11,3)/VLOOKUP(A11,Kerbodynamics!$A$2:$N$18,COLUMN(Kerbodynamics!$C$2:$C$18),FALSE))</f>
        <v>5021.5727795026032</v>
      </c>
    </row>
    <row r="12" spans="1:10" x14ac:dyDescent="0.25">
      <c r="A12" s="20" t="s">
        <v>22</v>
      </c>
      <c r="B12" s="24">
        <v>10</v>
      </c>
      <c r="C12" s="11">
        <f>VLOOKUP(A12,Kerbodynamics!$A$2:$N$18,COLUMN(Kerbodynamics!$B$2:$B$18),FALSE)</f>
        <v>130</v>
      </c>
      <c r="D12" s="27">
        <v>288</v>
      </c>
      <c r="E12" s="25">
        <f>2*PI()*SQRT(POWER(D12+C12,3)/VLOOKUP(A12,Kerbodynamics!$A$2:$N$18,COLUMN(Kerbodynamics!$C$2:$C$18),FALSE))</f>
        <v>12461.12957534132</v>
      </c>
      <c r="F12" s="24">
        <f>(D12+C12)*(((B12-1)/B12)^(2/3))</f>
        <v>389.64695624661391</v>
      </c>
      <c r="G12" s="12">
        <f>((H12+C12)/F12)-1</f>
        <v>7.2765982895144132E-2</v>
      </c>
      <c r="H12" s="26">
        <f>D12</f>
        <v>288</v>
      </c>
      <c r="I12" s="11">
        <f>(((2*F12)-H12)-(2*C12))</f>
        <v>231.29391249322782</v>
      </c>
      <c r="J12" s="18">
        <f>2*PI()*SQRT(POWER((H12+I12)/2+C12,3)/VLOOKUP(A12,Kerbodynamics!$A$2:$N$18,COLUMN(Kerbodynamics!$C$2:$C$18),FALSE))</f>
        <v>11215.01661780719</v>
      </c>
    </row>
    <row r="13" spans="1:10" x14ac:dyDescent="0.25">
      <c r="A13" s="20" t="s">
        <v>18</v>
      </c>
      <c r="B13" s="24">
        <v>3</v>
      </c>
      <c r="C13" s="11">
        <f>VLOOKUP(A13,Kerbodynamics!$A$2:$N$18,COLUMN(Kerbodynamics!$B$2:$B$18),FALSE)</f>
        <v>600</v>
      </c>
      <c r="D13" s="27">
        <v>30076.461164172</v>
      </c>
      <c r="E13" s="25">
        <f>2*PI()*SQRT(POWER(D13+C13,3)/VLOOKUP(A13,Kerbodynamics!$A$2:$N$18,COLUMN(Kerbodynamics!$C$2:$C$18),FALSE))</f>
        <v>568070.19177298364</v>
      </c>
      <c r="F13" s="24">
        <f>(D13+C13)*(((B13-1)/B13)^(2/3))</f>
        <v>23410.521337174567</v>
      </c>
      <c r="G13" s="12">
        <f>((H13+C13)/F13)-1</f>
        <v>0.31037069710444842</v>
      </c>
      <c r="H13" s="26">
        <f>D13</f>
        <v>30076.461164172</v>
      </c>
      <c r="I13" s="11">
        <f>(((2*F13)-H13)-(2*C13))</f>
        <v>15544.581510177133</v>
      </c>
      <c r="J13" s="18">
        <f>2*PI()*SQRT(POWER((H13+I13)/2+C13,3)/VLOOKUP(A13,Kerbodynamics!$A$2:$N$18,COLUMN(Kerbodynamics!$C$2:$C$18),FALSE))</f>
        <v>378713.46118198906</v>
      </c>
    </row>
    <row r="14" spans="1:10" x14ac:dyDescent="0.25">
      <c r="A14" s="20" t="s">
        <v>19</v>
      </c>
      <c r="B14" s="24">
        <v>5</v>
      </c>
      <c r="C14" s="11">
        <f>VLOOKUP(A14,Kerbodynamics!$A$2:$N$18,COLUMN(Kerbodynamics!$B$2:$B$18),FALSE)</f>
        <v>200</v>
      </c>
      <c r="D14" s="27">
        <v>1000.9431550283637</v>
      </c>
      <c r="E14" s="25">
        <f>2*PI()*SQRT(POWER(D14+C14,3)/VLOOKUP(A14,Kerbodynamics!$A$2:$N$18,COLUMN(Kerbodynamics!$C$2:$C$18),FALSE))</f>
        <v>32399.99986513297</v>
      </c>
      <c r="F14" s="24">
        <f>(D14+C14)*(((B14-1)/B14)^(2/3))</f>
        <v>1034.9414375797783</v>
      </c>
      <c r="G14" s="12">
        <f>((H14+C14)/F14)-1</f>
        <v>0.16039720840319438</v>
      </c>
      <c r="H14" s="26">
        <f>D14</f>
        <v>1000.9431550283637</v>
      </c>
      <c r="I14" s="11">
        <f>(((2*F14)-H14)-(2*C14))</f>
        <v>668.93972013119287</v>
      </c>
      <c r="J14" s="18">
        <f>2*PI()*SQRT(POWER((H14+I14)/2+C14,3)/VLOOKUP(A14,Kerbodynamics!$A$2:$N$18,COLUMN(Kerbodynamics!$C$2:$C$18),FALSE))</f>
        <v>25919.999892106382</v>
      </c>
    </row>
    <row r="15" spans="1:10" x14ac:dyDescent="0.25">
      <c r="A15" s="20" t="s">
        <v>24</v>
      </c>
      <c r="B15" s="24">
        <v>3</v>
      </c>
      <c r="C15" s="11">
        <f>VLOOKUP(A15,Kerbodynamics!$A$2:$N$18,COLUMN(Kerbodynamics!$B$2:$B$18),FALSE)</f>
        <v>6000</v>
      </c>
      <c r="D15" s="22">
        <v>133382</v>
      </c>
      <c r="E15" s="25">
        <f>2*PI()*SQRT(POWER(D15+C15,3)/VLOOKUP(A15,Kerbodynamics!$A$2:$N$18,COLUMN(Kerbodynamics!$C$2:$C$18),FALSE))</f>
        <v>615119.02385361423</v>
      </c>
      <c r="F15" s="24">
        <f>(D15+C15)*(((B15-1)/B15)^(2/3))</f>
        <v>106368.37370371234</v>
      </c>
      <c r="G15" s="12">
        <f>((H15+C15)/F15)-1</f>
        <v>0.3103706971044482</v>
      </c>
      <c r="H15" s="26">
        <f>D15</f>
        <v>133382</v>
      </c>
      <c r="I15" s="11">
        <f>(((2*F15)-H15)-(2*C15))</f>
        <v>67354.747407424671</v>
      </c>
      <c r="J15" s="18">
        <f>2*PI()*SQRT(POWER((H15+I15)/2+C15,3)/VLOOKUP(A15,Kerbodynamics!$A$2:$N$18,COLUMN(Kerbodynamics!$C$2:$C$18),FALSE))</f>
        <v>410079.34923574293</v>
      </c>
    </row>
    <row r="16" spans="1:10" x14ac:dyDescent="0.25">
      <c r="A16" s="20" t="s">
        <v>18</v>
      </c>
      <c r="B16" s="24">
        <v>16</v>
      </c>
      <c r="C16" s="11">
        <f>VLOOKUP(A16,Kerbodynamics!$A$2:$N$18,COLUMN(Kerbodynamics!$B$2:$B$18),FALSE)</f>
        <v>600</v>
      </c>
      <c r="D16" s="22">
        <v>19088</v>
      </c>
      <c r="E16" s="25">
        <f>2*PI()*SQRT(POWER(D16+C16,3)/VLOOKUP(A16,Kerbodynamics!$A$2:$N$18,COLUMN(Kerbodynamics!$C$2:$C$18),FALSE))</f>
        <v>292076.43246099708</v>
      </c>
      <c r="F16" s="24">
        <f>(D16+C16)*(((B16-1)/B16)^(2/3))</f>
        <v>18858.875131205343</v>
      </c>
      <c r="G16" s="12">
        <f>((H16+C16)/F16)-1</f>
        <v>4.3964704311696856E-2</v>
      </c>
      <c r="H16" s="26">
        <f>D16</f>
        <v>19088</v>
      </c>
      <c r="I16" s="11">
        <f>(((2*F16)-H16)-(2*C16))</f>
        <v>17429.750262410686</v>
      </c>
      <c r="J16" s="18">
        <f>2*PI()*SQRT(POWER((H16+I16)/2+C16,3)/VLOOKUP(A16,Kerbodynamics!$A$2:$N$18,COLUMN(Kerbodynamics!$C$2:$C$18),FALSE))</f>
        <v>273821.65543218481</v>
      </c>
    </row>
    <row r="17" spans="1:10" x14ac:dyDescent="0.25">
      <c r="A17" s="20" t="s">
        <v>18</v>
      </c>
      <c r="B17" s="24">
        <v>7</v>
      </c>
      <c r="C17" s="11">
        <f>VLOOKUP(A17,Kerbodynamics!$A$2:$N$18,COLUMN(Kerbodynamics!$B$2:$B$18),FALSE)</f>
        <v>600</v>
      </c>
      <c r="D17" s="27">
        <v>11260.249409837001</v>
      </c>
      <c r="E17" s="25">
        <f>2*PI()*SQRT(POWER(D17+C17,3)/VLOOKUP(A17,Kerbodynamics!$A$2:$N$18,COLUMN(Kerbodynamics!$C$2:$C$18),FALSE))</f>
        <v>136563.56551466958</v>
      </c>
      <c r="F17" s="24">
        <f>(D17+C17)*(((B17-1)/B17)^(2/3))</f>
        <v>10701.942884346048</v>
      </c>
      <c r="G17" s="12">
        <f>((H17+C17)/F17)-1</f>
        <v>0.10823329352516264</v>
      </c>
      <c r="H17" s="26">
        <f>D17</f>
        <v>11260.249409837001</v>
      </c>
      <c r="I17" s="11">
        <f>(((2*F17)-H17)-(2*C17))</f>
        <v>8943.6363588550958</v>
      </c>
      <c r="J17" s="18">
        <f>2*PI()*SQRT(POWER((H17+I17)/2+C17,3)/VLOOKUP(A17,Kerbodynamics!$A$2:$N$18,COLUMN(Kerbodynamics!$C$2:$C$18),FALSE))</f>
        <v>117054.48472685963</v>
      </c>
    </row>
    <row r="18" spans="1:10" x14ac:dyDescent="0.25">
      <c r="A18" s="20" t="s">
        <v>18</v>
      </c>
      <c r="B18" s="24">
        <v>5</v>
      </c>
      <c r="C18" s="11">
        <f>VLOOKUP(A18,Kerbodynamics!$A$2:$N$18,COLUMN(Kerbodynamics!$B$2:$B$18),FALSE)</f>
        <v>600</v>
      </c>
      <c r="D18" s="27">
        <v>30800</v>
      </c>
      <c r="E18" s="25">
        <f>2*PI()*SQRT(POWER(D18+C18,3)/VLOOKUP(A18,Kerbodynamics!$A$2:$N$18,COLUMN(Kerbodynamics!$C$2:$C$18),FALSE))</f>
        <v>588286.09915740893</v>
      </c>
      <c r="F18" s="24">
        <f>(D18+C18)*(((B18-1)/B18)^(2/3))</f>
        <v>27059.699706800464</v>
      </c>
      <c r="G18" s="12">
        <f>((H18+C18)/F18)-1</f>
        <v>0.1603972084031946</v>
      </c>
      <c r="H18" s="26">
        <f>D18</f>
        <v>30800</v>
      </c>
      <c r="I18" s="11">
        <f>(((2*F18)-H18)-(2*C18))</f>
        <v>22119.399413600928</v>
      </c>
      <c r="J18" s="18">
        <f>2*PI()*SQRT(POWER((H18+I18)/2+C18,3)/VLOOKUP(A18,Kerbodynamics!$A$2:$N$18,COLUMN(Kerbodynamics!$C$2:$C$18),FALSE))</f>
        <v>470628.87932592724</v>
      </c>
    </row>
    <row r="19" spans="1:10" ht="15.75" thickBot="1" x14ac:dyDescent="0.3">
      <c r="A19" s="29" t="s">
        <v>18</v>
      </c>
      <c r="B19" s="34">
        <v>3</v>
      </c>
      <c r="C19" s="31">
        <f>VLOOKUP(A19,Kerbodynamics!$A$2:$N$18,COLUMN(Kerbodynamics!$B$2:$B$18),FALSE)</f>
        <v>600</v>
      </c>
      <c r="D19" s="32">
        <v>3000</v>
      </c>
      <c r="E19" s="35">
        <f>2*PI()*SQRT(POWER(D19+C19,3)/VLOOKUP(A19,Kerbodynamics!$A$2:$N$18,COLUMN(Kerbodynamics!$C$2:$C$18),FALSE))</f>
        <v>22837.463457189886</v>
      </c>
      <c r="F19" s="34">
        <f>(D19+C19)*(((B19-1)/B19)^(2/3))</f>
        <v>2747.3141821279964</v>
      </c>
      <c r="G19" s="31">
        <f>((H19+C19)/F19)-1</f>
        <v>0.31037069710444842</v>
      </c>
      <c r="H19" s="36">
        <f>D19</f>
        <v>3000</v>
      </c>
      <c r="I19" s="31">
        <f>(((2*F19)-H19)-(2*C19))</f>
        <v>1294.6283642559929</v>
      </c>
      <c r="J19" s="48">
        <f>2*PI()*SQRT(POWER((H19+I19)/2+C19,3)/VLOOKUP(A19,Kerbodynamics!$A$2:$N$18,COLUMN(Kerbodynamics!$C$2:$C$18),FALSE))</f>
        <v>15224.975638126591</v>
      </c>
    </row>
  </sheetData>
  <mergeCells count="3">
    <mergeCell ref="A1:J1"/>
    <mergeCell ref="B2:D2"/>
    <mergeCell ref="F2:I2"/>
  </mergeCells>
  <dataValidations count="1">
    <dataValidation type="list" allowBlank="1" showInputMessage="1" showErrorMessage="1" sqref="A4:A19" xr:uid="{00000000-0002-0000-0000-000000000000}">
      <formula1>$A$2:$A$18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Kerbodynamics</vt:lpstr>
      <vt:lpstr>Orbital</vt:lpstr>
      <vt:lpstr>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2022-12-07T16:28:27Z</dcterms:created>
  <dcterms:modified xsi:type="dcterms:W3CDTF">2023-08-27T20:51:00Z</dcterms:modified>
</cp:coreProperties>
</file>