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DataScience\STAT 202\"/>
    </mc:Choice>
  </mc:AlternateContent>
  <xr:revisionPtr revIDLastSave="0" documentId="13_ncr:1_{568A6E90-2BDC-435B-AF0A-3C4E38703489}" xr6:coauthVersionLast="47" xr6:coauthVersionMax="47" xr10:uidLastSave="{00000000-0000-0000-0000-000000000000}"/>
  <bookViews>
    <workbookView xWindow="13305" yWindow="2040" windowWidth="15195" windowHeight="11325" xr2:uid="{00000000-000D-0000-FFFF-FFFF00000000}"/>
  </bookViews>
  <sheets>
    <sheet name="Sheet1" sheetId="1" r:id="rId1"/>
    <sheet name="season" sheetId="5" r:id="rId2"/>
    <sheet name="exp sm" sheetId="6" r:id="rId3"/>
    <sheet name="Tukey" sheetId="2" r:id="rId4"/>
  </sheets>
  <definedNames>
    <definedName name="_xlnm.Print_Area" localSheetId="1">season!$A$1:$Q$39</definedName>
    <definedName name="_xlnm.Print_Area" localSheetId="0">Sheet1!$I$1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1" i="1" l="1"/>
  <c r="E349" i="1"/>
  <c r="E347" i="1"/>
  <c r="F6" i="5"/>
  <c r="G2" i="6"/>
  <c r="I34" i="6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3" i="6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H3" i="6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L2" i="6"/>
  <c r="N2" i="6" s="1"/>
  <c r="H2" i="6"/>
  <c r="D2" i="6"/>
  <c r="I6" i="5"/>
  <c r="M3" i="6" l="1"/>
  <c r="N3" i="6"/>
  <c r="N4" i="6"/>
  <c r="M4" i="6"/>
  <c r="H4" i="6"/>
  <c r="G4" i="6"/>
  <c r="G3" i="6"/>
  <c r="F53" i="6"/>
  <c r="E53" i="6"/>
  <c r="D53" i="6"/>
  <c r="M2" i="6"/>
  <c r="N5" i="6" l="1"/>
  <c r="M5" i="6"/>
  <c r="G5" i="6"/>
  <c r="H5" i="6"/>
  <c r="N6" i="6" l="1"/>
  <c r="M6" i="6"/>
  <c r="H6" i="6"/>
  <c r="G6" i="6"/>
  <c r="N7" i="6" l="1"/>
  <c r="M7" i="6"/>
  <c r="G7" i="6"/>
  <c r="H7" i="6"/>
  <c r="N8" i="6" l="1"/>
  <c r="M8" i="6"/>
  <c r="G8" i="6"/>
  <c r="H8" i="6"/>
  <c r="N9" i="6" l="1"/>
  <c r="M9" i="6"/>
  <c r="G9" i="6"/>
  <c r="H9" i="6"/>
  <c r="N10" i="6" l="1"/>
  <c r="M10" i="6"/>
  <c r="H10" i="6"/>
  <c r="G10" i="6"/>
  <c r="M11" i="6" l="1"/>
  <c r="N11" i="6"/>
  <c r="G11" i="6"/>
  <c r="H11" i="6"/>
  <c r="N12" i="6" l="1"/>
  <c r="M12" i="6"/>
  <c r="H12" i="6"/>
  <c r="G12" i="6"/>
  <c r="N13" i="6" l="1"/>
  <c r="M13" i="6"/>
  <c r="G13" i="6"/>
  <c r="H13" i="6"/>
  <c r="N14" i="6" l="1"/>
  <c r="M14" i="6"/>
  <c r="H14" i="6"/>
  <c r="G14" i="6"/>
  <c r="M15" i="6" l="1"/>
  <c r="N15" i="6"/>
  <c r="G15" i="6"/>
  <c r="H15" i="6"/>
  <c r="N16" i="6" l="1"/>
  <c r="M16" i="6"/>
  <c r="G16" i="6"/>
  <c r="H16" i="6"/>
  <c r="N17" i="6" l="1"/>
  <c r="M17" i="6"/>
  <c r="G17" i="6"/>
  <c r="H17" i="6"/>
  <c r="N18" i="6" l="1"/>
  <c r="M18" i="6"/>
  <c r="G18" i="6"/>
  <c r="H18" i="6"/>
  <c r="M19" i="6" l="1"/>
  <c r="N19" i="6"/>
  <c r="G19" i="6"/>
  <c r="H19" i="6"/>
  <c r="N20" i="6" l="1"/>
  <c r="M20" i="6"/>
  <c r="H20" i="6"/>
  <c r="G20" i="6"/>
  <c r="N21" i="6" l="1"/>
  <c r="M21" i="6"/>
  <c r="G21" i="6"/>
  <c r="H21" i="6"/>
  <c r="N22" i="6" l="1"/>
  <c r="M22" i="6"/>
  <c r="H22" i="6"/>
  <c r="G22" i="6"/>
  <c r="N23" i="6" l="1"/>
  <c r="M23" i="6"/>
  <c r="G23" i="6"/>
  <c r="H23" i="6"/>
  <c r="N24" i="6" l="1"/>
  <c r="M24" i="6"/>
  <c r="G24" i="6"/>
  <c r="H24" i="6"/>
  <c r="N25" i="6" l="1"/>
  <c r="M25" i="6"/>
  <c r="H25" i="6"/>
  <c r="G25" i="6"/>
  <c r="N26" i="6" l="1"/>
  <c r="M26" i="6"/>
  <c r="G26" i="6"/>
  <c r="H26" i="6"/>
  <c r="M27" i="6" l="1"/>
  <c r="N27" i="6"/>
  <c r="G27" i="6"/>
  <c r="H27" i="6"/>
  <c r="N28" i="6" l="1"/>
  <c r="M28" i="6"/>
  <c r="H28" i="6"/>
  <c r="G28" i="6"/>
  <c r="N29" i="6" l="1"/>
  <c r="M29" i="6"/>
  <c r="G29" i="6"/>
  <c r="H29" i="6"/>
  <c r="N30" i="6" l="1"/>
  <c r="M30" i="6"/>
  <c r="H30" i="6"/>
  <c r="G30" i="6"/>
  <c r="M31" i="6" l="1"/>
  <c r="N31" i="6"/>
  <c r="G31" i="6"/>
  <c r="H31" i="6"/>
  <c r="N32" i="6" l="1"/>
  <c r="M32" i="6"/>
  <c r="H32" i="6"/>
  <c r="G32" i="6"/>
  <c r="N33" i="6" l="1"/>
  <c r="M33" i="6"/>
  <c r="G33" i="6"/>
  <c r="H33" i="6"/>
  <c r="N34" i="6" l="1"/>
  <c r="M34" i="6"/>
  <c r="G34" i="6"/>
  <c r="H34" i="6"/>
  <c r="N35" i="6" l="1"/>
  <c r="M35" i="6"/>
  <c r="G35" i="6"/>
  <c r="H35" i="6"/>
  <c r="N36" i="6" l="1"/>
  <c r="M36" i="6"/>
  <c r="H36" i="6"/>
  <c r="G36" i="6"/>
  <c r="N37" i="6" l="1"/>
  <c r="M37" i="6"/>
  <c r="G37" i="6"/>
  <c r="H37" i="6"/>
  <c r="N38" i="6" l="1"/>
  <c r="M38" i="6"/>
  <c r="H38" i="6"/>
  <c r="G38" i="6"/>
  <c r="M39" i="6" l="1"/>
  <c r="N39" i="6"/>
  <c r="G39" i="6"/>
  <c r="H39" i="6"/>
  <c r="N40" i="6" l="1"/>
  <c r="M40" i="6"/>
  <c r="H40" i="6"/>
  <c r="G40" i="6"/>
  <c r="N41" i="6" l="1"/>
  <c r="M41" i="6"/>
  <c r="G41" i="6"/>
  <c r="H41" i="6"/>
  <c r="N42" i="6" l="1"/>
  <c r="M42" i="6"/>
  <c r="G42" i="6"/>
  <c r="H42" i="6"/>
  <c r="M43" i="6" l="1"/>
  <c r="N43" i="6"/>
  <c r="G43" i="6"/>
  <c r="H43" i="6"/>
  <c r="N44" i="6" l="1"/>
  <c r="M44" i="6"/>
  <c r="H44" i="6"/>
  <c r="G44" i="6"/>
  <c r="N45" i="6" l="1"/>
  <c r="M45" i="6"/>
  <c r="G45" i="6"/>
  <c r="H45" i="6"/>
  <c r="N46" i="6" l="1"/>
  <c r="M46" i="6"/>
  <c r="H46" i="6"/>
  <c r="G46" i="6"/>
  <c r="M47" i="6" l="1"/>
  <c r="N47" i="6"/>
  <c r="G47" i="6"/>
  <c r="H47" i="6"/>
  <c r="N48" i="6" l="1"/>
  <c r="M48" i="6"/>
  <c r="H48" i="6"/>
  <c r="G48" i="6"/>
  <c r="N49" i="6" l="1"/>
  <c r="M49" i="6"/>
  <c r="G49" i="6"/>
  <c r="H49" i="6"/>
  <c r="N50" i="6" l="1"/>
  <c r="M50" i="6"/>
  <c r="G50" i="6"/>
  <c r="H50" i="6"/>
  <c r="N51" i="6" l="1"/>
  <c r="M51" i="6"/>
  <c r="G51" i="6"/>
  <c r="H51" i="6"/>
  <c r="N52" i="6" l="1"/>
  <c r="N53" i="6" s="1"/>
  <c r="M52" i="6"/>
  <c r="M53" i="6" s="1"/>
  <c r="H52" i="6"/>
  <c r="H53" i="6" s="1"/>
  <c r="G52" i="6"/>
  <c r="G53" i="6" s="1"/>
  <c r="G360" i="1" l="1"/>
  <c r="E357" i="1"/>
  <c r="G358" i="1" s="1"/>
  <c r="E361" i="1"/>
  <c r="E275" i="1"/>
  <c r="I4" i="5"/>
  <c r="I5" i="5"/>
  <c r="G6" i="5"/>
  <c r="F7" i="5"/>
  <c r="G7" i="5"/>
  <c r="I7" i="5"/>
  <c r="F8" i="5"/>
  <c r="G8" i="5"/>
  <c r="I8" i="5"/>
  <c r="F9" i="5"/>
  <c r="G9" i="5" s="1"/>
  <c r="I9" i="5"/>
  <c r="F10" i="5"/>
  <c r="G10" i="5" s="1"/>
  <c r="I10" i="5"/>
  <c r="F11" i="5"/>
  <c r="G11" i="5"/>
  <c r="I11" i="5"/>
  <c r="F12" i="5"/>
  <c r="G12" i="5"/>
  <c r="I12" i="5"/>
  <c r="F13" i="5"/>
  <c r="G13" i="5"/>
  <c r="I13" i="5"/>
  <c r="F14" i="5"/>
  <c r="G14" i="5" s="1"/>
  <c r="I14" i="5"/>
  <c r="F15" i="5"/>
  <c r="G15" i="5"/>
  <c r="I15" i="5"/>
  <c r="F16" i="5"/>
  <c r="G16" i="5"/>
  <c r="I16" i="5"/>
  <c r="F17" i="5"/>
  <c r="G17" i="5" s="1"/>
  <c r="I17" i="5"/>
  <c r="F18" i="5"/>
  <c r="G18" i="5" s="1"/>
  <c r="I18" i="5"/>
  <c r="F19" i="5"/>
  <c r="G19" i="5"/>
  <c r="I19" i="5"/>
  <c r="F20" i="5"/>
  <c r="G20" i="5"/>
  <c r="I20" i="5"/>
  <c r="F21" i="5"/>
  <c r="G21" i="5"/>
  <c r="I21" i="5"/>
  <c r="F22" i="5"/>
  <c r="G22" i="5" s="1"/>
  <c r="I22" i="5"/>
  <c r="F23" i="5"/>
  <c r="G23" i="5"/>
  <c r="I23" i="5"/>
  <c r="F24" i="5"/>
  <c r="G24" i="5"/>
  <c r="I24" i="5"/>
  <c r="F25" i="5"/>
  <c r="G25" i="5" s="1"/>
  <c r="I25" i="5"/>
  <c r="I26" i="5"/>
  <c r="I27" i="5"/>
  <c r="I31" i="5"/>
  <c r="J31" i="5"/>
  <c r="I32" i="5"/>
  <c r="J32" i="5" s="1"/>
  <c r="I33" i="5"/>
  <c r="J33" i="5"/>
  <c r="I34" i="5"/>
  <c r="J34" i="5" s="1"/>
  <c r="A378" i="1"/>
  <c r="E374" i="1"/>
  <c r="E375" i="1"/>
  <c r="E372" i="1"/>
  <c r="E371" i="1"/>
  <c r="E368" i="1"/>
  <c r="E373" i="1" l="1"/>
  <c r="E202" i="1" l="1"/>
  <c r="E286" i="1"/>
  <c r="E274" i="1"/>
  <c r="E197" i="1"/>
  <c r="E307" i="1" l="1"/>
  <c r="E297" i="1" l="1"/>
  <c r="E295" i="1"/>
  <c r="E289" i="1" l="1"/>
  <c r="E291" i="1" l="1"/>
  <c r="E290" i="1"/>
  <c r="E287" i="1"/>
  <c r="E288" i="1"/>
  <c r="C296" i="1"/>
  <c r="E253" i="1"/>
  <c r="E252" i="1"/>
  <c r="E268" i="1"/>
  <c r="E269" i="1"/>
  <c r="E270" i="1"/>
  <c r="E254" i="1" l="1"/>
  <c r="E272" i="1"/>
  <c r="E273" i="1"/>
  <c r="E220" i="1"/>
  <c r="E279" i="1"/>
  <c r="E278" i="1"/>
  <c r="E277" i="1"/>
  <c r="E262" i="1"/>
  <c r="E234" i="1"/>
  <c r="E235" i="1"/>
  <c r="E261" i="1"/>
  <c r="E260" i="1"/>
  <c r="E219" i="1"/>
  <c r="E217" i="1"/>
  <c r="E218" i="1" s="1"/>
  <c r="E226" i="1"/>
  <c r="E228" i="1" s="1"/>
  <c r="E225" i="1"/>
  <c r="E231" i="1" s="1"/>
  <c r="E216" i="1"/>
  <c r="G220" i="1" s="1"/>
  <c r="E246" i="1"/>
  <c r="E247" i="1" s="1"/>
  <c r="E244" i="1"/>
  <c r="E245" i="1" s="1"/>
  <c r="G282" i="1" l="1"/>
  <c r="G279" i="1" s="1"/>
  <c r="E237" i="1"/>
  <c r="E271" i="1"/>
  <c r="G219" i="1"/>
  <c r="I228" i="1"/>
  <c r="E229" i="1"/>
  <c r="E230" i="1" s="1"/>
  <c r="H228" i="1" s="1"/>
  <c r="I218" i="1"/>
  <c r="E236" i="1"/>
  <c r="G217" i="1"/>
  <c r="I282" i="1"/>
  <c r="H217" i="1"/>
  <c r="I217" i="1"/>
  <c r="E227" i="1"/>
  <c r="G268" i="1"/>
  <c r="H282" i="1"/>
  <c r="H279" i="1" s="1"/>
  <c r="I280" i="1"/>
  <c r="I283" i="1"/>
  <c r="I281" i="1"/>
  <c r="G280" i="1"/>
  <c r="G281" i="1"/>
  <c r="E264" i="1"/>
  <c r="E263" i="1"/>
  <c r="E265" i="1"/>
  <c r="G229" i="1"/>
  <c r="I229" i="1"/>
  <c r="H229" i="1"/>
  <c r="E249" i="1"/>
  <c r="E248" i="1"/>
  <c r="I271" i="1" l="1"/>
  <c r="H272" i="1"/>
  <c r="I272" i="1" s="1"/>
  <c r="I279" i="1"/>
  <c r="E255" i="1"/>
  <c r="E256" i="1" s="1"/>
  <c r="G238" i="1"/>
  <c r="G272" i="1"/>
  <c r="I273" i="1" s="1"/>
  <c r="G228" i="1"/>
  <c r="E238" i="1"/>
  <c r="G237" i="1" s="1"/>
  <c r="E239" i="1"/>
  <c r="H237" i="1" s="1"/>
  <c r="G271" i="1"/>
  <c r="H271" i="1"/>
  <c r="E240" i="1"/>
  <c r="I237" i="1" s="1"/>
  <c r="I238" i="1"/>
  <c r="H238" i="1"/>
  <c r="E258" i="1" l="1"/>
  <c r="E257" i="1"/>
  <c r="E190" i="1"/>
  <c r="C126" i="1"/>
  <c r="E108" i="1"/>
  <c r="D121" i="1"/>
  <c r="E121" i="1" s="1"/>
  <c r="C120" i="1"/>
  <c r="E185" i="1"/>
  <c r="E146" i="1"/>
  <c r="C105" i="1"/>
  <c r="E348" i="1"/>
  <c r="E339" i="1" l="1"/>
  <c r="E147" i="1"/>
  <c r="E144" i="1"/>
  <c r="E145" i="1" s="1"/>
  <c r="E344" i="1"/>
  <c r="E345" i="1" s="1"/>
  <c r="E341" i="1"/>
  <c r="E351" i="1"/>
  <c r="G355" i="1"/>
  <c r="E354" i="1" l="1"/>
  <c r="E355" i="1"/>
  <c r="G354" i="1"/>
  <c r="E352" i="1"/>
  <c r="G352" i="1"/>
  <c r="G351" i="1"/>
  <c r="E333" i="1" l="1"/>
  <c r="G336" i="1" s="1"/>
  <c r="I334" i="1"/>
  <c r="H334" i="1"/>
  <c r="G334" i="1"/>
  <c r="E212" i="1"/>
  <c r="I202" i="1"/>
  <c r="E196" i="1"/>
  <c r="E209" i="1"/>
  <c r="E208" i="1"/>
  <c r="E207" i="1"/>
  <c r="I196" i="1"/>
  <c r="E195" i="1"/>
  <c r="I190" i="1"/>
  <c r="C136" i="1"/>
  <c r="G151" i="1"/>
  <c r="E201" i="1"/>
  <c r="E203" i="1" s="1"/>
  <c r="E204" i="1" s="1"/>
  <c r="E189" i="1"/>
  <c r="E191" i="1" s="1"/>
  <c r="E176" i="1"/>
  <c r="E177" i="1" s="1"/>
  <c r="E180" i="1"/>
  <c r="E181" i="1" s="1"/>
  <c r="E169" i="1"/>
  <c r="C173" i="1"/>
  <c r="E170" i="1" s="1"/>
  <c r="E158" i="1"/>
  <c r="E165" i="1"/>
  <c r="E166" i="1" s="1"/>
  <c r="E162" i="1"/>
  <c r="E156" i="1"/>
  <c r="E171" i="1"/>
  <c r="G170" i="1"/>
  <c r="E163" i="1"/>
  <c r="E164" i="1" s="1"/>
  <c r="E157" i="1"/>
  <c r="E151" i="1"/>
  <c r="E140" i="1"/>
  <c r="E142" i="1" s="1"/>
  <c r="E139" i="1"/>
  <c r="I78" i="1"/>
  <c r="I85" i="1"/>
  <c r="I95" i="1"/>
  <c r="C131" i="1"/>
  <c r="E131" i="1" s="1"/>
  <c r="C100" i="1"/>
  <c r="C42" i="1"/>
  <c r="E127" i="1"/>
  <c r="C127" i="1"/>
  <c r="E114" i="1"/>
  <c r="E113" i="1"/>
  <c r="G113" i="1"/>
  <c r="E109" i="1"/>
  <c r="E110" i="1" s="1"/>
  <c r="G108" i="1"/>
  <c r="C106" i="1"/>
  <c r="G14" i="1"/>
  <c r="G13" i="1"/>
  <c r="G15" i="1"/>
  <c r="J15" i="1"/>
  <c r="J14" i="1"/>
  <c r="F23" i="1"/>
  <c r="D31" i="1"/>
  <c r="C32" i="1"/>
  <c r="C72" i="1"/>
  <c r="C71" i="1"/>
  <c r="E70" i="1"/>
  <c r="G70" i="1" s="1"/>
  <c r="E69" i="1"/>
  <c r="G69" i="1" s="1"/>
  <c r="E64" i="1"/>
  <c r="G64" i="1" s="1"/>
  <c r="C58" i="1"/>
  <c r="C57" i="1"/>
  <c r="H50" i="1"/>
  <c r="F50" i="1"/>
  <c r="F89" i="1"/>
  <c r="D93" i="1" s="1"/>
  <c r="B10" i="1"/>
  <c r="C8" i="1"/>
  <c r="E210" i="1" l="1"/>
  <c r="I197" i="1"/>
  <c r="I336" i="1"/>
  <c r="H336" i="1"/>
  <c r="E334" i="1"/>
  <c r="H335" i="1"/>
  <c r="I335" i="1"/>
  <c r="G335" i="1"/>
  <c r="D111" i="1"/>
  <c r="F111" i="1" s="1"/>
  <c r="E172" i="1"/>
  <c r="E174" i="1" s="1"/>
  <c r="E159" i="1"/>
  <c r="G191" i="1"/>
  <c r="C154" i="1"/>
  <c r="E150" i="1" s="1"/>
  <c r="E152" i="1" s="1"/>
  <c r="E153" i="1" s="1"/>
  <c r="E167" i="1"/>
  <c r="E141" i="1"/>
  <c r="E160" i="1"/>
  <c r="E148" i="1"/>
  <c r="D94" i="1"/>
  <c r="E115" i="1"/>
  <c r="D116" i="1" s="1"/>
  <c r="F116" i="1" s="1"/>
  <c r="I15" i="1"/>
  <c r="G18" i="1"/>
  <c r="G17" i="1"/>
  <c r="G16" i="1"/>
  <c r="B5" i="1"/>
  <c r="C3" i="1"/>
  <c r="C4" i="1"/>
  <c r="C2" i="1"/>
  <c r="E122" i="1"/>
  <c r="G122" i="1" s="1"/>
  <c r="G121" i="1"/>
  <c r="F93" i="1"/>
  <c r="E84" i="1"/>
  <c r="G84" i="1" s="1"/>
  <c r="E83" i="1"/>
  <c r="G83" i="1" s="1"/>
  <c r="C86" i="1"/>
  <c r="C85" i="1"/>
  <c r="C79" i="1"/>
  <c r="C78" i="1"/>
  <c r="E77" i="1"/>
  <c r="G77" i="1" s="1"/>
  <c r="E76" i="1"/>
  <c r="G76" i="1" s="1"/>
  <c r="E62" i="1"/>
  <c r="C66" i="1" s="1"/>
  <c r="C48" i="1"/>
  <c r="E63" i="1"/>
  <c r="G63" i="1" s="1"/>
  <c r="C56" i="1"/>
  <c r="C55" i="1"/>
  <c r="E54" i="1"/>
  <c r="G54" i="1" s="1"/>
  <c r="E53" i="1"/>
  <c r="G53" i="1" s="1"/>
  <c r="D29" i="1"/>
  <c r="D26" i="1"/>
  <c r="D27" i="1"/>
  <c r="D28" i="1"/>
  <c r="D30" i="1"/>
  <c r="D25" i="1"/>
  <c r="C41" i="1"/>
  <c r="E40" i="1"/>
  <c r="G40" i="1" s="1"/>
  <c r="E39" i="1"/>
  <c r="G39" i="1" s="1"/>
  <c r="D23" i="1"/>
  <c r="D14" i="1"/>
  <c r="D13" i="1"/>
  <c r="I211" i="1" l="1"/>
  <c r="E198" i="1"/>
  <c r="I198" i="1"/>
  <c r="G197" i="1"/>
  <c r="I203" i="1"/>
  <c r="I210" i="1"/>
  <c r="H211" i="1"/>
  <c r="I212" i="1" s="1"/>
  <c r="G211" i="1"/>
  <c r="G210" i="1"/>
  <c r="H210" i="1"/>
  <c r="E205" i="1"/>
  <c r="G204" i="1" s="1"/>
  <c r="G203" i="1"/>
  <c r="I191" i="1"/>
  <c r="K191" i="1" s="1"/>
  <c r="E173" i="1"/>
  <c r="E192" i="1"/>
  <c r="G192" i="1" s="1"/>
  <c r="G150" i="1"/>
  <c r="E154" i="1"/>
  <c r="D33" i="1"/>
  <c r="D34" i="1" s="1"/>
  <c r="D95" i="1"/>
  <c r="C65" i="1"/>
  <c r="B16" i="1"/>
  <c r="B17" i="1" s="1"/>
  <c r="K197" i="1" l="1"/>
  <c r="G198" i="1"/>
  <c r="I204" i="1"/>
  <c r="K204" i="1" s="1"/>
  <c r="K203" i="1"/>
  <c r="K198" i="1"/>
  <c r="I192" i="1"/>
  <c r="K192" i="1" s="1"/>
  <c r="F95" i="1"/>
  <c r="D96" i="1"/>
  <c r="F94" i="1"/>
  <c r="B20" i="1"/>
  <c r="B18" i="1"/>
  <c r="B19" i="1"/>
  <c r="B21" i="1" l="1"/>
  <c r="C49" i="1" l="1"/>
  <c r="E47" i="1"/>
  <c r="G47" i="1" s="1"/>
  <c r="E46" i="1"/>
  <c r="G46" i="1" s="1"/>
</calcChain>
</file>

<file path=xl/sharedStrings.xml><?xml version="1.0" encoding="utf-8"?>
<sst xmlns="http://schemas.openxmlformats.org/spreadsheetml/2006/main" count="657" uniqueCount="302">
  <si>
    <t>Bayes</t>
    <phoneticPr fontId="1" type="noConversion"/>
  </si>
  <si>
    <t>假阳性</t>
    <phoneticPr fontId="1" type="noConversion"/>
  </si>
  <si>
    <t>假阴性</t>
    <phoneticPr fontId="1" type="noConversion"/>
  </si>
  <si>
    <t>真阳性</t>
    <phoneticPr fontId="1" type="noConversion"/>
  </si>
  <si>
    <t>真阴性</t>
    <phoneticPr fontId="1" type="noConversion"/>
  </si>
  <si>
    <t>阳</t>
    <phoneticPr fontId="1" type="noConversion"/>
  </si>
  <si>
    <t>阴</t>
    <phoneticPr fontId="1" type="noConversion"/>
  </si>
  <si>
    <t>真阳|阳</t>
    <phoneticPr fontId="1" type="noConversion"/>
  </si>
  <si>
    <t>假阳|阳</t>
    <phoneticPr fontId="1" type="noConversion"/>
  </si>
  <si>
    <t>真阴|阴</t>
    <phoneticPr fontId="1" type="noConversion"/>
  </si>
  <si>
    <t>假阴|阴</t>
    <phoneticPr fontId="1" type="noConversion"/>
  </si>
  <si>
    <t>Combinations</t>
    <phoneticPr fontId="1" type="noConversion"/>
  </si>
  <si>
    <t>Uniform</t>
    <phoneticPr fontId="1" type="noConversion"/>
  </si>
  <si>
    <t>a</t>
    <phoneticPr fontId="1" type="noConversion"/>
  </si>
  <si>
    <t>b</t>
    <phoneticPr fontId="1" type="noConversion"/>
  </si>
  <si>
    <t>PDF</t>
    <phoneticPr fontId="1" type="noConversion"/>
  </si>
  <si>
    <t>CDF</t>
    <phoneticPr fontId="1" type="noConversion"/>
  </si>
  <si>
    <t>Mean</t>
    <phoneticPr fontId="1" type="noConversion"/>
  </si>
  <si>
    <t>STD</t>
    <phoneticPr fontId="1" type="noConversion"/>
  </si>
  <si>
    <t>Binomial</t>
    <phoneticPr fontId="1" type="noConversion"/>
  </si>
  <si>
    <t>n</t>
    <phoneticPr fontId="1" type="noConversion"/>
  </si>
  <si>
    <t>π</t>
    <phoneticPr fontId="1" type="noConversion"/>
  </si>
  <si>
    <t>X=</t>
    <phoneticPr fontId="1" type="noConversion"/>
  </si>
  <si>
    <t>补</t>
    <phoneticPr fontId="1" type="noConversion"/>
  </si>
  <si>
    <t>Expected</t>
    <phoneticPr fontId="1" type="noConversion"/>
  </si>
  <si>
    <t>expect</t>
    <phoneticPr fontId="1" type="noConversion"/>
  </si>
  <si>
    <t>std</t>
    <phoneticPr fontId="1" type="noConversion"/>
  </si>
  <si>
    <t>Poisson</t>
    <phoneticPr fontId="1" type="noConversion"/>
  </si>
  <si>
    <t>λ</t>
    <phoneticPr fontId="1" type="noConversion"/>
  </si>
  <si>
    <t>Hypergeo</t>
    <phoneticPr fontId="1" type="noConversion"/>
  </si>
  <si>
    <t>N</t>
    <phoneticPr fontId="1" type="noConversion"/>
  </si>
  <si>
    <t>s</t>
    <phoneticPr fontId="1" type="noConversion"/>
  </si>
  <si>
    <t>π=</t>
    <phoneticPr fontId="1" type="noConversion"/>
  </si>
  <si>
    <t>DPD</t>
    <phoneticPr fontId="1" type="noConversion"/>
  </si>
  <si>
    <t>CPD</t>
    <phoneticPr fontId="1" type="noConversion"/>
  </si>
  <si>
    <t>Normal</t>
    <phoneticPr fontId="1" type="noConversion"/>
  </si>
  <si>
    <t>μ</t>
    <phoneticPr fontId="1" type="noConversion"/>
  </si>
  <si>
    <t>σ</t>
    <phoneticPr fontId="1" type="noConversion"/>
  </si>
  <si>
    <t>X&lt;=</t>
    <phoneticPr fontId="1" type="noConversion"/>
  </si>
  <si>
    <t>Standard Normal</t>
    <phoneticPr fontId="1" type="noConversion"/>
  </si>
  <si>
    <t>x</t>
    <phoneticPr fontId="1" type="noConversion"/>
  </si>
  <si>
    <t>z</t>
    <phoneticPr fontId="1" type="noConversion"/>
  </si>
  <si>
    <t>Exponential</t>
    <phoneticPr fontId="1" type="noConversion"/>
  </si>
  <si>
    <t>z=</t>
    <phoneticPr fontId="1" type="noConversion"/>
  </si>
  <si>
    <t xml:space="preserve"> </t>
    <phoneticPr fontId="1" type="noConversion"/>
  </si>
  <si>
    <t>Chebyshev</t>
    <phoneticPr fontId="1" type="noConversion"/>
  </si>
  <si>
    <t>range</t>
    <phoneticPr fontId="1" type="noConversion"/>
  </si>
  <si>
    <t>k*σ</t>
    <phoneticPr fontId="1" type="noConversion"/>
  </si>
  <si>
    <t>Empirical</t>
    <phoneticPr fontId="1" type="noConversion"/>
  </si>
  <si>
    <t>Normal Dis</t>
    <phoneticPr fontId="1" type="noConversion"/>
  </si>
  <si>
    <t>CDF-0.5</t>
    <phoneticPr fontId="1" type="noConversion"/>
  </si>
  <si>
    <t>2*(CDF-0.5)</t>
    <phoneticPr fontId="1" type="noConversion"/>
  </si>
  <si>
    <t>0&lt;Z&lt;X</t>
    <phoneticPr fontId="1" type="noConversion"/>
  </si>
  <si>
    <t>.-X&lt;Z&lt;X</t>
    <phoneticPr fontId="1" type="noConversion"/>
  </si>
  <si>
    <t>CV</t>
    <phoneticPr fontId="1" type="noConversion"/>
  </si>
  <si>
    <t>s=</t>
    <phoneticPr fontId="1" type="noConversion"/>
  </si>
  <si>
    <t>x_=</t>
    <phoneticPr fontId="1" type="noConversion"/>
  </si>
  <si>
    <t>CV=</t>
    <phoneticPr fontId="1" type="noConversion"/>
  </si>
  <si>
    <t>MAD</t>
    <phoneticPr fontId="1" type="noConversion"/>
  </si>
  <si>
    <t>Bernouli</t>
    <phoneticPr fontId="1" type="noConversion"/>
  </si>
  <si>
    <t>E(X)</t>
    <phoneticPr fontId="1" type="noConversion"/>
  </si>
  <si>
    <t>Var(X)</t>
    <phoneticPr fontId="1" type="noConversion"/>
  </si>
  <si>
    <t>Geometric</t>
    <phoneticPr fontId="1" type="noConversion"/>
  </si>
  <si>
    <t>P(A)</t>
    <phoneticPr fontId="1" type="noConversion"/>
  </si>
  <si>
    <t>P(B)</t>
    <phoneticPr fontId="1" type="noConversion"/>
  </si>
  <si>
    <t>P(AandB)</t>
    <phoneticPr fontId="1" type="noConversion"/>
  </si>
  <si>
    <t>P(A|B)</t>
    <phoneticPr fontId="1" type="noConversion"/>
  </si>
  <si>
    <t>P(B|A)</t>
    <phoneticPr fontId="1" type="noConversion"/>
  </si>
  <si>
    <t>P(AUB)</t>
    <phoneticPr fontId="1" type="noConversion"/>
  </si>
  <si>
    <t>Inverse Normal</t>
    <phoneticPr fontId="1" type="noConversion"/>
  </si>
  <si>
    <t>area</t>
    <phoneticPr fontId="1" type="noConversion"/>
  </si>
  <si>
    <t>S.X=</t>
    <phoneticPr fontId="1" type="noConversion"/>
  </si>
  <si>
    <t>Find z</t>
    <phoneticPr fontId="1" type="noConversion"/>
  </si>
  <si>
    <t>.-3&lt;Z&lt;X</t>
    <phoneticPr fontId="1" type="noConversion"/>
  </si>
  <si>
    <t>Z&gt;X</t>
    <phoneticPr fontId="1" type="noConversion"/>
  </si>
  <si>
    <t>Z&gt;X,Z&lt;-X</t>
    <phoneticPr fontId="1" type="noConversion"/>
  </si>
  <si>
    <t>REF</t>
    <phoneticPr fontId="1" type="noConversion"/>
  </si>
  <si>
    <t>N aprxmt to B</t>
    <phoneticPr fontId="1" type="noConversion"/>
  </si>
  <si>
    <t>μ=</t>
    <phoneticPr fontId="1" type="noConversion"/>
  </si>
  <si>
    <t>σ=</t>
    <phoneticPr fontId="1" type="noConversion"/>
  </si>
  <si>
    <t>ok?</t>
    <phoneticPr fontId="1" type="noConversion"/>
  </si>
  <si>
    <t>Z&lt;x</t>
    <phoneticPr fontId="1" type="noConversion"/>
  </si>
  <si>
    <t>Z&gt;x</t>
    <phoneticPr fontId="1" type="noConversion"/>
  </si>
  <si>
    <t>N aprmxt to P</t>
    <phoneticPr fontId="1" type="noConversion"/>
  </si>
  <si>
    <t>Inverse Exponen</t>
    <phoneticPr fontId="1" type="noConversion"/>
  </si>
  <si>
    <t>P(X&lt;x)</t>
    <phoneticPr fontId="1" type="noConversion"/>
  </si>
  <si>
    <t>x=</t>
    <phoneticPr fontId="1" type="noConversion"/>
  </si>
  <si>
    <t>MTBE=</t>
    <phoneticPr fontId="1" type="noConversion"/>
  </si>
  <si>
    <t>Z=</t>
    <phoneticPr fontId="1" type="noConversion"/>
  </si>
  <si>
    <t>P=</t>
    <phoneticPr fontId="1" type="noConversion"/>
  </si>
  <si>
    <t>solve x for λ</t>
    <phoneticPr fontId="1" type="noConversion"/>
  </si>
  <si>
    <t>solve λ for x</t>
    <phoneticPr fontId="1" type="noConversion"/>
  </si>
  <si>
    <t>&lt;1</t>
    <phoneticPr fontId="1" type="noConversion"/>
  </si>
  <si>
    <t>λ=</t>
    <phoneticPr fontId="1" type="noConversion"/>
  </si>
  <si>
    <t>&gt;1</t>
    <phoneticPr fontId="1" type="noConversion"/>
  </si>
  <si>
    <t>z'</t>
    <phoneticPr fontId="1" type="noConversion"/>
  </si>
  <si>
    <t>enable(1/0)</t>
    <phoneticPr fontId="1" type="noConversion"/>
  </si>
  <si>
    <t>A</t>
    <phoneticPr fontId="1" type="noConversion"/>
  </si>
  <si>
    <t>B</t>
    <phoneticPr fontId="1" type="noConversion"/>
  </si>
  <si>
    <t>A-B</t>
    <phoneticPr fontId="1" type="noConversion"/>
  </si>
  <si>
    <t>CI for μ known σ</t>
    <phoneticPr fontId="1" type="noConversion"/>
  </si>
  <si>
    <t>α</t>
    <phoneticPr fontId="1" type="noConversion"/>
  </si>
  <si>
    <t>z_{α/2}=</t>
    <phoneticPr fontId="1" type="noConversion"/>
  </si>
  <si>
    <t>CI_RANGE1</t>
    <phoneticPr fontId="1" type="noConversion"/>
  </si>
  <si>
    <t>CI_RANGE2</t>
    <phoneticPr fontId="1" type="noConversion"/>
  </si>
  <si>
    <t>z_{α/2}*σ/sqrt(n)</t>
    <phoneticPr fontId="1" type="noConversion"/>
  </si>
  <si>
    <t>CI for μ unknown σ</t>
    <phoneticPr fontId="1" type="noConversion"/>
  </si>
  <si>
    <t>t_{α/2}=</t>
    <phoneticPr fontId="1" type="noConversion"/>
  </si>
  <si>
    <t>t_{α/2}*s/sqrt(n)</t>
    <phoneticPr fontId="1" type="noConversion"/>
  </si>
  <si>
    <t>d.f.=</t>
    <phoneticPr fontId="1" type="noConversion"/>
  </si>
  <si>
    <t>CI for μ known π</t>
    <phoneticPr fontId="1" type="noConversion"/>
  </si>
  <si>
    <t>σ_p=</t>
    <phoneticPr fontId="1" type="noConversion"/>
  </si>
  <si>
    <t>p=</t>
    <phoneticPr fontId="1" type="noConversion"/>
  </si>
  <si>
    <t>safe?</t>
    <phoneticPr fontId="1" type="noConversion"/>
  </si>
  <si>
    <t>FINITE</t>
    <phoneticPr fontId="1" type="noConversion"/>
  </si>
  <si>
    <t>CI for μ known s</t>
    <phoneticPr fontId="1" type="noConversion"/>
  </si>
  <si>
    <t>FPCF</t>
    <phoneticPr fontId="1" type="noConversion"/>
  </si>
  <si>
    <t>x_bar</t>
    <phoneticPr fontId="1" type="noConversion"/>
  </si>
  <si>
    <t>Sample Size Cal.</t>
    <phoneticPr fontId="1" type="noConversion"/>
  </si>
  <si>
    <t>E</t>
    <phoneticPr fontId="1" type="noConversion"/>
  </si>
  <si>
    <t>z_{α/2}</t>
    <phoneticPr fontId="1" type="noConversion"/>
  </si>
  <si>
    <t>MEAN</t>
    <phoneticPr fontId="1" type="noConversion"/>
  </si>
  <si>
    <t>PROPORTION</t>
    <phoneticPr fontId="1" type="noConversion"/>
  </si>
  <si>
    <t>n=</t>
    <phoneticPr fontId="1" type="noConversion"/>
  </si>
  <si>
    <t>Left Tail</t>
    <phoneticPr fontId="1" type="noConversion"/>
  </si>
  <si>
    <t>OSH</t>
    <phoneticPr fontId="1" type="noConversion"/>
  </si>
  <si>
    <t>Right Tail</t>
    <phoneticPr fontId="1" type="noConversion"/>
  </si>
  <si>
    <t>z_calc=</t>
    <phoneticPr fontId="1" type="noConversion"/>
  </si>
  <si>
    <t>σ_x_bar=</t>
    <phoneticPr fontId="1" type="noConversion"/>
  </si>
  <si>
    <t>ACCEPT:</t>
    <phoneticPr fontId="1" type="noConversion"/>
  </si>
  <si>
    <t>p_value=</t>
    <phoneticPr fontId="1" type="noConversion"/>
  </si>
  <si>
    <t>Two Tails</t>
    <phoneticPr fontId="1" type="noConversion"/>
  </si>
  <si>
    <t>p_value/2=</t>
    <phoneticPr fontId="1" type="noConversion"/>
  </si>
  <si>
    <t>P_value=</t>
    <phoneticPr fontId="1" type="noConversion"/>
  </si>
  <si>
    <t>μ0</t>
    <phoneticPr fontId="1" type="noConversion"/>
  </si>
  <si>
    <t>ROTsafe?</t>
    <phoneticPr fontId="1" type="noConversion"/>
  </si>
  <si>
    <t>π_recom</t>
    <phoneticPr fontId="1" type="noConversion"/>
  </si>
  <si>
    <t>σ_x_=</t>
    <phoneticPr fontId="1" type="noConversion"/>
  </si>
  <si>
    <t>STD error of mean</t>
    <phoneticPr fontId="1" type="noConversion"/>
  </si>
  <si>
    <t>t_calc=</t>
    <phoneticPr fontId="1" type="noConversion"/>
  </si>
  <si>
    <t>OSH_P</t>
    <phoneticPr fontId="1" type="noConversion"/>
  </si>
  <si>
    <t>critical=</t>
    <phoneticPr fontId="1" type="noConversion"/>
  </si>
  <si>
    <t>sample</t>
    <phoneticPr fontId="1" type="noConversion"/>
  </si>
  <si>
    <t>Proportion</t>
    <phoneticPr fontId="1" type="noConversion"/>
  </si>
  <si>
    <t>π0</t>
    <phoneticPr fontId="1" type="noConversion"/>
  </si>
  <si>
    <t>LT</t>
    <phoneticPr fontId="1" type="noConversion"/>
  </si>
  <si>
    <t>RT</t>
    <phoneticPr fontId="1" type="noConversion"/>
  </si>
  <si>
    <t>TT</t>
    <phoneticPr fontId="1" type="noConversion"/>
  </si>
  <si>
    <t>normcheck=</t>
    <phoneticPr fontId="1" type="noConversion"/>
  </si>
  <si>
    <t>r</t>
    <phoneticPr fontId="1" type="noConversion"/>
  </si>
  <si>
    <t>t=</t>
    <phoneticPr fontId="1" type="noConversion"/>
  </si>
  <si>
    <t>t_cri=</t>
    <phoneticPr fontId="1" type="noConversion"/>
  </si>
  <si>
    <t>r_cri=</t>
    <phoneticPr fontId="1" type="noConversion"/>
  </si>
  <si>
    <t>CONFIDENCE Y</t>
    <phoneticPr fontId="1" type="noConversion"/>
  </si>
  <si>
    <t>x_mean</t>
    <phoneticPr fontId="1" type="noConversion"/>
  </si>
  <si>
    <t>t_a/2=</t>
    <phoneticPr fontId="1" type="noConversion"/>
  </si>
  <si>
    <t>interval=</t>
    <phoneticPr fontId="1" type="noConversion"/>
  </si>
  <si>
    <t>sum(xk-x_mean)^2</t>
    <phoneticPr fontId="1" type="noConversion"/>
  </si>
  <si>
    <t>(xk-x_mean)^2</t>
    <phoneticPr fontId="1" type="noConversion"/>
  </si>
  <si>
    <t>s_e=</t>
    <phoneticPr fontId="1" type="noConversion"/>
  </si>
  <si>
    <t>CONFIDENCE</t>
    <phoneticPr fontId="1" type="noConversion"/>
  </si>
  <si>
    <t>PREDICTION</t>
    <phoneticPr fontId="1" type="noConversion"/>
  </si>
  <si>
    <t>intercept</t>
    <phoneticPr fontId="1" type="noConversion"/>
  </si>
  <si>
    <t>coefficient</t>
    <phoneticPr fontId="1" type="noConversion"/>
  </si>
  <si>
    <t>APPROXIMATE</t>
    <phoneticPr fontId="1" type="noConversion"/>
  </si>
  <si>
    <t>T_CALC USE R</t>
    <phoneticPr fontId="1" type="noConversion"/>
  </si>
  <si>
    <t>R_CRITICAL</t>
    <phoneticPr fontId="1" type="noConversion"/>
  </si>
  <si>
    <t>r_critical=</t>
    <phoneticPr fontId="1" type="noConversion"/>
  </si>
  <si>
    <t>calculate s_e</t>
    <phoneticPr fontId="1" type="noConversion"/>
  </si>
  <si>
    <t>MSE</t>
    <phoneticPr fontId="1" type="noConversion"/>
  </si>
  <si>
    <t>.</t>
    <phoneticPr fontId="1" type="noConversion"/>
  </si>
  <si>
    <t>S_E=</t>
    <phoneticPr fontId="1" type="noConversion"/>
  </si>
  <si>
    <t>CH 7</t>
    <phoneticPr fontId="1" type="noConversion"/>
  </si>
  <si>
    <t>X&gt;</t>
    <phoneticPr fontId="1" type="noConversion"/>
  </si>
  <si>
    <t>adjust_n</t>
    <phoneticPr fontId="1" type="noConversion"/>
  </si>
  <si>
    <t>n'=</t>
    <phoneticPr fontId="1" type="noConversion"/>
  </si>
  <si>
    <t>Mean=</t>
    <phoneticPr fontId="1" type="noConversion"/>
  </si>
  <si>
    <t>x(+0.5)</t>
    <phoneticPr fontId="1" type="noConversion"/>
  </si>
  <si>
    <t>CH9</t>
    <phoneticPr fontId="1" type="noConversion"/>
  </si>
  <si>
    <t>CH10</t>
    <phoneticPr fontId="1" type="noConversion"/>
  </si>
  <si>
    <t>σ1</t>
    <phoneticPr fontId="1" type="noConversion"/>
  </si>
  <si>
    <t>n1</t>
    <phoneticPr fontId="1" type="noConversion"/>
  </si>
  <si>
    <t>σ2</t>
    <phoneticPr fontId="1" type="noConversion"/>
  </si>
  <si>
    <t>n2</t>
    <phoneticPr fontId="1" type="noConversion"/>
  </si>
  <si>
    <t>s1</t>
    <phoneticPr fontId="1" type="noConversion"/>
  </si>
  <si>
    <t>s2</t>
    <phoneticPr fontId="1" type="noConversion"/>
  </si>
  <si>
    <t>2T</t>
    <phoneticPr fontId="1" type="noConversion"/>
  </si>
  <si>
    <t>s_p=</t>
    <phoneticPr fontId="1" type="noConversion"/>
  </si>
  <si>
    <t>CI for two means</t>
    <phoneticPr fontId="1" type="noConversion"/>
  </si>
  <si>
    <t>equal var</t>
    <phoneticPr fontId="1" type="noConversion"/>
  </si>
  <si>
    <t>x1mean</t>
    <phoneticPr fontId="1" type="noConversion"/>
  </si>
  <si>
    <t>x2mean</t>
    <phoneticPr fontId="1" type="noConversion"/>
  </si>
  <si>
    <t xml:space="preserve">t_a/2= </t>
    <phoneticPr fontId="1" type="noConversion"/>
  </si>
  <si>
    <t>interval1</t>
    <phoneticPr fontId="1" type="noConversion"/>
  </si>
  <si>
    <t>s_p2=</t>
    <phoneticPr fontId="1" type="noConversion"/>
  </si>
  <si>
    <t>.+/-=</t>
    <phoneticPr fontId="1" type="noConversion"/>
  </si>
  <si>
    <t>interval2</t>
    <phoneticPr fontId="1" type="noConversion"/>
  </si>
  <si>
    <t>unequal var</t>
    <phoneticPr fontId="1" type="noConversion"/>
  </si>
  <si>
    <t>compare two means</t>
    <phoneticPr fontId="1" type="noConversion"/>
  </si>
  <si>
    <t>known var</t>
    <phoneticPr fontId="1" type="noConversion"/>
  </si>
  <si>
    <t>unknown var</t>
    <phoneticPr fontId="1" type="noConversion"/>
  </si>
  <si>
    <t>assume equal</t>
    <phoneticPr fontId="1" type="noConversion"/>
  </si>
  <si>
    <t>D0</t>
    <phoneticPr fontId="1" type="noConversion"/>
  </si>
  <si>
    <t>s_p^2=</t>
    <phoneticPr fontId="1" type="noConversion"/>
  </si>
  <si>
    <t>assume unequal</t>
    <phoneticPr fontId="1" type="noConversion"/>
  </si>
  <si>
    <t>s1^2/n1=</t>
    <phoneticPr fontId="1" type="noConversion"/>
  </si>
  <si>
    <t>s2^2/n2=</t>
    <phoneticPr fontId="1" type="noConversion"/>
  </si>
  <si>
    <t>critical.2T=</t>
    <phoneticPr fontId="1" type="noConversion"/>
  </si>
  <si>
    <t>critical.2T=+-</t>
    <phoneticPr fontId="1" type="noConversion"/>
  </si>
  <si>
    <t>compare 2 var</t>
    <phoneticPr fontId="1" type="noConversion"/>
  </si>
  <si>
    <t>2 proportions</t>
    <phoneticPr fontId="1" type="noConversion"/>
  </si>
  <si>
    <t>x1</t>
    <phoneticPr fontId="1" type="noConversion"/>
  </si>
  <si>
    <t>x2</t>
    <phoneticPr fontId="1" type="noConversion"/>
  </si>
  <si>
    <t>p1=</t>
    <phoneticPr fontId="1" type="noConversion"/>
  </si>
  <si>
    <t>p2=</t>
    <phoneticPr fontId="1" type="noConversion"/>
  </si>
  <si>
    <t>z_a/2=</t>
    <phoneticPr fontId="1" type="noConversion"/>
  </si>
  <si>
    <t>interval1=</t>
    <phoneticPr fontId="1" type="noConversion"/>
  </si>
  <si>
    <t>interval2=</t>
    <phoneticPr fontId="1" type="noConversion"/>
  </si>
  <si>
    <t>pc=</t>
    <phoneticPr fontId="1" type="noConversion"/>
  </si>
  <si>
    <t>CI</t>
    <phoneticPr fontId="1" type="noConversion"/>
  </si>
  <si>
    <t>F_calc=</t>
    <phoneticPr fontId="1" type="noConversion"/>
  </si>
  <si>
    <t>df1=</t>
    <phoneticPr fontId="1" type="noConversion"/>
  </si>
  <si>
    <t>df2=</t>
    <phoneticPr fontId="1" type="noConversion"/>
  </si>
  <si>
    <t>use &lt; 1</t>
    <phoneticPr fontId="1" type="noConversion"/>
  </si>
  <si>
    <t>critical.LT=</t>
    <phoneticPr fontId="1" type="noConversion"/>
  </si>
  <si>
    <t>critical.RT=</t>
    <phoneticPr fontId="1" type="noConversion"/>
  </si>
  <si>
    <t>sequence!</t>
    <phoneticPr fontId="1" type="noConversion"/>
  </si>
  <si>
    <t>must be int</t>
    <phoneticPr fontId="1" type="noConversion"/>
  </si>
  <si>
    <t>Tukey</t>
    <phoneticPr fontId="1" type="noConversion"/>
  </si>
  <si>
    <t>y1mean</t>
    <phoneticPr fontId="1" type="noConversion"/>
  </si>
  <si>
    <t>y2mean</t>
    <phoneticPr fontId="1" type="noConversion"/>
  </si>
  <si>
    <t>tukey/sqrt(2)</t>
    <phoneticPr fontId="1" type="noConversion"/>
  </si>
  <si>
    <t>Hartley</t>
    <phoneticPr fontId="1" type="noConversion"/>
  </si>
  <si>
    <t>H_calc=</t>
    <phoneticPr fontId="1" type="noConversion"/>
  </si>
  <si>
    <t>d.f.=18</t>
    <phoneticPr fontId="1" type="noConversion"/>
  </si>
  <si>
    <t>a=1%</t>
    <phoneticPr fontId="1" type="noConversion"/>
  </si>
  <si>
    <t>c=3</t>
    <phoneticPr fontId="1" type="noConversion"/>
  </si>
  <si>
    <t>n3</t>
    <phoneticPr fontId="1" type="noConversion"/>
  </si>
  <si>
    <t>y3mean</t>
    <phoneticPr fontId="1" type="noConversion"/>
  </si>
  <si>
    <t>T_calc12=</t>
    <phoneticPr fontId="1" type="noConversion"/>
  </si>
  <si>
    <t>T_calc13=</t>
    <phoneticPr fontId="1" type="noConversion"/>
  </si>
  <si>
    <t>T_calc23=</t>
    <phoneticPr fontId="1" type="noConversion"/>
  </si>
  <si>
    <t>n4</t>
    <phoneticPr fontId="1" type="noConversion"/>
  </si>
  <si>
    <t>y4mean</t>
    <phoneticPr fontId="1" type="noConversion"/>
  </si>
  <si>
    <t>T_calc14=</t>
    <phoneticPr fontId="1" type="noConversion"/>
  </si>
  <si>
    <t>T_calc24=</t>
    <phoneticPr fontId="1" type="noConversion"/>
  </si>
  <si>
    <t>T_calc34=</t>
    <phoneticPr fontId="1" type="noConversion"/>
  </si>
  <si>
    <t>ANOVA</t>
    <phoneticPr fontId="1" type="noConversion"/>
  </si>
  <si>
    <t>F.INV.RT</t>
    <phoneticPr fontId="1" type="noConversion"/>
  </si>
  <si>
    <t>CH12</t>
    <phoneticPr fontId="1" type="noConversion"/>
  </si>
  <si>
    <t xml:space="preserve">t_calc for test </t>
    <phoneticPr fontId="1" type="noConversion"/>
  </si>
  <si>
    <t>slope</t>
    <phoneticPr fontId="1" type="noConversion"/>
  </si>
  <si>
    <t>s_b1</t>
    <phoneticPr fontId="1" type="noConversion"/>
  </si>
  <si>
    <t>s_b0</t>
    <phoneticPr fontId="1" type="noConversion"/>
  </si>
  <si>
    <t>test for</t>
    <phoneticPr fontId="1" type="noConversion"/>
  </si>
  <si>
    <t>s_max</t>
    <phoneticPr fontId="1" type="noConversion"/>
  </si>
  <si>
    <t>s_min</t>
    <phoneticPr fontId="1" type="noConversion"/>
  </si>
  <si>
    <t>CH13</t>
  </si>
  <si>
    <t>multi corr coefficient</t>
  </si>
  <si>
    <t>SST</t>
  </si>
  <si>
    <t>SSR</t>
  </si>
  <si>
    <t>SSE</t>
  </si>
  <si>
    <t>r=</t>
  </si>
  <si>
    <t>F_calc=</t>
  </si>
  <si>
    <t>MSR=</t>
  </si>
  <si>
    <t>MSE=</t>
  </si>
  <si>
    <t>k</t>
  </si>
  <si>
    <t>R_adj</t>
  </si>
  <si>
    <t>df2</t>
  </si>
  <si>
    <t>df1(k)</t>
  </si>
  <si>
    <t>df2(n-k-1)</t>
  </si>
  <si>
    <t>F=</t>
  </si>
  <si>
    <t>R^2=</t>
  </si>
  <si>
    <t>R_adj^2=</t>
  </si>
  <si>
    <t>p_value=</t>
  </si>
  <si>
    <t xml:space="preserve"> </t>
  </si>
  <si>
    <t>Sum:</t>
  </si>
  <si>
    <t>Qtr 4</t>
  </si>
  <si>
    <t>Qtr 3</t>
  </si>
  <si>
    <t>Qtr 2</t>
  </si>
  <si>
    <t>Qtr 1</t>
  </si>
  <si>
    <t>Adjusted:</t>
  </si>
  <si>
    <t>Mean:</t>
  </si>
  <si>
    <t xml:space="preserve">  Sales Deseasonalized</t>
  </si>
  <si>
    <t>Seas Index</t>
  </si>
  <si>
    <t>Sales/CMA</t>
  </si>
  <si>
    <t>CMA</t>
  </si>
  <si>
    <t>Sales</t>
  </si>
  <si>
    <t>Quarter</t>
  </si>
  <si>
    <t>Year</t>
  </si>
  <si>
    <t>t</t>
  </si>
  <si>
    <t>Calculations for Centered Moving Average and Deseasonalization</t>
  </si>
  <si>
    <t>Z^2=</t>
  </si>
  <si>
    <t>Date</t>
  </si>
  <si>
    <t>Rate</t>
  </si>
  <si>
    <t>method a</t>
  </si>
  <si>
    <t>MSE</t>
  </si>
  <si>
    <t>MAPE</t>
  </si>
  <si>
    <t>A=0.1</t>
  </si>
  <si>
    <t>A=0.3</t>
  </si>
  <si>
    <t>method b</t>
  </si>
  <si>
    <t>Y_i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</si>
</sst>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\ ;\-#,##0.0\ "/>
    <numFmt numFmtId="165" formatCode="0.000"/>
    <numFmt numFmtId="166" formatCode="#,##0\ ;\-#,##0\ "/>
    <numFmt numFmtId="167" formatCode="0.0000000"/>
    <numFmt numFmtId="168" formatCode="[$-409]d\-mmm;@"/>
    <numFmt numFmtId="169" formatCode="0.00000000000000000"/>
  </numFmts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10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  <font>
      <sz val="11"/>
      <color rgb="FFFF0000"/>
      <name val="Calibri"/>
      <family val="2"/>
      <scheme val="minor"/>
    </font>
    <font>
      <b/>
      <i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1" applyFont="1"/>
    <xf numFmtId="0" fontId="3" fillId="0" borderId="0" xfId="1"/>
    <xf numFmtId="165" fontId="2" fillId="0" borderId="0" xfId="1" applyNumberFormat="1" applyFont="1" applyAlignment="1">
      <alignment horizontal="center"/>
    </xf>
    <xf numFmtId="0" fontId="3" fillId="0" borderId="0" xfId="1" applyAlignment="1">
      <alignment horizontal="right"/>
    </xf>
    <xf numFmtId="165" fontId="2" fillId="0" borderId="0" xfId="1" applyNumberFormat="1" applyFont="1"/>
    <xf numFmtId="165" fontId="2" fillId="0" borderId="2" xfId="1" applyNumberFormat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164" fontId="2" fillId="0" borderId="3" xfId="1" applyNumberFormat="1" applyFont="1" applyBorder="1" applyAlignment="1">
      <alignment horizontal="center"/>
    </xf>
    <xf numFmtId="165" fontId="2" fillId="0" borderId="4" xfId="1" applyNumberFormat="1" applyFont="1" applyBorder="1" applyAlignment="1">
      <alignment horizontal="center"/>
    </xf>
    <xf numFmtId="166" fontId="2" fillId="0" borderId="4" xfId="1" applyNumberFormat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3" fillId="6" borderId="4" xfId="1" applyFill="1" applyBorder="1" applyAlignment="1">
      <alignment horizontal="center"/>
    </xf>
    <xf numFmtId="0" fontId="2" fillId="0" borderId="5" xfId="1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166" fontId="2" fillId="0" borderId="0" xfId="1" applyNumberFormat="1" applyFont="1" applyAlignment="1">
      <alignment horizontal="center"/>
    </xf>
    <xf numFmtId="0" fontId="3" fillId="6" borderId="0" xfId="1" applyFill="1" applyAlignment="1">
      <alignment horizontal="center"/>
    </xf>
    <xf numFmtId="0" fontId="2" fillId="0" borderId="7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8" xfId="1" applyNumberFormat="1" applyFont="1" applyBorder="1" applyAlignment="1">
      <alignment horizontal="center"/>
    </xf>
    <xf numFmtId="166" fontId="2" fillId="0" borderId="8" xfId="1" applyNumberFormat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3" fillId="6" borderId="8" xfId="1" applyFill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4" fillId="7" borderId="10" xfId="1" applyFont="1" applyFill="1" applyBorder="1" applyAlignment="1">
      <alignment horizontal="center"/>
    </xf>
    <xf numFmtId="0" fontId="4" fillId="7" borderId="11" xfId="1" applyFont="1" applyFill="1" applyBorder="1" applyAlignment="1">
      <alignment horizontal="center"/>
    </xf>
    <xf numFmtId="0" fontId="4" fillId="7" borderId="12" xfId="1" applyFont="1" applyFill="1" applyBorder="1" applyAlignment="1">
      <alignment horizontal="center"/>
    </xf>
    <xf numFmtId="0" fontId="5" fillId="0" borderId="0" xfId="1" applyFont="1"/>
    <xf numFmtId="0" fontId="7" fillId="4" borderId="2" xfId="2" applyFont="1" applyFill="1" applyBorder="1" applyAlignment="1">
      <alignment horizontal="center"/>
    </xf>
    <xf numFmtId="0" fontId="7" fillId="4" borderId="12" xfId="2" applyFont="1" applyFill="1" applyBorder="1" applyAlignment="1">
      <alignment horizontal="center"/>
    </xf>
    <xf numFmtId="167" fontId="0" fillId="0" borderId="0" xfId="0" applyNumberFormat="1"/>
    <xf numFmtId="168" fontId="2" fillId="0" borderId="0" xfId="2" applyNumberFormat="1" applyAlignment="1">
      <alignment horizontal="center"/>
    </xf>
    <xf numFmtId="2" fontId="2" fillId="0" borderId="0" xfId="2" applyNumberFormat="1" applyAlignment="1">
      <alignment horizontal="center"/>
    </xf>
    <xf numFmtId="2" fontId="0" fillId="0" borderId="0" xfId="0" applyNumberFormat="1"/>
    <xf numFmtId="169" fontId="0" fillId="0" borderId="0" xfId="0" applyNumberFormat="1"/>
    <xf numFmtId="167" fontId="6" fillId="0" borderId="0" xfId="0" applyNumberFormat="1" applyFont="1"/>
    <xf numFmtId="0" fontId="6" fillId="0" borderId="0" xfId="0" applyFont="1"/>
    <xf numFmtId="169" fontId="6" fillId="0" borderId="0" xfId="0" applyNumberFormat="1" applyFont="1"/>
    <xf numFmtId="165" fontId="0" fillId="0" borderId="0" xfId="0" applyNumberFormat="1"/>
  </cellXfs>
  <cellStyles count="3">
    <cellStyle name="Normal" xfId="0" builtinId="0"/>
    <cellStyle name="Normal 2" xfId="1" xr:uid="{8B6A7722-EAB0-419C-86E2-F94B166D7451}"/>
    <cellStyle name="Normal 2 2" xfId="2" xr:uid="{32E5C1F0-9665-4051-86B7-6E21D43E6C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Trend from Deseasonalized Data</a:t>
            </a:r>
          </a:p>
        </c:rich>
      </c:tx>
      <c:layout>
        <c:manualLayout>
          <c:xMode val="edge"/>
          <c:yMode val="edge"/>
          <c:x val="0.30398388880635202"/>
          <c:y val="3.52941176470588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55794385061224"/>
          <c:y val="0.17647084166883281"/>
          <c:w val="0.8113224157380432"/>
          <c:h val="0.56176551264578445"/>
        </c:manualLayout>
      </c:layout>
      <c:scatterChart>
        <c:scatterStyle val="lineMarker"/>
        <c:varyColors val="0"/>
        <c:ser>
          <c:idx val="0"/>
          <c:order val="0"/>
          <c:tx>
            <c:v>Sales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season!$B$4:$B$27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season!$E$4:$E$27</c:f>
              <c:numCache>
                <c:formatCode>#,##0\ ;\-#,##0\ </c:formatCode>
                <c:ptCount val="24"/>
                <c:pt idx="0">
                  <c:v>259</c:v>
                </c:pt>
                <c:pt idx="1">
                  <c:v>236</c:v>
                </c:pt>
                <c:pt idx="2">
                  <c:v>164</c:v>
                </c:pt>
                <c:pt idx="3">
                  <c:v>222</c:v>
                </c:pt>
                <c:pt idx="4">
                  <c:v>306</c:v>
                </c:pt>
                <c:pt idx="5">
                  <c:v>300</c:v>
                </c:pt>
                <c:pt idx="6">
                  <c:v>189</c:v>
                </c:pt>
                <c:pt idx="7">
                  <c:v>275</c:v>
                </c:pt>
                <c:pt idx="8">
                  <c:v>379</c:v>
                </c:pt>
                <c:pt idx="9">
                  <c:v>262</c:v>
                </c:pt>
                <c:pt idx="10">
                  <c:v>242</c:v>
                </c:pt>
                <c:pt idx="11">
                  <c:v>296</c:v>
                </c:pt>
                <c:pt idx="12">
                  <c:v>369</c:v>
                </c:pt>
                <c:pt idx="13">
                  <c:v>373</c:v>
                </c:pt>
                <c:pt idx="14">
                  <c:v>255</c:v>
                </c:pt>
                <c:pt idx="15">
                  <c:v>374</c:v>
                </c:pt>
                <c:pt idx="16">
                  <c:v>515</c:v>
                </c:pt>
                <c:pt idx="17">
                  <c:v>373</c:v>
                </c:pt>
                <c:pt idx="18">
                  <c:v>339</c:v>
                </c:pt>
                <c:pt idx="19">
                  <c:v>519</c:v>
                </c:pt>
                <c:pt idx="20">
                  <c:v>626</c:v>
                </c:pt>
                <c:pt idx="21">
                  <c:v>535</c:v>
                </c:pt>
                <c:pt idx="22">
                  <c:v>397</c:v>
                </c:pt>
                <c:pt idx="23">
                  <c:v>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8-484D-9E7C-0C60CD0A2E92}"/>
            </c:ext>
          </c:extLst>
        </c:ser>
        <c:ser>
          <c:idx val="1"/>
          <c:order val="1"/>
          <c:tx>
            <c:v>Deseasonalized</c:v>
          </c:tx>
          <c:spPr>
            <a:ln w="3175">
              <a:solidFill>
                <a:srgbClr val="00CCFF"/>
              </a:solidFill>
              <a:prstDash val="solid"/>
            </a:ln>
          </c:spPr>
          <c:marker>
            <c:symbol val="circl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2.1496082320405972E-2"/>
                  <c:y val="0.2560548061113774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season!$B$4:$B$27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season!$I$4:$I$27</c:f>
              <c:numCache>
                <c:formatCode>#,##0.0\ ;\-#,##0.0\ </c:formatCode>
                <c:ptCount val="24"/>
                <c:pt idx="0">
                  <c:v>206.86244168089027</c:v>
                </c:pt>
                <c:pt idx="1">
                  <c:v>231.13679024357006</c:v>
                </c:pt>
                <c:pt idx="2">
                  <c:v>221.72103555099505</c:v>
                </c:pt>
                <c:pt idx="3">
                  <c:v>224.86667938389664</c:v>
                </c:pt>
                <c:pt idx="4">
                  <c:v>244.40118592414063</c:v>
                </c:pt>
                <c:pt idx="5">
                  <c:v>293.81795369945343</c:v>
                </c:pt>
                <c:pt idx="6">
                  <c:v>255.51997389718335</c:v>
                </c:pt>
                <c:pt idx="7">
                  <c:v>278.55106680437649</c:v>
                </c:pt>
                <c:pt idx="8">
                  <c:v>302.70604400408268</c:v>
                </c:pt>
                <c:pt idx="9">
                  <c:v>256.60101289752271</c:v>
                </c:pt>
                <c:pt idx="10">
                  <c:v>327.17372319110245</c:v>
                </c:pt>
                <c:pt idx="11">
                  <c:v>299.82223917852889</c:v>
                </c:pt>
                <c:pt idx="12">
                  <c:v>294.71907714381666</c:v>
                </c:pt>
                <c:pt idx="13">
                  <c:v>365.31365576632044</c:v>
                </c:pt>
                <c:pt idx="14">
                  <c:v>344.74917113112036</c:v>
                </c:pt>
                <c:pt idx="15">
                  <c:v>378.82945085395204</c:v>
                </c:pt>
                <c:pt idx="16">
                  <c:v>411.32879330370076</c:v>
                </c:pt>
                <c:pt idx="17">
                  <c:v>365.31365576632044</c:v>
                </c:pt>
                <c:pt idx="18">
                  <c:v>458.31360397431297</c:v>
                </c:pt>
                <c:pt idx="19">
                  <c:v>525.70183153262326</c:v>
                </c:pt>
                <c:pt idx="20">
                  <c:v>499.9841254526537</c:v>
                </c:pt>
                <c:pt idx="21">
                  <c:v>523.97535076402528</c:v>
                </c:pt>
                <c:pt idx="22">
                  <c:v>536.72714093746981</c:v>
                </c:pt>
                <c:pt idx="23">
                  <c:v>494.30152945649354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78-484D-9E7C-0C60CD0A2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96576"/>
        <c:axId val="211898752"/>
      </c:scatterChart>
      <c:valAx>
        <c:axId val="211896576"/>
        <c:scaling>
          <c:orientation val="minMax"/>
          <c:max val="24"/>
          <c:min val="0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4989528824620193"/>
              <c:y val="0.81764829396325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1898752"/>
        <c:crosses val="autoZero"/>
        <c:crossBetween val="midCat"/>
        <c:majorUnit val="4"/>
        <c:minorUnit val="1"/>
      </c:valAx>
      <c:valAx>
        <c:axId val="21189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>
            <c:manualLayout>
              <c:xMode val="edge"/>
              <c:yMode val="edge"/>
              <c:x val="1.6771488469601678E-2"/>
              <c:y val="0.347059441099274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\ ;\-#,##0\ 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1896576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535334026642893"/>
          <c:y val="0.91470711749266631"/>
          <c:w val="0.81132207530662426"/>
          <c:h val="6.07843137254901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ysClr val="window" lastClr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20781</xdr:colOff>
      <xdr:row>285</xdr:row>
      <xdr:rowOff>13854</xdr:rowOff>
    </xdr:from>
    <xdr:to>
      <xdr:col>13</xdr:col>
      <xdr:colOff>394395</xdr:colOff>
      <xdr:row>304</xdr:row>
      <xdr:rowOff>173181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6A1AC55E-E3A3-F9E3-17CF-6B7E72279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6636" y="54392945"/>
          <a:ext cx="6989159" cy="344978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306</xdr:row>
      <xdr:rowOff>0</xdr:rowOff>
    </xdr:from>
    <xdr:to>
      <xdr:col>12</xdr:col>
      <xdr:colOff>47645</xdr:colOff>
      <xdr:row>330</xdr:row>
      <xdr:rowOff>20782</xdr:rowOff>
    </xdr:to>
    <xdr:pic>
      <xdr:nvPicPr>
        <xdr:cNvPr id="4" name="Picture 3" descr="Table&#10;&#10;Description automatically generated">
          <a:extLst>
            <a:ext uri="{FF2B5EF4-FFF2-40B4-BE49-F238E27FC236}">
              <a16:creationId xmlns:a16="http://schemas.microsoft.com/office/drawing/2014/main" id="{2B2D47D4-D5FA-421F-B0F8-315D4BBC2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5855" y="58015909"/>
          <a:ext cx="5672590" cy="41771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280308</xdr:colOff>
      <xdr:row>2</xdr:row>
      <xdr:rowOff>42182</xdr:rowOff>
    </xdr:from>
    <xdr:ext cx="4650105" cy="3352800"/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D45C36A5-DED0-482E-98A5-BEB1175B7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21658</xdr:colOff>
      <xdr:row>24</xdr:row>
      <xdr:rowOff>83820</xdr:rowOff>
    </xdr:from>
    <xdr:to>
      <xdr:col>7</xdr:col>
      <xdr:colOff>220979</xdr:colOff>
      <xdr:row>86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7750D3-333D-10A3-2DCC-0DF88D768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8" y="4290060"/>
          <a:ext cx="4466521" cy="1082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473418</xdr:colOff>
      <xdr:row>23</xdr:row>
      <xdr:rowOff>114300</xdr:rowOff>
    </xdr:to>
    <xdr:pic>
      <xdr:nvPicPr>
        <xdr:cNvPr id="4" name="Picture 3" descr="Table&#10;&#10;Description automatically generated">
          <a:extLst>
            <a:ext uri="{FF2B5EF4-FFF2-40B4-BE49-F238E27FC236}">
              <a16:creationId xmlns:a16="http://schemas.microsoft.com/office/drawing/2014/main" id="{DB5836D7-1605-4200-B334-D2E1153B0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8398218" cy="4145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8"/>
  <sheetViews>
    <sheetView tabSelected="1" topLeftCell="A344" zoomScaleNormal="100" workbookViewId="0">
      <selection activeCell="C357" sqref="C357"/>
    </sheetView>
  </sheetViews>
  <sheetFormatPr defaultRowHeight="15"/>
  <cols>
    <col min="1" max="1" width="20" bestFit="1" customWidth="1"/>
    <col min="2" max="12" width="11.7109375" customWidth="1"/>
    <col min="13" max="13" width="14.42578125" bestFit="1" customWidth="1"/>
  </cols>
  <sheetData>
    <row r="1" spans="1:10">
      <c r="A1" t="s">
        <v>45</v>
      </c>
      <c r="B1" t="s">
        <v>47</v>
      </c>
      <c r="C1" t="s">
        <v>46</v>
      </c>
      <c r="E1" t="s">
        <v>48</v>
      </c>
      <c r="F1" t="s">
        <v>47</v>
      </c>
      <c r="G1" t="s">
        <v>46</v>
      </c>
    </row>
    <row r="2" spans="1:10">
      <c r="B2">
        <v>2</v>
      </c>
      <c r="C2">
        <f>100*(1-1/B2^2)</f>
        <v>75</v>
      </c>
      <c r="E2" t="s">
        <v>49</v>
      </c>
      <c r="F2">
        <v>1</v>
      </c>
      <c r="G2">
        <v>68.260000000000005</v>
      </c>
    </row>
    <row r="3" spans="1:10">
      <c r="B3">
        <v>3</v>
      </c>
      <c r="C3">
        <f t="shared" ref="C3:C4" si="0">100*(1-1/B3^2)</f>
        <v>88.888888888888886</v>
      </c>
      <c r="F3">
        <v>2</v>
      </c>
      <c r="G3">
        <v>95.44</v>
      </c>
    </row>
    <row r="4" spans="1:10">
      <c r="B4">
        <v>4</v>
      </c>
      <c r="C4">
        <f t="shared" si="0"/>
        <v>93.75</v>
      </c>
      <c r="F4">
        <v>3</v>
      </c>
      <c r="G4">
        <v>99.73</v>
      </c>
    </row>
    <row r="5" spans="1:10">
      <c r="B5">
        <f>(100/(100-C5))^0.5</f>
        <v>3.1622776601683795</v>
      </c>
      <c r="C5">
        <v>90</v>
      </c>
      <c r="I5">
        <v>4</v>
      </c>
    </row>
    <row r="6" spans="1:10">
      <c r="I6">
        <v>5</v>
      </c>
    </row>
    <row r="7" spans="1:10">
      <c r="A7" t="s">
        <v>54</v>
      </c>
      <c r="B7" t="s">
        <v>55</v>
      </c>
      <c r="C7">
        <v>3</v>
      </c>
      <c r="D7" t="s">
        <v>56</v>
      </c>
      <c r="E7">
        <v>4</v>
      </c>
      <c r="I7">
        <v>6</v>
      </c>
    </row>
    <row r="8" spans="1:10">
      <c r="B8" t="s">
        <v>57</v>
      </c>
      <c r="C8">
        <f>100%*C7/E7</f>
        <v>0.75</v>
      </c>
      <c r="I8">
        <v>7</v>
      </c>
    </row>
    <row r="9" spans="1:10">
      <c r="I9">
        <v>8</v>
      </c>
    </row>
    <row r="10" spans="1:10">
      <c r="A10" t="s">
        <v>58</v>
      </c>
      <c r="B10">
        <f>AVEDEV(I5:I12)</f>
        <v>1.625</v>
      </c>
      <c r="I10">
        <v>1</v>
      </c>
    </row>
    <row r="11" spans="1:10">
      <c r="I11">
        <v>7</v>
      </c>
    </row>
    <row r="12" spans="1:10">
      <c r="A12" t="s">
        <v>0</v>
      </c>
      <c r="I12">
        <v>5</v>
      </c>
    </row>
    <row r="13" spans="1:10">
      <c r="A13" t="s">
        <v>1</v>
      </c>
      <c r="B13">
        <v>0.06</v>
      </c>
      <c r="C13" t="s">
        <v>4</v>
      </c>
      <c r="D13">
        <f>1-B13</f>
        <v>0.94</v>
      </c>
      <c r="F13" t="s">
        <v>63</v>
      </c>
      <c r="G13">
        <f>50/169</f>
        <v>0.29585798816568049</v>
      </c>
    </row>
    <row r="14" spans="1:10">
      <c r="A14" t="s">
        <v>2</v>
      </c>
      <c r="B14">
        <v>0.12</v>
      </c>
      <c r="C14" t="s">
        <v>3</v>
      </c>
      <c r="D14">
        <f>1-B14</f>
        <v>0.88</v>
      </c>
      <c r="F14" t="s">
        <v>64</v>
      </c>
      <c r="G14">
        <f>113/169</f>
        <v>0.66863905325443784</v>
      </c>
      <c r="J14">
        <f>33/113</f>
        <v>0.29203539823008851</v>
      </c>
    </row>
    <row r="15" spans="1:10">
      <c r="A15" t="s">
        <v>5</v>
      </c>
      <c r="B15">
        <v>0.05</v>
      </c>
      <c r="F15" t="s">
        <v>65</v>
      </c>
      <c r="G15">
        <f>33/169</f>
        <v>0.19526627218934911</v>
      </c>
      <c r="I15">
        <f>G13*G14</f>
        <v>0.19782220510486329</v>
      </c>
      <c r="J15">
        <f>33/50</f>
        <v>0.66</v>
      </c>
    </row>
    <row r="16" spans="1:10">
      <c r="A16" t="s">
        <v>6</v>
      </c>
      <c r="B16">
        <f>1-B15</f>
        <v>0.95</v>
      </c>
      <c r="F16" t="s">
        <v>68</v>
      </c>
      <c r="G16">
        <f>G13+G14-G15</f>
        <v>0.76923076923076927</v>
      </c>
    </row>
    <row r="17" spans="1:7">
      <c r="A17" t="s">
        <v>7</v>
      </c>
      <c r="B17">
        <f>(D14*B15)/(D14*B15+B13*B16)</f>
        <v>0.43564356435643564</v>
      </c>
      <c r="F17" t="s">
        <v>66</v>
      </c>
      <c r="G17">
        <f>G15/G14</f>
        <v>0.29203539823008851</v>
      </c>
    </row>
    <row r="18" spans="1:7">
      <c r="A18" t="s">
        <v>8</v>
      </c>
      <c r="B18">
        <f>(B13*B16)/(D14*B15+B13*B16)</f>
        <v>0.5643564356435643</v>
      </c>
      <c r="F18" t="s">
        <v>67</v>
      </c>
      <c r="G18">
        <f>G15/G13</f>
        <v>0.65999999999999992</v>
      </c>
    </row>
    <row r="19" spans="1:7">
      <c r="A19" t="s">
        <v>9</v>
      </c>
      <c r="B19">
        <f>(D13*B16)/(D13*B16+B14*B15)</f>
        <v>0.99332591768631817</v>
      </c>
      <c r="G19" t="s">
        <v>44</v>
      </c>
    </row>
    <row r="20" spans="1:7">
      <c r="A20" t="s">
        <v>10</v>
      </c>
      <c r="B20">
        <f>(B14*B15)/(D13*B16+B14*B15)</f>
        <v>6.6740823136818691E-3</v>
      </c>
    </row>
    <row r="21" spans="1:7">
      <c r="B21">
        <f>SUM(B17:B20)</f>
        <v>2</v>
      </c>
    </row>
    <row r="23" spans="1:7">
      <c r="A23" t="s">
        <v>11</v>
      </c>
      <c r="B23">
        <v>11</v>
      </c>
      <c r="C23">
        <v>6</v>
      </c>
      <c r="D23">
        <f>COMBIN(B23,C23)</f>
        <v>461.99999999999994</v>
      </c>
      <c r="F23">
        <f>PERMUT(11,6)</f>
        <v>332640</v>
      </c>
    </row>
    <row r="25" spans="1:7">
      <c r="A25" t="s">
        <v>24</v>
      </c>
      <c r="B25">
        <v>100</v>
      </c>
      <c r="C25">
        <v>0.1</v>
      </c>
      <c r="D25">
        <f>B25*C25</f>
        <v>10</v>
      </c>
    </row>
    <row r="26" spans="1:7">
      <c r="A26" t="s">
        <v>33</v>
      </c>
      <c r="B26">
        <v>150</v>
      </c>
      <c r="C26">
        <v>0.2</v>
      </c>
      <c r="D26">
        <f t="shared" ref="D26:D30" si="1">B26*C26</f>
        <v>30</v>
      </c>
    </row>
    <row r="27" spans="1:7">
      <c r="B27">
        <v>200</v>
      </c>
      <c r="C27">
        <v>0.3</v>
      </c>
      <c r="D27">
        <f t="shared" si="1"/>
        <v>60</v>
      </c>
    </row>
    <row r="28" spans="1:7">
      <c r="B28">
        <v>250</v>
      </c>
      <c r="C28">
        <v>0.3</v>
      </c>
      <c r="D28">
        <f t="shared" si="1"/>
        <v>75</v>
      </c>
    </row>
    <row r="29" spans="1:7">
      <c r="B29">
        <v>300</v>
      </c>
      <c r="C29">
        <v>0.1</v>
      </c>
      <c r="D29">
        <f t="shared" si="1"/>
        <v>30</v>
      </c>
    </row>
    <row r="30" spans="1:7">
      <c r="B30">
        <v>0</v>
      </c>
      <c r="C30">
        <v>0</v>
      </c>
      <c r="D30">
        <f t="shared" si="1"/>
        <v>0</v>
      </c>
    </row>
    <row r="31" spans="1:7">
      <c r="B31">
        <v>0</v>
      </c>
      <c r="C31">
        <v>0</v>
      </c>
      <c r="D31">
        <f>B31*C31</f>
        <v>0</v>
      </c>
    </row>
    <row r="32" spans="1:7">
      <c r="C32">
        <f>SUM(C25:C31)</f>
        <v>1.0000000000000002</v>
      </c>
    </row>
    <row r="33" spans="1:7">
      <c r="C33" t="s">
        <v>25</v>
      </c>
      <c r="D33">
        <f>SUM(D25:D31)</f>
        <v>205</v>
      </c>
    </row>
    <row r="34" spans="1:7">
      <c r="C34" t="s">
        <v>26</v>
      </c>
      <c r="D34">
        <f>(SUM((B25-D33)^2*C25,(B26-D33)^2*C26,(B27-D33)^2*C27,(B28-D33)^2*C28,(B29-D33)^2*C29,(B30-D33)^2*C30,(B31-D33)^2*C31))^0.5</f>
        <v>56.789083458002736</v>
      </c>
    </row>
    <row r="37" spans="1:7">
      <c r="A37" t="s">
        <v>12</v>
      </c>
      <c r="B37" t="s">
        <v>13</v>
      </c>
      <c r="C37">
        <v>4</v>
      </c>
    </row>
    <row r="38" spans="1:7">
      <c r="A38" t="s">
        <v>33</v>
      </c>
      <c r="B38" t="s">
        <v>14</v>
      </c>
      <c r="C38">
        <v>93</v>
      </c>
    </row>
    <row r="39" spans="1:7">
      <c r="B39" t="s">
        <v>15</v>
      </c>
      <c r="C39" t="s">
        <v>22</v>
      </c>
      <c r="D39">
        <v>8</v>
      </c>
      <c r="E39">
        <f>1/(C38-C37+1)</f>
        <v>1.1111111111111112E-2</v>
      </c>
      <c r="F39" t="s">
        <v>23</v>
      </c>
      <c r="G39">
        <f>1-E39</f>
        <v>0.98888888888888893</v>
      </c>
    </row>
    <row r="40" spans="1:7">
      <c r="B40" t="s">
        <v>16</v>
      </c>
      <c r="C40" t="s">
        <v>38</v>
      </c>
      <c r="D40">
        <v>9</v>
      </c>
      <c r="E40">
        <f>(D40-C37+1)/(C38-C37+1)</f>
        <v>6.6666666666666666E-2</v>
      </c>
      <c r="F40" t="s">
        <v>23</v>
      </c>
      <c r="G40">
        <f>1-E40</f>
        <v>0.93333333333333335</v>
      </c>
    </row>
    <row r="41" spans="1:7">
      <c r="B41" t="s">
        <v>17</v>
      </c>
      <c r="C41">
        <f>(C37+C38)/2</f>
        <v>48.5</v>
      </c>
    </row>
    <row r="42" spans="1:7">
      <c r="B42" t="s">
        <v>18</v>
      </c>
      <c r="C42">
        <f>(((C38-C37+1)^2-1)/12)^0.5</f>
        <v>25.979158313283875</v>
      </c>
    </row>
    <row r="44" spans="1:7">
      <c r="A44" t="s">
        <v>19</v>
      </c>
      <c r="B44" t="s">
        <v>20</v>
      </c>
      <c r="C44">
        <v>16</v>
      </c>
    </row>
    <row r="45" spans="1:7">
      <c r="A45" t="s">
        <v>33</v>
      </c>
      <c r="B45" t="s">
        <v>21</v>
      </c>
      <c r="C45">
        <v>0.125</v>
      </c>
    </row>
    <row r="46" spans="1:7">
      <c r="B46" t="s">
        <v>15</v>
      </c>
      <c r="C46" t="s">
        <v>22</v>
      </c>
      <c r="D46">
        <v>14</v>
      </c>
      <c r="E46">
        <f>_xlfn.BINOM.DIST(D46,C44,C45,0)</f>
        <v>2.0889956431347E-11</v>
      </c>
      <c r="F46" t="s">
        <v>23</v>
      </c>
      <c r="G46">
        <f>1-E46</f>
        <v>0.99999999997911004</v>
      </c>
    </row>
    <row r="47" spans="1:7">
      <c r="B47" t="s">
        <v>16</v>
      </c>
      <c r="C47" t="s">
        <v>38</v>
      </c>
      <c r="D47">
        <v>1</v>
      </c>
      <c r="E47">
        <f>_xlfn.BINOM.DIST(D47,C44,C45,1)</f>
        <v>0.3879347144983889</v>
      </c>
      <c r="F47" t="s">
        <v>23</v>
      </c>
      <c r="G47">
        <f>1-E47</f>
        <v>0.6120652855016111</v>
      </c>
    </row>
    <row r="48" spans="1:7">
      <c r="B48" t="s">
        <v>17</v>
      </c>
      <c r="C48">
        <f>C44*C45</f>
        <v>2</v>
      </c>
    </row>
    <row r="49" spans="1:8">
      <c r="B49" t="s">
        <v>18</v>
      </c>
      <c r="C49">
        <f>(C44*C45*(1-C45))^0.5</f>
        <v>1.3228756555322954</v>
      </c>
    </row>
    <row r="50" spans="1:8">
      <c r="B50" t="s">
        <v>59</v>
      </c>
      <c r="C50" t="s">
        <v>32</v>
      </c>
      <c r="D50">
        <v>0.4</v>
      </c>
      <c r="E50" t="s">
        <v>60</v>
      </c>
      <c r="F50">
        <f>D50</f>
        <v>0.4</v>
      </c>
      <c r="G50" t="s">
        <v>61</v>
      </c>
      <c r="H50">
        <f>D50*(1-D50)</f>
        <v>0.24</v>
      </c>
    </row>
    <row r="52" spans="1:8">
      <c r="A52" t="s">
        <v>27</v>
      </c>
      <c r="B52" t="s">
        <v>28</v>
      </c>
      <c r="C52">
        <v>13</v>
      </c>
    </row>
    <row r="53" spans="1:8">
      <c r="A53" t="s">
        <v>33</v>
      </c>
      <c r="B53" t="s">
        <v>15</v>
      </c>
      <c r="C53" t="s">
        <v>22</v>
      </c>
      <c r="D53">
        <v>9</v>
      </c>
      <c r="E53">
        <f>_xlfn.POISSON.DIST(D53,C52,0)</f>
        <v>6.605396213377436E-2</v>
      </c>
      <c r="F53" t="s">
        <v>23</v>
      </c>
      <c r="G53">
        <f>1-E53</f>
        <v>0.93394603786622565</v>
      </c>
    </row>
    <row r="54" spans="1:8">
      <c r="B54" t="s">
        <v>16</v>
      </c>
      <c r="C54" t="s">
        <v>38</v>
      </c>
      <c r="D54">
        <v>9</v>
      </c>
      <c r="E54">
        <f>_xlfn.POISSON.DIST(D54,C52,1)</f>
        <v>0.16581187661729205</v>
      </c>
      <c r="F54" t="s">
        <v>23</v>
      </c>
      <c r="G54">
        <f>1-E54</f>
        <v>0.83418812338270798</v>
      </c>
    </row>
    <row r="55" spans="1:8">
      <c r="B55" t="s">
        <v>17</v>
      </c>
      <c r="C55">
        <f>C52</f>
        <v>13</v>
      </c>
    </row>
    <row r="56" spans="1:8">
      <c r="B56" t="s">
        <v>18</v>
      </c>
      <c r="C56">
        <f>C52^0.5</f>
        <v>3.6055512754639891</v>
      </c>
    </row>
    <row r="57" spans="1:8">
      <c r="B57" t="s">
        <v>60</v>
      </c>
      <c r="C57">
        <f>C52</f>
        <v>13</v>
      </c>
    </row>
    <row r="58" spans="1:8">
      <c r="B58" t="s">
        <v>61</v>
      </c>
      <c r="C58">
        <f>C52</f>
        <v>13</v>
      </c>
    </row>
    <row r="60" spans="1:8">
      <c r="A60" t="s">
        <v>29</v>
      </c>
      <c r="B60" t="s">
        <v>30</v>
      </c>
      <c r="C60">
        <v>480</v>
      </c>
    </row>
    <row r="61" spans="1:8">
      <c r="A61" t="s">
        <v>33</v>
      </c>
      <c r="B61" t="s">
        <v>20</v>
      </c>
      <c r="C61">
        <v>10</v>
      </c>
    </row>
    <row r="62" spans="1:8">
      <c r="B62" t="s">
        <v>31</v>
      </c>
      <c r="C62">
        <v>96</v>
      </c>
      <c r="D62" t="s">
        <v>32</v>
      </c>
      <c r="E62">
        <f>C62/C60</f>
        <v>0.2</v>
      </c>
    </row>
    <row r="63" spans="1:8">
      <c r="B63" t="s">
        <v>15</v>
      </c>
      <c r="C63" t="s">
        <v>22</v>
      </c>
      <c r="D63">
        <v>2</v>
      </c>
      <c r="E63">
        <f>_xlfn.HYPGEOM.DIST(D63,C61,C62,C60,0)</f>
        <v>0.30517971892375156</v>
      </c>
      <c r="F63" t="s">
        <v>23</v>
      </c>
      <c r="G63">
        <f>1-E63</f>
        <v>0.69482028107624849</v>
      </c>
    </row>
    <row r="64" spans="1:8">
      <c r="B64" t="s">
        <v>16</v>
      </c>
      <c r="C64" t="s">
        <v>38</v>
      </c>
      <c r="D64">
        <v>2</v>
      </c>
      <c r="E64">
        <f>_xlfn.HYPGEOM.DIST(D64,C61,C62,C60,1)</f>
        <v>0.67844485467172011</v>
      </c>
      <c r="F64" t="s">
        <v>23</v>
      </c>
      <c r="G64">
        <f>1-E64</f>
        <v>0.32155514532827989</v>
      </c>
    </row>
    <row r="65" spans="1:9">
      <c r="B65" t="s">
        <v>17</v>
      </c>
      <c r="C65">
        <f>C61*E62</f>
        <v>2</v>
      </c>
    </row>
    <row r="66" spans="1:9">
      <c r="B66" t="s">
        <v>18</v>
      </c>
      <c r="C66">
        <f>(C61*E62*(1-E62))^0.5*((C60-C61)/(C60-1))^0.5</f>
        <v>1.2529714160825189</v>
      </c>
    </row>
    <row r="68" spans="1:9">
      <c r="A68" t="s">
        <v>62</v>
      </c>
      <c r="B68" t="s">
        <v>21</v>
      </c>
      <c r="C68">
        <v>0.6</v>
      </c>
    </row>
    <row r="69" spans="1:9">
      <c r="A69" t="s">
        <v>33</v>
      </c>
      <c r="B69" t="s">
        <v>15</v>
      </c>
      <c r="C69" t="s">
        <v>22</v>
      </c>
      <c r="D69">
        <v>4</v>
      </c>
      <c r="E69">
        <f>C68*(1-C68)^(D69-1)</f>
        <v>3.8400000000000011E-2</v>
      </c>
      <c r="F69" t="s">
        <v>23</v>
      </c>
      <c r="G69">
        <f>1-E69</f>
        <v>0.96160000000000001</v>
      </c>
    </row>
    <row r="70" spans="1:9">
      <c r="B70" t="s">
        <v>16</v>
      </c>
      <c r="C70" t="s">
        <v>38</v>
      </c>
      <c r="D70">
        <v>3</v>
      </c>
      <c r="E70">
        <f>1-(1-C68)^D70</f>
        <v>0.93599999999999994</v>
      </c>
      <c r="F70" t="s">
        <v>23</v>
      </c>
      <c r="G70">
        <f>1-E70</f>
        <v>6.4000000000000057E-2</v>
      </c>
    </row>
    <row r="71" spans="1:9">
      <c r="B71" t="s">
        <v>17</v>
      </c>
      <c r="C71">
        <f>1/C68</f>
        <v>1.6666666666666667</v>
      </c>
    </row>
    <row r="72" spans="1:9">
      <c r="B72" t="s">
        <v>18</v>
      </c>
      <c r="C72">
        <f>((1-C68)/C68^2)^0.5</f>
        <v>1.0540925533894598</v>
      </c>
    </row>
    <row r="73" spans="1:9" s="1" customFormat="1">
      <c r="A73" s="1" t="s">
        <v>172</v>
      </c>
    </row>
    <row r="74" spans="1:9">
      <c r="A74" t="s">
        <v>12</v>
      </c>
      <c r="B74" t="s">
        <v>13</v>
      </c>
      <c r="C74">
        <v>20</v>
      </c>
    </row>
    <row r="75" spans="1:9">
      <c r="A75" t="s">
        <v>34</v>
      </c>
      <c r="B75" t="s">
        <v>14</v>
      </c>
      <c r="C75">
        <v>45</v>
      </c>
    </row>
    <row r="76" spans="1:9">
      <c r="B76" t="s">
        <v>15</v>
      </c>
      <c r="C76" t="s">
        <v>22</v>
      </c>
      <c r="D76">
        <v>5</v>
      </c>
      <c r="E76">
        <f>1/(C75-C74)</f>
        <v>0.04</v>
      </c>
      <c r="F76" t="s">
        <v>23</v>
      </c>
      <c r="G76">
        <f>1-E76</f>
        <v>0.96</v>
      </c>
      <c r="H76" t="s">
        <v>97</v>
      </c>
      <c r="I76">
        <v>0.46428570000000002</v>
      </c>
    </row>
    <row r="77" spans="1:9">
      <c r="B77" t="s">
        <v>16</v>
      </c>
      <c r="C77" t="s">
        <v>38</v>
      </c>
      <c r="D77">
        <v>26</v>
      </c>
      <c r="E77">
        <f>(D77-C74)/(C75-C74)</f>
        <v>0.24</v>
      </c>
      <c r="F77" t="s">
        <v>173</v>
      </c>
      <c r="G77">
        <f>1-E77</f>
        <v>0.76</v>
      </c>
      <c r="H77" t="s">
        <v>98</v>
      </c>
      <c r="I77">
        <v>0.2142857</v>
      </c>
    </row>
    <row r="78" spans="1:9">
      <c r="B78" t="s">
        <v>17</v>
      </c>
      <c r="C78">
        <f>(C74+C75)/2</f>
        <v>32.5</v>
      </c>
      <c r="H78" t="s">
        <v>99</v>
      </c>
      <c r="I78">
        <f>I76-I77</f>
        <v>0.25</v>
      </c>
    </row>
    <row r="79" spans="1:9">
      <c r="B79" t="s">
        <v>18</v>
      </c>
      <c r="C79">
        <f>((C75-C74)^2/12)^0.5</f>
        <v>7.2168783648703219</v>
      </c>
    </row>
    <row r="81" spans="1:9">
      <c r="A81" t="s">
        <v>35</v>
      </c>
      <c r="B81" t="s">
        <v>36</v>
      </c>
      <c r="C81">
        <v>25</v>
      </c>
    </row>
    <row r="82" spans="1:9">
      <c r="A82" t="s">
        <v>34</v>
      </c>
      <c r="B82" t="s">
        <v>37</v>
      </c>
      <c r="C82">
        <v>4</v>
      </c>
    </row>
    <row r="83" spans="1:9">
      <c r="B83" t="s">
        <v>15</v>
      </c>
      <c r="C83" t="s">
        <v>22</v>
      </c>
      <c r="D83">
        <v>60</v>
      </c>
      <c r="E83">
        <f>_xlfn.NORM.DIST(D83,C81,C82,0)</f>
        <v>2.3632759704757133E-18</v>
      </c>
      <c r="F83" t="s">
        <v>23</v>
      </c>
      <c r="G83">
        <f>1-E83</f>
        <v>1</v>
      </c>
      <c r="H83" t="s">
        <v>97</v>
      </c>
      <c r="I83">
        <v>6.6807199999999997E-2</v>
      </c>
    </row>
    <row r="84" spans="1:9">
      <c r="B84" t="s">
        <v>16</v>
      </c>
      <c r="C84" t="s">
        <v>38</v>
      </c>
      <c r="D84">
        <v>32</v>
      </c>
      <c r="E84">
        <f>_xlfn.NORM.DIST(D84,C81,C82,1)</f>
        <v>0.95994084313618289</v>
      </c>
      <c r="F84" t="s">
        <v>173</v>
      </c>
      <c r="G84">
        <f>1-E84</f>
        <v>4.0059156863817114E-2</v>
      </c>
      <c r="H84" t="s">
        <v>98</v>
      </c>
      <c r="I84">
        <v>8.8419999999999997E-5</v>
      </c>
    </row>
    <row r="85" spans="1:9">
      <c r="B85" t="s">
        <v>17</v>
      </c>
      <c r="C85">
        <f>C81</f>
        <v>25</v>
      </c>
      <c r="H85" t="s">
        <v>99</v>
      </c>
      <c r="I85">
        <f>I83-I84</f>
        <v>6.6718779999999991E-2</v>
      </c>
    </row>
    <row r="86" spans="1:9">
      <c r="B86" t="s">
        <v>18</v>
      </c>
      <c r="C86">
        <f>C82</f>
        <v>4</v>
      </c>
    </row>
    <row r="88" spans="1:9">
      <c r="A88" t="s">
        <v>39</v>
      </c>
      <c r="B88" t="s">
        <v>40</v>
      </c>
      <c r="C88">
        <v>62</v>
      </c>
      <c r="G88" t="s">
        <v>96</v>
      </c>
    </row>
    <row r="89" spans="1:9">
      <c r="A89" t="s">
        <v>34</v>
      </c>
      <c r="B89" t="s">
        <v>36</v>
      </c>
      <c r="C89">
        <v>60</v>
      </c>
      <c r="E89" t="s">
        <v>41</v>
      </c>
      <c r="F89">
        <f>(C88-C89)/C90</f>
        <v>0.25</v>
      </c>
      <c r="G89">
        <v>0</v>
      </c>
    </row>
    <row r="90" spans="1:9">
      <c r="B90" t="s">
        <v>37</v>
      </c>
      <c r="C90">
        <v>8</v>
      </c>
      <c r="E90" t="s">
        <v>95</v>
      </c>
      <c r="F90">
        <v>1.52</v>
      </c>
    </row>
    <row r="91" spans="1:9">
      <c r="B91" t="s">
        <v>17</v>
      </c>
      <c r="C91">
        <v>0</v>
      </c>
    </row>
    <row r="92" spans="1:9">
      <c r="B92" t="s">
        <v>18</v>
      </c>
      <c r="C92">
        <v>1</v>
      </c>
    </row>
    <row r="93" spans="1:9">
      <c r="B93" t="s">
        <v>15</v>
      </c>
      <c r="C93" t="s">
        <v>43</v>
      </c>
      <c r="D93">
        <f>IF(G89=1,_xlfn.NORM.S.DIST(F89,0),_xlfn.NORM.S.DIST(F90,0))</f>
        <v>0.12566463678908815</v>
      </c>
      <c r="E93" t="s">
        <v>23</v>
      </c>
      <c r="F93">
        <f>1-D93</f>
        <v>0.87433536321091188</v>
      </c>
      <c r="H93" t="s">
        <v>97</v>
      </c>
      <c r="I93">
        <v>0.99885579999999996</v>
      </c>
    </row>
    <row r="94" spans="1:9">
      <c r="B94" t="s">
        <v>16</v>
      </c>
      <c r="C94" t="s">
        <v>73</v>
      </c>
      <c r="D94">
        <f>IF(G89=1,_xlfn.NORM.S.DIST(F89,1),_xlfn.NORM.S.DIST(F90,1))</f>
        <v>0.93574451218106425</v>
      </c>
      <c r="E94" t="s">
        <v>74</v>
      </c>
      <c r="F94">
        <f>1-D94</f>
        <v>6.4255487818935753E-2</v>
      </c>
      <c r="H94" t="s">
        <v>98</v>
      </c>
      <c r="I94">
        <v>0.97981779999999996</v>
      </c>
    </row>
    <row r="95" spans="1:9">
      <c r="B95" t="s">
        <v>50</v>
      </c>
      <c r="C95" t="s">
        <v>52</v>
      </c>
      <c r="D95">
        <f>D94-0.5</f>
        <v>0.43574451218106425</v>
      </c>
      <c r="E95" t="s">
        <v>75</v>
      </c>
      <c r="F95">
        <f>0.5-D95</f>
        <v>6.4255487818935753E-2</v>
      </c>
      <c r="H95" t="s">
        <v>99</v>
      </c>
      <c r="I95">
        <f>I93-I94</f>
        <v>1.9037999999999999E-2</v>
      </c>
    </row>
    <row r="96" spans="1:9">
      <c r="B96" t="s">
        <v>51</v>
      </c>
      <c r="C96" t="s">
        <v>53</v>
      </c>
      <c r="D96">
        <f>2*D95</f>
        <v>0.87148902436212849</v>
      </c>
    </row>
    <row r="98" spans="1:7">
      <c r="A98" t="s">
        <v>72</v>
      </c>
      <c r="B98" t="s">
        <v>89</v>
      </c>
      <c r="C98">
        <v>0.1</v>
      </c>
    </row>
    <row r="99" spans="1:7">
      <c r="B99" t="s">
        <v>76</v>
      </c>
      <c r="C99">
        <v>1.645</v>
      </c>
      <c r="D99">
        <v>1.282</v>
      </c>
      <c r="E99">
        <v>0.67500000000000004</v>
      </c>
    </row>
    <row r="100" spans="1:7">
      <c r="B100" t="s">
        <v>88</v>
      </c>
      <c r="C100">
        <f>_xlfn.NORM.S.INV(C98)</f>
        <v>-1.2815515655446006</v>
      </c>
    </row>
    <row r="102" spans="1:7">
      <c r="A102" t="s">
        <v>69</v>
      </c>
      <c r="B102" t="s">
        <v>70</v>
      </c>
      <c r="C102">
        <v>0.4</v>
      </c>
    </row>
    <row r="103" spans="1:7">
      <c r="B103" t="s">
        <v>36</v>
      </c>
      <c r="C103">
        <v>25</v>
      </c>
    </row>
    <row r="104" spans="1:7">
      <c r="B104" t="s">
        <v>37</v>
      </c>
      <c r="C104">
        <v>4</v>
      </c>
    </row>
    <row r="105" spans="1:7">
      <c r="B105" t="s">
        <v>22</v>
      </c>
      <c r="C105">
        <f>_xlfn.NORM.INV(C102,C103,C104)</f>
        <v>23.9866115874568</v>
      </c>
    </row>
    <row r="106" spans="1:7">
      <c r="B106" t="s">
        <v>71</v>
      </c>
      <c r="C106">
        <f>_xlfn.NORM.S.INV(C102)</f>
        <v>-0.25334710313579978</v>
      </c>
    </row>
    <row r="108" spans="1:7">
      <c r="A108" t="s">
        <v>77</v>
      </c>
      <c r="B108" t="s">
        <v>177</v>
      </c>
      <c r="C108">
        <v>13.5</v>
      </c>
      <c r="D108" t="s">
        <v>78</v>
      </c>
      <c r="E108">
        <f>C109*C110</f>
        <v>8.11</v>
      </c>
      <c r="F108" t="s">
        <v>148</v>
      </c>
      <c r="G108" t="str">
        <f>IF(AND(E108&gt;9.999,C109*(1-C110)&gt;9.999),"OK","BINOM")</f>
        <v>BINOM</v>
      </c>
    </row>
    <row r="109" spans="1:7">
      <c r="B109" t="s">
        <v>20</v>
      </c>
      <c r="C109">
        <v>811</v>
      </c>
      <c r="D109" t="s">
        <v>79</v>
      </c>
      <c r="E109">
        <f>(C109*C110*(1-C110))^0.5</f>
        <v>2.8335313656284096</v>
      </c>
    </row>
    <row r="110" spans="1:7">
      <c r="B110" t="s">
        <v>21</v>
      </c>
      <c r="C110">
        <v>0.01</v>
      </c>
      <c r="D110" t="s">
        <v>43</v>
      </c>
      <c r="E110">
        <f>(C108-E108)/E109</f>
        <v>1.9022199878859034</v>
      </c>
    </row>
    <row r="111" spans="1:7">
      <c r="B111" t="s">
        <v>16</v>
      </c>
      <c r="C111" t="s">
        <v>81</v>
      </c>
      <c r="D111">
        <f>_xlfn.NORM.S.DIST(E110,1)</f>
        <v>0.97142879960154871</v>
      </c>
      <c r="E111" t="s">
        <v>82</v>
      </c>
      <c r="F111">
        <f>1-D111</f>
        <v>2.8571200398451291E-2</v>
      </c>
    </row>
    <row r="113" spans="1:7">
      <c r="A113" t="s">
        <v>83</v>
      </c>
      <c r="B113" t="s">
        <v>28</v>
      </c>
      <c r="C113">
        <v>42</v>
      </c>
      <c r="D113" t="s">
        <v>78</v>
      </c>
      <c r="E113">
        <f>C113</f>
        <v>42</v>
      </c>
      <c r="F113" t="s">
        <v>80</v>
      </c>
      <c r="G113">
        <f>IF(C113&gt;9.9999,1,0)</f>
        <v>1</v>
      </c>
    </row>
    <row r="114" spans="1:7">
      <c r="B114" t="s">
        <v>40</v>
      </c>
      <c r="C114">
        <v>50.5</v>
      </c>
      <c r="D114" t="s">
        <v>79</v>
      </c>
      <c r="E114">
        <f>C113^0.5</f>
        <v>6.4807406984078604</v>
      </c>
    </row>
    <row r="115" spans="1:7">
      <c r="D115" t="s">
        <v>43</v>
      </c>
      <c r="E115">
        <f>(C114-E113)/E114</f>
        <v>1.3115784746777812</v>
      </c>
    </row>
    <row r="116" spans="1:7">
      <c r="B116" t="s">
        <v>16</v>
      </c>
      <c r="C116" t="s">
        <v>81</v>
      </c>
      <c r="D116">
        <f>_xlfn.NORM.S.DIST(E115,1)</f>
        <v>0.90516880011792722</v>
      </c>
      <c r="E116" t="s">
        <v>82</v>
      </c>
      <c r="F116">
        <f>1-D116</f>
        <v>9.4831199882072781E-2</v>
      </c>
    </row>
    <row r="119" spans="1:7">
      <c r="A119" t="s">
        <v>42</v>
      </c>
      <c r="B119" t="s">
        <v>28</v>
      </c>
      <c r="C119">
        <v>3.6</v>
      </c>
    </row>
    <row r="120" spans="1:7">
      <c r="B120" t="s">
        <v>176</v>
      </c>
      <c r="C120">
        <f>1/C119</f>
        <v>0.27777777777777779</v>
      </c>
    </row>
    <row r="121" spans="1:7">
      <c r="B121" t="s">
        <v>15</v>
      </c>
      <c r="C121" t="s">
        <v>22</v>
      </c>
      <c r="D121">
        <f>29/60</f>
        <v>0.48333333333333334</v>
      </c>
      <c r="E121">
        <f>_xlfn.EXPON.DIST(D121,C119,0)</f>
        <v>0.63187344222118869</v>
      </c>
      <c r="F121" t="s">
        <v>23</v>
      </c>
      <c r="G121">
        <f>1-E121</f>
        <v>0.36812655777881131</v>
      </c>
    </row>
    <row r="122" spans="1:7">
      <c r="B122" t="s">
        <v>16</v>
      </c>
      <c r="C122" t="s">
        <v>38</v>
      </c>
      <c r="D122">
        <v>0.5</v>
      </c>
      <c r="E122">
        <f>_xlfn.EXPON.DIST(D122,C119,1)</f>
        <v>0.83470111177841344</v>
      </c>
      <c r="F122" t="s">
        <v>23</v>
      </c>
      <c r="G122">
        <f>1-E122</f>
        <v>0.16529888822158656</v>
      </c>
    </row>
    <row r="124" spans="1:7">
      <c r="A124" t="s">
        <v>84</v>
      </c>
      <c r="B124" t="s">
        <v>90</v>
      </c>
    </row>
    <row r="125" spans="1:7">
      <c r="B125" t="s">
        <v>28</v>
      </c>
      <c r="C125">
        <v>0.4</v>
      </c>
      <c r="D125" t="s">
        <v>92</v>
      </c>
    </row>
    <row r="126" spans="1:7">
      <c r="B126" t="s">
        <v>85</v>
      </c>
      <c r="C126">
        <f>29/60</f>
        <v>0.48333333333333334</v>
      </c>
    </row>
    <row r="127" spans="1:7">
      <c r="B127" t="s">
        <v>86</v>
      </c>
      <c r="C127">
        <f>LN(1-C126)/-C125</f>
        <v>1.6508933943423865</v>
      </c>
      <c r="D127" t="s">
        <v>87</v>
      </c>
      <c r="E127">
        <f>1/C125</f>
        <v>2.5</v>
      </c>
    </row>
    <row r="128" spans="1:7">
      <c r="B128" t="s">
        <v>91</v>
      </c>
    </row>
    <row r="129" spans="1:7">
      <c r="B129" t="s">
        <v>40</v>
      </c>
      <c r="C129">
        <v>3.6</v>
      </c>
      <c r="D129" t="s">
        <v>94</v>
      </c>
    </row>
    <row r="130" spans="1:7">
      <c r="B130" t="s">
        <v>85</v>
      </c>
      <c r="C130">
        <v>0.5</v>
      </c>
    </row>
    <row r="131" spans="1:7">
      <c r="B131" t="s">
        <v>93</v>
      </c>
      <c r="C131">
        <f>LN(1-C130)/-C129</f>
        <v>0.19254088348887369</v>
      </c>
      <c r="D131" t="s">
        <v>87</v>
      </c>
      <c r="E131">
        <f>1/C131</f>
        <v>5.1937021472002689</v>
      </c>
    </row>
    <row r="133" spans="1:7" s="2" customFormat="1"/>
    <row r="134" spans="1:7">
      <c r="A134" t="s">
        <v>138</v>
      </c>
      <c r="B134" t="s">
        <v>37</v>
      </c>
      <c r="C134">
        <v>16</v>
      </c>
    </row>
    <row r="135" spans="1:7">
      <c r="B135" t="s">
        <v>20</v>
      </c>
      <c r="C135">
        <v>256</v>
      </c>
    </row>
    <row r="136" spans="1:7">
      <c r="B136" t="s">
        <v>137</v>
      </c>
      <c r="C136">
        <f>C134/SQRT(C135)</f>
        <v>1</v>
      </c>
    </row>
    <row r="139" spans="1:7">
      <c r="A139" t="s">
        <v>100</v>
      </c>
      <c r="B139" t="s">
        <v>20</v>
      </c>
      <c r="C139">
        <v>5</v>
      </c>
      <c r="D139" t="s">
        <v>102</v>
      </c>
      <c r="E139">
        <f>_xlfn.NORM.S.INV(C142/2)</f>
        <v>-0.67448975019608193</v>
      </c>
    </row>
    <row r="140" spans="1:7">
      <c r="B140" t="s">
        <v>117</v>
      </c>
      <c r="C140">
        <v>177</v>
      </c>
      <c r="D140" t="s">
        <v>105</v>
      </c>
      <c r="E140">
        <f>_xlfn.CONFIDENCE.NORM(C142,C141,C139)</f>
        <v>16.695768264230512</v>
      </c>
    </row>
    <row r="141" spans="1:7">
      <c r="B141" t="s">
        <v>37</v>
      </c>
      <c r="C141">
        <v>55.349800000000002</v>
      </c>
      <c r="D141" t="s">
        <v>103</v>
      </c>
      <c r="E141">
        <f>C140-E140</f>
        <v>160.30423173576949</v>
      </c>
      <c r="G141">
        <f>_xlfn.T.INV(0.025,19)</f>
        <v>-2.0930240544083096</v>
      </c>
    </row>
    <row r="142" spans="1:7">
      <c r="B142" t="s">
        <v>101</v>
      </c>
      <c r="C142">
        <v>0.5</v>
      </c>
      <c r="D142" t="s">
        <v>104</v>
      </c>
      <c r="E142">
        <f>C140+E140</f>
        <v>193.69576826423051</v>
      </c>
    </row>
    <row r="144" spans="1:7">
      <c r="A144" t="s">
        <v>106</v>
      </c>
      <c r="B144" t="s">
        <v>20</v>
      </c>
      <c r="C144">
        <v>5</v>
      </c>
      <c r="D144" t="s">
        <v>109</v>
      </c>
      <c r="E144">
        <f>C144-1</f>
        <v>4</v>
      </c>
    </row>
    <row r="145" spans="1:7">
      <c r="B145" t="s">
        <v>117</v>
      </c>
      <c r="C145">
        <v>177</v>
      </c>
      <c r="D145" t="s">
        <v>107</v>
      </c>
      <c r="E145">
        <f>_xlfn.T.INV(C147/2,E144)</f>
        <v>-2.7764451051977934</v>
      </c>
    </row>
    <row r="146" spans="1:7">
      <c r="B146" t="s">
        <v>31</v>
      </c>
      <c r="C146">
        <v>61.88</v>
      </c>
      <c r="D146" t="s">
        <v>108</v>
      </c>
      <c r="E146">
        <f>_xlfn.CONFIDENCE.T(C147,C146,C144)</f>
        <v>76.834168208848922</v>
      </c>
    </row>
    <row r="147" spans="1:7">
      <c r="B147" t="s">
        <v>101</v>
      </c>
      <c r="C147">
        <v>0.05</v>
      </c>
      <c r="D147" t="s">
        <v>103</v>
      </c>
      <c r="E147">
        <f>C145-E146</f>
        <v>100.16583179115108</v>
      </c>
    </row>
    <row r="148" spans="1:7">
      <c r="D148" t="s">
        <v>104</v>
      </c>
      <c r="E148">
        <f>C145+E146</f>
        <v>253.83416820884892</v>
      </c>
    </row>
    <row r="150" spans="1:7">
      <c r="A150" t="s">
        <v>110</v>
      </c>
      <c r="B150" t="s">
        <v>40</v>
      </c>
      <c r="C150">
        <v>12</v>
      </c>
      <c r="D150" t="s">
        <v>111</v>
      </c>
      <c r="E150">
        <f>SQRT(C154*(1-C154)/C151)</f>
        <v>9.9919967974374371E-2</v>
      </c>
      <c r="F150" t="s">
        <v>113</v>
      </c>
      <c r="G150">
        <f>IF(AND((C151*C154)&gt;9.9999,(C151*(1-C154))&gt;9.9999),1,0)</f>
        <v>1</v>
      </c>
    </row>
    <row r="151" spans="1:7">
      <c r="B151" t="s">
        <v>20</v>
      </c>
      <c r="C151">
        <v>25</v>
      </c>
      <c r="D151" t="s">
        <v>102</v>
      </c>
      <c r="E151">
        <f>_xlfn.NORM.S.INV(C152/2)</f>
        <v>-1.6448536269514726</v>
      </c>
      <c r="F151" t="s">
        <v>135</v>
      </c>
      <c r="G151">
        <f>IF(AND(C150&gt;9.9999,(C151-C150)&gt;9.9999),1,0)</f>
        <v>1</v>
      </c>
    </row>
    <row r="152" spans="1:7">
      <c r="B152" t="s">
        <v>101</v>
      </c>
      <c r="C152">
        <v>0.1</v>
      </c>
      <c r="D152" t="s">
        <v>105</v>
      </c>
      <c r="E152">
        <f>E151*E150</f>
        <v>-0.16435372172752469</v>
      </c>
    </row>
    <row r="153" spans="1:7">
      <c r="D153" t="s">
        <v>103</v>
      </c>
      <c r="E153">
        <f>C154-E152</f>
        <v>0.6443537217275247</v>
      </c>
    </row>
    <row r="154" spans="1:7">
      <c r="B154" t="s">
        <v>112</v>
      </c>
      <c r="C154">
        <f>C150/C151</f>
        <v>0.48</v>
      </c>
      <c r="D154" t="s">
        <v>104</v>
      </c>
      <c r="E154">
        <f>C154+E152</f>
        <v>0.31564627827247527</v>
      </c>
    </row>
    <row r="156" spans="1:7">
      <c r="A156" t="s">
        <v>115</v>
      </c>
      <c r="B156" t="s">
        <v>30</v>
      </c>
      <c r="C156">
        <v>500</v>
      </c>
      <c r="D156" t="s">
        <v>116</v>
      </c>
      <c r="E156">
        <f>SQRT((C156-C157)/(C156-1))</f>
        <v>0.93902264459069795</v>
      </c>
    </row>
    <row r="157" spans="1:7">
      <c r="A157" t="s">
        <v>114</v>
      </c>
      <c r="B157" t="s">
        <v>20</v>
      </c>
      <c r="C157">
        <v>60</v>
      </c>
      <c r="D157" t="s">
        <v>102</v>
      </c>
      <c r="E157">
        <f>_xlfn.NORM.S.INV(C160/2)</f>
        <v>-1.6448536269514726</v>
      </c>
    </row>
    <row r="158" spans="1:7">
      <c r="B158" t="s">
        <v>117</v>
      </c>
      <c r="C158">
        <v>4.2</v>
      </c>
      <c r="D158" t="s">
        <v>105</v>
      </c>
      <c r="E158">
        <f>_xlfn.CONFIDENCE.NORM(C160,C159,C157)</f>
        <v>0.14864478309641138</v>
      </c>
    </row>
    <row r="159" spans="1:7">
      <c r="B159" t="s">
        <v>31</v>
      </c>
      <c r="C159">
        <v>0.7</v>
      </c>
      <c r="D159" t="s">
        <v>103</v>
      </c>
      <c r="E159">
        <f>C158-E158*E156</f>
        <v>4.0604191826721969</v>
      </c>
    </row>
    <row r="160" spans="1:7">
      <c r="B160" t="s">
        <v>101</v>
      </c>
      <c r="C160">
        <v>0.1</v>
      </c>
      <c r="D160" t="s">
        <v>104</v>
      </c>
      <c r="E160">
        <f>C158+E158*E156</f>
        <v>4.3395808173278034</v>
      </c>
    </row>
    <row r="162" spans="1:7">
      <c r="A162" t="s">
        <v>106</v>
      </c>
      <c r="B162" t="s">
        <v>30</v>
      </c>
      <c r="C162">
        <v>500</v>
      </c>
      <c r="D162" t="s">
        <v>116</v>
      </c>
      <c r="E162">
        <f>SQRT((C162-C163)/(C162-1))</f>
        <v>0.93902264459069795</v>
      </c>
    </row>
    <row r="163" spans="1:7">
      <c r="A163" t="s">
        <v>114</v>
      </c>
      <c r="B163" t="s">
        <v>20</v>
      </c>
      <c r="C163">
        <v>60</v>
      </c>
      <c r="D163" t="s">
        <v>109</v>
      </c>
      <c r="E163">
        <f>C163-1</f>
        <v>59</v>
      </c>
    </row>
    <row r="164" spans="1:7">
      <c r="B164" t="s">
        <v>117</v>
      </c>
      <c r="C164">
        <v>4.2</v>
      </c>
      <c r="D164" t="s">
        <v>107</v>
      </c>
      <c r="E164">
        <f>_xlfn.T.INV(C166/2,E163)</f>
        <v>-1.6710930321038957</v>
      </c>
    </row>
    <row r="165" spans="1:7">
      <c r="B165" t="s">
        <v>31</v>
      </c>
      <c r="C165">
        <v>0.7</v>
      </c>
      <c r="D165" t="s">
        <v>108</v>
      </c>
      <c r="E165">
        <f>_xlfn.CONFIDENCE.T(C166,C165,C163)</f>
        <v>0.15101602794370503</v>
      </c>
    </row>
    <row r="166" spans="1:7">
      <c r="B166" t="s">
        <v>101</v>
      </c>
      <c r="C166">
        <v>0.1</v>
      </c>
      <c r="D166" t="s">
        <v>103</v>
      </c>
      <c r="E166">
        <f>C164-E165*E162</f>
        <v>4.0581925300647193</v>
      </c>
    </row>
    <row r="167" spans="1:7">
      <c r="D167" t="s">
        <v>104</v>
      </c>
      <c r="E167">
        <f>C164+E165*E162</f>
        <v>4.3418074699352811</v>
      </c>
    </row>
    <row r="169" spans="1:7">
      <c r="A169" t="s">
        <v>110</v>
      </c>
      <c r="B169" t="s">
        <v>30</v>
      </c>
      <c r="C169">
        <v>500</v>
      </c>
      <c r="D169" t="s">
        <v>116</v>
      </c>
      <c r="E169">
        <f>SQRT((C169-C170)/(C169-1))</f>
        <v>0.93902264459069795</v>
      </c>
    </row>
    <row r="170" spans="1:7">
      <c r="A170" t="s">
        <v>114</v>
      </c>
      <c r="B170" t="s">
        <v>20</v>
      </c>
      <c r="C170">
        <v>60</v>
      </c>
      <c r="D170" t="s">
        <v>111</v>
      </c>
      <c r="E170">
        <f>SQRT(C173*(1-C173)/C170)</f>
        <v>6.0858061945018457E-2</v>
      </c>
      <c r="F170" t="s">
        <v>113</v>
      </c>
      <c r="G170">
        <f>IF(AND(C171&gt;9.9999,C170-C171&gt;9.9999),1,0)</f>
        <v>1</v>
      </c>
    </row>
    <row r="171" spans="1:7">
      <c r="B171" t="s">
        <v>117</v>
      </c>
      <c r="C171">
        <v>40</v>
      </c>
      <c r="D171" t="s">
        <v>102</v>
      </c>
      <c r="E171">
        <f>_xlfn.NORM.S.INV(C172/2)</f>
        <v>-1.6448536269514726</v>
      </c>
    </row>
    <row r="172" spans="1:7">
      <c r="B172" t="s">
        <v>101</v>
      </c>
      <c r="C172">
        <v>0.1</v>
      </c>
      <c r="D172" t="s">
        <v>105</v>
      </c>
      <c r="E172">
        <f>E171*E170</f>
        <v>-0.100102603919501</v>
      </c>
    </row>
    <row r="173" spans="1:7">
      <c r="B173" t="s">
        <v>112</v>
      </c>
      <c r="C173">
        <f>C171/C170</f>
        <v>0.66666666666666663</v>
      </c>
      <c r="D173" t="s">
        <v>103</v>
      </c>
      <c r="E173">
        <f>C173-E172*E169</f>
        <v>0.76066527852957166</v>
      </c>
    </row>
    <row r="174" spans="1:7">
      <c r="D174" t="s">
        <v>104</v>
      </c>
      <c r="E174">
        <f>C173+E172*E169</f>
        <v>0.57266805480376159</v>
      </c>
    </row>
    <row r="176" spans="1:7">
      <c r="A176" t="s">
        <v>118</v>
      </c>
      <c r="B176" t="s">
        <v>119</v>
      </c>
      <c r="C176">
        <v>75</v>
      </c>
      <c r="D176" t="s">
        <v>120</v>
      </c>
      <c r="E176">
        <f>_xlfn.NORM.S.INV(C177/2)</f>
        <v>-2.5758293035488999</v>
      </c>
    </row>
    <row r="177" spans="1:11">
      <c r="A177" t="s">
        <v>121</v>
      </c>
      <c r="B177" t="s">
        <v>101</v>
      </c>
      <c r="C177">
        <v>0.01</v>
      </c>
      <c r="D177" t="s">
        <v>123</v>
      </c>
      <c r="E177">
        <f>(E176*C178/C176)^2</f>
        <v>106.15834561633937</v>
      </c>
    </row>
    <row r="178" spans="1:11">
      <c r="B178" t="s">
        <v>37</v>
      </c>
      <c r="C178">
        <v>300</v>
      </c>
    </row>
    <row r="180" spans="1:11">
      <c r="A180" t="s">
        <v>118</v>
      </c>
      <c r="B180" t="s">
        <v>119</v>
      </c>
      <c r="C180">
        <v>0.02</v>
      </c>
      <c r="D180" t="s">
        <v>120</v>
      </c>
      <c r="E180">
        <f>_xlfn.NORM.S.INV(C181/2)</f>
        <v>-1.6448536269514726</v>
      </c>
    </row>
    <row r="181" spans="1:11">
      <c r="A181" t="s">
        <v>122</v>
      </c>
      <c r="B181" t="s">
        <v>101</v>
      </c>
      <c r="C181">
        <v>0.1</v>
      </c>
      <c r="D181" t="s">
        <v>123</v>
      </c>
      <c r="E181">
        <f>(E180/C180)^2*C182*(1-C182)</f>
        <v>1690.9646588096341</v>
      </c>
    </row>
    <row r="182" spans="1:11">
      <c r="B182" t="s">
        <v>21</v>
      </c>
      <c r="C182">
        <v>0.5</v>
      </c>
    </row>
    <row r="183" spans="1:11">
      <c r="B183" t="s">
        <v>136</v>
      </c>
      <c r="C183">
        <v>0.5</v>
      </c>
    </row>
    <row r="185" spans="1:11">
      <c r="A185" t="s">
        <v>174</v>
      </c>
      <c r="B185" t="s">
        <v>20</v>
      </c>
      <c r="C185">
        <v>4</v>
      </c>
      <c r="D185" t="s">
        <v>175</v>
      </c>
      <c r="E185">
        <f>C185*C186/(C185+C186-1)</f>
        <v>3.8888888888888888</v>
      </c>
    </row>
    <row r="186" spans="1:11">
      <c r="B186" t="s">
        <v>30</v>
      </c>
      <c r="C186">
        <v>105</v>
      </c>
    </row>
    <row r="188" spans="1:11" s="3" customFormat="1">
      <c r="A188" s="3" t="s">
        <v>178</v>
      </c>
    </row>
    <row r="189" spans="1:11">
      <c r="A189" t="s">
        <v>124</v>
      </c>
      <c r="B189" t="s">
        <v>134</v>
      </c>
      <c r="C189">
        <v>39</v>
      </c>
      <c r="D189" t="s">
        <v>128</v>
      </c>
      <c r="E189">
        <f>C190/SQRT(C191)</f>
        <v>3</v>
      </c>
      <c r="H189" t="s">
        <v>142</v>
      </c>
    </row>
    <row r="190" spans="1:11">
      <c r="A190" t="s">
        <v>125</v>
      </c>
      <c r="B190" t="s">
        <v>37</v>
      </c>
      <c r="C190">
        <v>12</v>
      </c>
      <c r="D190" t="s">
        <v>141</v>
      </c>
      <c r="E190">
        <f>_xlfn.NORM.S.INV(C193)</f>
        <v>-2.3263478740408408</v>
      </c>
      <c r="H190" t="s">
        <v>141</v>
      </c>
      <c r="I190">
        <f>_xlfn.T.INV(C193,C191-1)</f>
        <v>-2.6024802950111221</v>
      </c>
    </row>
    <row r="191" spans="1:11">
      <c r="B191" t="s">
        <v>20</v>
      </c>
      <c r="C191">
        <v>16</v>
      </c>
      <c r="D191" t="s">
        <v>127</v>
      </c>
      <c r="E191">
        <f>(C192-C189)/E189</f>
        <v>-4.333333333333333</v>
      </c>
      <c r="F191" t="s">
        <v>129</v>
      </c>
      <c r="G191" t="str">
        <f>IF((E190&gt;E191),"H1","H0")</f>
        <v>H1</v>
      </c>
      <c r="H191" t="s">
        <v>139</v>
      </c>
      <c r="I191">
        <f>E191</f>
        <v>-4.333333333333333</v>
      </c>
      <c r="J191" t="s">
        <v>129</v>
      </c>
      <c r="K191" t="str">
        <f>IF((I190&gt;I191),"H1","H0")</f>
        <v>H1</v>
      </c>
    </row>
    <row r="192" spans="1:11">
      <c r="B192" t="s">
        <v>117</v>
      </c>
      <c r="C192">
        <v>26</v>
      </c>
      <c r="D192" t="s">
        <v>130</v>
      </c>
      <c r="E192">
        <f>_xlfn.NORM.S.DIST(E191,1)</f>
        <v>7.3434238368946899E-6</v>
      </c>
      <c r="F192" t="s">
        <v>129</v>
      </c>
      <c r="G192" t="str">
        <f>IF(E192&lt;C193,"H1","H0")</f>
        <v>H1</v>
      </c>
      <c r="H192" t="s">
        <v>130</v>
      </c>
      <c r="I192">
        <f>_xlfn.T.DIST(I191,C191-1,1)</f>
        <v>2.9542889312872292E-4</v>
      </c>
      <c r="J192" t="s">
        <v>129</v>
      </c>
      <c r="K192" t="str">
        <f>IF(I192&lt;C193,"H1","H0")</f>
        <v>H1</v>
      </c>
    </row>
    <row r="193" spans="1:11">
      <c r="B193" t="s">
        <v>101</v>
      </c>
      <c r="C193">
        <v>0.01</v>
      </c>
    </row>
    <row r="195" spans="1:11">
      <c r="A195" t="s">
        <v>126</v>
      </c>
      <c r="B195" t="s">
        <v>134</v>
      </c>
      <c r="C195">
        <v>360</v>
      </c>
      <c r="D195" t="s">
        <v>128</v>
      </c>
      <c r="E195">
        <f>C196/SQRT(C197)</f>
        <v>15.556349186104047</v>
      </c>
      <c r="H195" t="s">
        <v>142</v>
      </c>
    </row>
    <row r="196" spans="1:11">
      <c r="A196" t="s">
        <v>140</v>
      </c>
      <c r="B196" t="s">
        <v>37</v>
      </c>
      <c r="C196">
        <v>66</v>
      </c>
      <c r="D196" t="s">
        <v>141</v>
      </c>
      <c r="E196">
        <f>_xlfn.NORM.S.INV(1-C199)</f>
        <v>2.3263478740408408</v>
      </c>
      <c r="H196" t="s">
        <v>141</v>
      </c>
      <c r="I196">
        <f>_xlfn.T.INV(C199,C197-1)</f>
        <v>-2.5669339837247178</v>
      </c>
    </row>
    <row r="197" spans="1:11">
      <c r="B197" t="s">
        <v>20</v>
      </c>
      <c r="C197">
        <v>18</v>
      </c>
      <c r="D197" t="s">
        <v>127</v>
      </c>
      <c r="E197">
        <f>(C198-C195)/E195</f>
        <v>2.5070149514795772</v>
      </c>
      <c r="F197" t="s">
        <v>129</v>
      </c>
      <c r="G197" t="str">
        <f>IF((E196&lt;E197),"H1","H0")</f>
        <v>H1</v>
      </c>
      <c r="H197" t="s">
        <v>139</v>
      </c>
      <c r="I197">
        <f>E197</f>
        <v>2.5070149514795772</v>
      </c>
      <c r="J197" t="s">
        <v>129</v>
      </c>
      <c r="K197" t="str">
        <f>IF((I196&lt;I197),"H1","H0")</f>
        <v>H1</v>
      </c>
    </row>
    <row r="198" spans="1:11">
      <c r="B198" t="s">
        <v>117</v>
      </c>
      <c r="C198">
        <v>399</v>
      </c>
      <c r="D198" t="s">
        <v>130</v>
      </c>
      <c r="E198">
        <f>1-_xlfn.NORM.S.DIST(E197,1)</f>
        <v>6.0877780677889293E-3</v>
      </c>
      <c r="F198" t="s">
        <v>129</v>
      </c>
      <c r="G198" t="str">
        <f>IF(E198&gt;C199,"H0","H1")</f>
        <v>H1</v>
      </c>
      <c r="H198" t="s">
        <v>130</v>
      </c>
      <c r="I198">
        <f>1-_xlfn.T.DIST(I197,C197-1,1)</f>
        <v>1.1310282438589447E-2</v>
      </c>
      <c r="J198" t="s">
        <v>129</v>
      </c>
      <c r="K198" t="str">
        <f>IF(I198&gt;C199,"H1","H0")</f>
        <v>H1</v>
      </c>
    </row>
    <row r="199" spans="1:11">
      <c r="B199" t="s">
        <v>101</v>
      </c>
      <c r="C199">
        <v>0.01</v>
      </c>
    </row>
    <row r="201" spans="1:11">
      <c r="A201" t="s">
        <v>131</v>
      </c>
      <c r="B201" t="s">
        <v>134</v>
      </c>
      <c r="C201">
        <v>216</v>
      </c>
      <c r="D201" t="s">
        <v>128</v>
      </c>
      <c r="E201">
        <f>C202/SQRT(C203)</f>
        <v>3.2526911934581183E-3</v>
      </c>
      <c r="H201" t="s">
        <v>142</v>
      </c>
    </row>
    <row r="202" spans="1:11">
      <c r="A202" t="s">
        <v>140</v>
      </c>
      <c r="B202" t="s">
        <v>37</v>
      </c>
      <c r="C202">
        <v>2.3E-2</v>
      </c>
      <c r="D202" t="s">
        <v>141</v>
      </c>
      <c r="E202">
        <f>_xlfn.NORM.S.INV(C205/2)</f>
        <v>-2.3263478740408408</v>
      </c>
      <c r="H202" t="s">
        <v>141</v>
      </c>
      <c r="I202">
        <f>_xlfn.T.INV.2T(C205,C203-1)</f>
        <v>2.4048917595376684</v>
      </c>
    </row>
    <row r="203" spans="1:11">
      <c r="B203" t="s">
        <v>20</v>
      </c>
      <c r="C203">
        <v>50</v>
      </c>
      <c r="D203" t="s">
        <v>127</v>
      </c>
      <c r="E203">
        <f>(C204-C201)/E201</f>
        <v>2.152064116656248</v>
      </c>
      <c r="F203" t="s">
        <v>129</v>
      </c>
      <c r="G203" t="str">
        <f>IF((ABS(E203)&lt;ABS(E202)),"H0","H1")</f>
        <v>H0</v>
      </c>
      <c r="H203" t="s">
        <v>139</v>
      </c>
      <c r="I203">
        <f>E203</f>
        <v>2.152064116656248</v>
      </c>
      <c r="J203" t="s">
        <v>129</v>
      </c>
      <c r="K203" t="str">
        <f>IF((I202&lt;ABS(I203)),"H1","H0")</f>
        <v>H0</v>
      </c>
    </row>
    <row r="204" spans="1:11">
      <c r="B204" t="s">
        <v>117</v>
      </c>
      <c r="C204">
        <v>216.00700000000001</v>
      </c>
      <c r="D204" t="s">
        <v>132</v>
      </c>
      <c r="E204">
        <f>IF((E203&lt;0),(_xlfn.NORM.S.DIST(E203,1)),(1-_xlfn.NORM.S.DIST(E203,1)))</f>
        <v>1.5696152425572651E-2</v>
      </c>
      <c r="F204" t="s">
        <v>129</v>
      </c>
      <c r="G204" t="str">
        <f>IF((E205&lt;C205),"H1","H0")</f>
        <v>H0</v>
      </c>
      <c r="H204" t="s">
        <v>130</v>
      </c>
      <c r="I204">
        <f>_xlfn.T.DIST.2T(ABS(I203),C203-1)</f>
        <v>3.634585641282239E-2</v>
      </c>
      <c r="J204" t="s">
        <v>129</v>
      </c>
      <c r="K204" t="str">
        <f>IF(I204&gt;C205,"H0","H1")</f>
        <v>H0</v>
      </c>
    </row>
    <row r="205" spans="1:11">
      <c r="B205" t="s">
        <v>101</v>
      </c>
      <c r="C205">
        <v>0.02</v>
      </c>
      <c r="D205" t="s">
        <v>133</v>
      </c>
      <c r="E205">
        <f>E204*2</f>
        <v>3.1392304851145303E-2</v>
      </c>
    </row>
    <row r="207" spans="1:11">
      <c r="A207" t="s">
        <v>143</v>
      </c>
      <c r="B207" t="s">
        <v>144</v>
      </c>
      <c r="C207">
        <v>0.3</v>
      </c>
      <c r="D207" t="s">
        <v>112</v>
      </c>
      <c r="E207">
        <f>C208/C209</f>
        <v>0.45714285714285713</v>
      </c>
    </row>
    <row r="208" spans="1:11">
      <c r="A208" t="s">
        <v>125</v>
      </c>
      <c r="B208" t="s">
        <v>40</v>
      </c>
      <c r="C208">
        <v>16</v>
      </c>
      <c r="D208" t="s">
        <v>111</v>
      </c>
      <c r="E208">
        <f>SQRT((C207*(1-C207)/C209))</f>
        <v>7.7459666924148338E-2</v>
      </c>
    </row>
    <row r="209" spans="1:9">
      <c r="B209" t="s">
        <v>20</v>
      </c>
      <c r="C209">
        <v>35</v>
      </c>
      <c r="D209" t="s">
        <v>141</v>
      </c>
      <c r="E209">
        <f>_xlfn.NORM.S.INV(C210)</f>
        <v>-1.6448536269514726</v>
      </c>
      <c r="G209" t="s">
        <v>145</v>
      </c>
      <c r="H209" t="s">
        <v>146</v>
      </c>
      <c r="I209" t="s">
        <v>147</v>
      </c>
    </row>
    <row r="210" spans="1:9">
      <c r="B210" t="s">
        <v>101</v>
      </c>
      <c r="C210">
        <v>0.05</v>
      </c>
      <c r="D210" t="s">
        <v>127</v>
      </c>
      <c r="E210">
        <f>(E207-C207)/E208</f>
        <v>2.0287055622991232</v>
      </c>
      <c r="F210" t="s">
        <v>129</v>
      </c>
      <c r="G210" t="str">
        <f>IF((E209&lt;E210),"H0","H1")</f>
        <v>H0</v>
      </c>
      <c r="H210" t="str">
        <f>IF((E210&lt;E209),"H0","H1")</f>
        <v>H1</v>
      </c>
      <c r="I210" t="str">
        <f>IF((ABS(E210)&gt;ABS(E209)),"H1","H0")</f>
        <v>H1</v>
      </c>
    </row>
    <row r="211" spans="1:9">
      <c r="D211" t="s">
        <v>130</v>
      </c>
      <c r="G211">
        <f>_xlfn.NORM.S.DIST(E210,1)</f>
        <v>0.97875585548944133</v>
      </c>
      <c r="H211">
        <f>1-_xlfn.NORM.S.DIST(E210,1)</f>
        <v>2.1244144510558671E-2</v>
      </c>
      <c r="I211">
        <f>ABS(2*_xlfn.NORM.S.DIST(E210,1))</f>
        <v>1.9575117109788827</v>
      </c>
    </row>
    <row r="212" spans="1:9">
      <c r="D212" t="s">
        <v>148</v>
      </c>
      <c r="E212" t="str">
        <f>IF(AND(C209*C207&gt;9.999,C209*(1-C207)&gt;9.999),"OK","BINOM")</f>
        <v>OK</v>
      </c>
      <c r="I212">
        <f>2*H211</f>
        <v>4.2488289021117343E-2</v>
      </c>
    </row>
    <row r="214" spans="1:9" s="3" customFormat="1">
      <c r="A214" s="3" t="s">
        <v>179</v>
      </c>
    </row>
    <row r="215" spans="1:9">
      <c r="A215" t="s">
        <v>198</v>
      </c>
    </row>
    <row r="216" spans="1:9">
      <c r="A216" t="s">
        <v>199</v>
      </c>
      <c r="B216" t="s">
        <v>190</v>
      </c>
      <c r="C216">
        <v>45.8</v>
      </c>
      <c r="D216" t="s">
        <v>127</v>
      </c>
      <c r="E216">
        <f>(C216-C219)/SQRT(C217^2/C218+C220^2/C221)</f>
        <v>3.3698995795076154</v>
      </c>
      <c r="G216" t="s">
        <v>145</v>
      </c>
      <c r="H216" t="s">
        <v>146</v>
      </c>
      <c r="I216" t="s">
        <v>186</v>
      </c>
    </row>
    <row r="217" spans="1:9">
      <c r="B217" t="s">
        <v>180</v>
      </c>
      <c r="C217">
        <v>1.6</v>
      </c>
      <c r="D217" t="s">
        <v>224</v>
      </c>
      <c r="E217">
        <f>_xlfn.NORM.S.INV(C223)</f>
        <v>-2.3263478740408408</v>
      </c>
      <c r="F217" t="s">
        <v>129</v>
      </c>
      <c r="G217" t="str">
        <f>IF((E216&lt;E217),"H1","H0")</f>
        <v>H0</v>
      </c>
      <c r="H217" t="str">
        <f>IF((E216&gt;E218),"H1","H0")</f>
        <v>H1</v>
      </c>
      <c r="I217" t="str">
        <f>IF((ABS(E219)&lt;ABS(E216)),"H1","H0")</f>
        <v>H1</v>
      </c>
    </row>
    <row r="218" spans="1:9">
      <c r="B218" t="s">
        <v>181</v>
      </c>
      <c r="C218">
        <v>24</v>
      </c>
      <c r="D218" t="s">
        <v>225</v>
      </c>
      <c r="E218">
        <f>-E217</f>
        <v>2.3263478740408408</v>
      </c>
      <c r="I218">
        <f>2*(ABS(1-_xlfn.NORM.S.DIST(E216,1)))</f>
        <v>7.5195581524423183E-4</v>
      </c>
    </row>
    <row r="219" spans="1:9">
      <c r="B219" t="s">
        <v>191</v>
      </c>
      <c r="C219">
        <v>43.7</v>
      </c>
      <c r="D219" t="s">
        <v>207</v>
      </c>
      <c r="E219">
        <f>_xlfn.NORM.S.INV(C223/2)</f>
        <v>-2.5758293035488999</v>
      </c>
      <c r="F219" t="s">
        <v>130</v>
      </c>
      <c r="G219">
        <f>1-_xlfn.NORM.S.DIST(E216,1)</f>
        <v>3.7597790762211591E-4</v>
      </c>
    </row>
    <row r="220" spans="1:9">
      <c r="B220" t="s">
        <v>182</v>
      </c>
      <c r="C220">
        <v>2.6</v>
      </c>
      <c r="E220">
        <f>_xlfn.NORM.S.INV(1-C223/2)</f>
        <v>2.5758293035488999</v>
      </c>
      <c r="G220">
        <f>_xlfn.NORM.S.DIST(E216,1)</f>
        <v>0.99962402209237788</v>
      </c>
    </row>
    <row r="221" spans="1:9">
      <c r="B221" t="s">
        <v>183</v>
      </c>
      <c r="C221">
        <v>24</v>
      </c>
    </row>
    <row r="222" spans="1:9">
      <c r="B222" t="s">
        <v>202</v>
      </c>
      <c r="C222">
        <v>0</v>
      </c>
    </row>
    <row r="223" spans="1:9">
      <c r="B223" t="s">
        <v>101</v>
      </c>
      <c r="C223">
        <v>0.01</v>
      </c>
    </row>
    <row r="225" spans="1:9">
      <c r="A225" t="s">
        <v>200</v>
      </c>
      <c r="B225" t="s">
        <v>190</v>
      </c>
      <c r="C225">
        <v>30.54</v>
      </c>
      <c r="D225" t="s">
        <v>109</v>
      </c>
      <c r="E225">
        <f>C227+C230-2</f>
        <v>29</v>
      </c>
    </row>
    <row r="226" spans="1:9">
      <c r="A226" t="s">
        <v>201</v>
      </c>
      <c r="B226" t="s">
        <v>184</v>
      </c>
      <c r="C226">
        <v>15.1</v>
      </c>
      <c r="D226" t="s">
        <v>203</v>
      </c>
      <c r="E226">
        <f>((C227-1)*C226^2+(C230-1)*C229^2)/(C230+C227-2)</f>
        <v>176.48068965517243</v>
      </c>
    </row>
    <row r="227" spans="1:9">
      <c r="B227" t="s">
        <v>181</v>
      </c>
      <c r="C227">
        <v>19</v>
      </c>
      <c r="D227" t="s">
        <v>187</v>
      </c>
      <c r="E227">
        <f>SQRT(E226)</f>
        <v>13.284603481292637</v>
      </c>
      <c r="G227" t="s">
        <v>145</v>
      </c>
      <c r="H227" t="s">
        <v>146</v>
      </c>
      <c r="I227" t="s">
        <v>186</v>
      </c>
    </row>
    <row r="228" spans="1:9">
      <c r="B228" t="s">
        <v>191</v>
      </c>
      <c r="C228">
        <v>20.98</v>
      </c>
      <c r="D228" t="s">
        <v>139</v>
      </c>
      <c r="E228">
        <f>(C225-C228)/SQRT(E226/C227+E226/C230)</f>
        <v>1.9516227531946744</v>
      </c>
      <c r="F228" t="s">
        <v>129</v>
      </c>
      <c r="G228" t="str">
        <f>IF((E228&lt;E229),"H1","H0")</f>
        <v>H0</v>
      </c>
      <c r="H228" t="str">
        <f>IF((E228&gt;E230),"H1","H0")</f>
        <v>H0</v>
      </c>
      <c r="I228" t="str">
        <f>IF((ABS(E231)&lt;ABS(E228)),"H1","H0")</f>
        <v>H0</v>
      </c>
    </row>
    <row r="229" spans="1:9">
      <c r="B229" t="s">
        <v>185</v>
      </c>
      <c r="C229">
        <v>9.6</v>
      </c>
      <c r="D229" t="s">
        <v>224</v>
      </c>
      <c r="E229">
        <f>_xlfn.T.INV(C232,E225)</f>
        <v>-2.4620213601504126</v>
      </c>
      <c r="F229" t="s">
        <v>130</v>
      </c>
      <c r="G229">
        <f>_xlfn.T.DIST(E228,E225,1)</f>
        <v>0.96964953008697496</v>
      </c>
      <c r="H229">
        <f>_xlfn.T.DIST.RT(E228,E225)</f>
        <v>3.0350469913025081E-2</v>
      </c>
      <c r="I229">
        <f>_xlfn.T.DIST.2T(ABS(E228),E225)</f>
        <v>6.0700939826050161E-2</v>
      </c>
    </row>
    <row r="230" spans="1:9">
      <c r="B230" t="s">
        <v>183</v>
      </c>
      <c r="C230">
        <v>12</v>
      </c>
      <c r="D230" t="s">
        <v>225</v>
      </c>
      <c r="E230">
        <f>-E229</f>
        <v>2.4620213601504126</v>
      </c>
    </row>
    <row r="231" spans="1:9">
      <c r="B231" t="s">
        <v>202</v>
      </c>
      <c r="C231">
        <v>0</v>
      </c>
      <c r="D231" t="s">
        <v>208</v>
      </c>
      <c r="E231">
        <f>_xlfn.T.INV.2T(C232,E225)</f>
        <v>2.7563859036706049</v>
      </c>
    </row>
    <row r="232" spans="1:9">
      <c r="B232" t="s">
        <v>101</v>
      </c>
      <c r="C232">
        <v>0.01</v>
      </c>
    </row>
    <row r="234" spans="1:9">
      <c r="A234" t="s">
        <v>200</v>
      </c>
      <c r="B234" t="s">
        <v>190</v>
      </c>
      <c r="C234">
        <v>4.25</v>
      </c>
      <c r="D234" t="s">
        <v>205</v>
      </c>
      <c r="E234">
        <f>(C235^2)/C236</f>
        <v>2.666666666666667E-3</v>
      </c>
    </row>
    <row r="235" spans="1:9">
      <c r="A235" t="s">
        <v>204</v>
      </c>
      <c r="B235" t="s">
        <v>184</v>
      </c>
      <c r="C235">
        <v>0.2</v>
      </c>
      <c r="D235" t="s">
        <v>206</v>
      </c>
      <c r="E235">
        <f>(C238^2)/C239</f>
        <v>6.0000000000000001E-3</v>
      </c>
    </row>
    <row r="236" spans="1:9">
      <c r="B236" t="s">
        <v>181</v>
      </c>
      <c r="C236">
        <v>15</v>
      </c>
      <c r="D236" t="s">
        <v>109</v>
      </c>
      <c r="E236">
        <f>(E234+E235)^2/(((E234^2)/(C236-1))+((E235^2)/(C239-1)))</f>
        <v>24.391752577319586</v>
      </c>
      <c r="G236" t="s">
        <v>145</v>
      </c>
      <c r="H236" t="s">
        <v>146</v>
      </c>
      <c r="I236" t="s">
        <v>186</v>
      </c>
    </row>
    <row r="237" spans="1:9">
      <c r="B237" t="s">
        <v>191</v>
      </c>
      <c r="C237">
        <v>4.5999999999999996</v>
      </c>
      <c r="D237" t="s">
        <v>139</v>
      </c>
      <c r="E237">
        <f>(C234-C237)/SQRT(E234+E235)</f>
        <v>-3.7596030887070189</v>
      </c>
      <c r="F237" t="s">
        <v>129</v>
      </c>
      <c r="G237" t="str">
        <f>IF((E237&lt;E238),"H1","H0")</f>
        <v>H1</v>
      </c>
      <c r="H237" t="str">
        <f>IF((E237&gt;E239),"H1","H0")</f>
        <v>H0</v>
      </c>
      <c r="I237" t="str">
        <f>IF((ABS(E240)&lt;ABS(E237)),"H1","H0")</f>
        <v>H1</v>
      </c>
    </row>
    <row r="238" spans="1:9">
      <c r="B238" t="s">
        <v>185</v>
      </c>
      <c r="C238">
        <v>0.3</v>
      </c>
      <c r="D238" t="s">
        <v>224</v>
      </c>
      <c r="E238">
        <f>_xlfn.T.INV(C241,E236)</f>
        <v>-2.0638985616280254</v>
      </c>
      <c r="F238" t="s">
        <v>130</v>
      </c>
      <c r="G238">
        <f>_xlfn.T.DIST(E237,E236,1)</f>
        <v>4.8251833499718709E-4</v>
      </c>
      <c r="H238">
        <f>_xlfn.T.DIST.RT(E237,E236)</f>
        <v>0.99951748166500276</v>
      </c>
      <c r="I238">
        <f>_xlfn.T.DIST.2T(ABS(E237),E236)</f>
        <v>9.6503666999437417E-4</v>
      </c>
    </row>
    <row r="239" spans="1:9">
      <c r="B239" t="s">
        <v>183</v>
      </c>
      <c r="C239">
        <v>15</v>
      </c>
      <c r="D239" t="s">
        <v>225</v>
      </c>
      <c r="E239">
        <f>_xlfn.T.INV(1-C241,E236)</f>
        <v>2.0638985616280254</v>
      </c>
    </row>
    <row r="240" spans="1:9">
      <c r="B240" t="s">
        <v>202</v>
      </c>
      <c r="C240" t="s">
        <v>170</v>
      </c>
      <c r="D240" t="s">
        <v>208</v>
      </c>
      <c r="E240">
        <f>_xlfn.T.INV.2T(C241,E236)</f>
        <v>2.390949315129467</v>
      </c>
    </row>
    <row r="241" spans="1:6">
      <c r="B241" t="s">
        <v>101</v>
      </c>
      <c r="C241">
        <v>2.5000000000000001E-2</v>
      </c>
    </row>
    <row r="243" spans="1:6">
      <c r="A243" t="s">
        <v>188</v>
      </c>
    </row>
    <row r="244" spans="1:6">
      <c r="A244" t="s">
        <v>189</v>
      </c>
      <c r="B244" t="s">
        <v>190</v>
      </c>
      <c r="C244">
        <v>30.54</v>
      </c>
      <c r="D244" t="s">
        <v>109</v>
      </c>
      <c r="E244">
        <f>C246+C249-2</f>
        <v>29</v>
      </c>
    </row>
    <row r="245" spans="1:6">
      <c r="A245" t="s">
        <v>219</v>
      </c>
      <c r="B245" t="s">
        <v>184</v>
      </c>
      <c r="C245">
        <v>15.1</v>
      </c>
      <c r="D245" t="s">
        <v>192</v>
      </c>
      <c r="E245">
        <f>_xlfn.T.INV.2T(C250,E244)</f>
        <v>2.7563859036706049</v>
      </c>
    </row>
    <row r="246" spans="1:6">
      <c r="B246" t="s">
        <v>181</v>
      </c>
      <c r="C246">
        <v>19</v>
      </c>
      <c r="D246" t="s">
        <v>194</v>
      </c>
      <c r="E246">
        <f>((C246-1)*C245^2+(C249-1)*C248^2)/(C246+C249-2)</f>
        <v>176.48068965517243</v>
      </c>
    </row>
    <row r="247" spans="1:6">
      <c r="B247" t="s">
        <v>191</v>
      </c>
      <c r="C247">
        <v>20.98</v>
      </c>
      <c r="D247" t="s">
        <v>195</v>
      </c>
      <c r="E247">
        <f>SQRT(E246*(1/C246+1/C249))</f>
        <v>4.8984876735787815</v>
      </c>
    </row>
    <row r="248" spans="1:6">
      <c r="B248" t="s">
        <v>185</v>
      </c>
      <c r="C248">
        <v>9.6</v>
      </c>
      <c r="D248" t="s">
        <v>193</v>
      </c>
      <c r="E248">
        <f>C244-C247-E245*E247</f>
        <v>-3.9421223727567689</v>
      </c>
    </row>
    <row r="249" spans="1:6">
      <c r="B249" t="s">
        <v>183</v>
      </c>
      <c r="C249">
        <v>12</v>
      </c>
      <c r="D249" t="s">
        <v>196</v>
      </c>
      <c r="E249">
        <f>C244-C247+E245*E247</f>
        <v>23.062122372756768</v>
      </c>
    </row>
    <row r="250" spans="1:6">
      <c r="B250" t="s">
        <v>101</v>
      </c>
      <c r="C250">
        <v>0.01</v>
      </c>
    </row>
    <row r="252" spans="1:6">
      <c r="A252" t="s">
        <v>197</v>
      </c>
      <c r="B252" t="s">
        <v>190</v>
      </c>
      <c r="C252">
        <v>30.54</v>
      </c>
      <c r="D252" t="s">
        <v>205</v>
      </c>
      <c r="E252">
        <f>C253^2/C254</f>
        <v>12.000526315789473</v>
      </c>
    </row>
    <row r="253" spans="1:6">
      <c r="A253" t="s">
        <v>219</v>
      </c>
      <c r="B253" t="s">
        <v>184</v>
      </c>
      <c r="C253">
        <v>15.1</v>
      </c>
      <c r="D253" t="s">
        <v>206</v>
      </c>
      <c r="E253">
        <f>C256^2/C257</f>
        <v>7.68</v>
      </c>
    </row>
    <row r="254" spans="1:6">
      <c r="B254" t="s">
        <v>181</v>
      </c>
      <c r="C254">
        <v>19</v>
      </c>
      <c r="D254" t="s">
        <v>109</v>
      </c>
      <c r="E254">
        <f>(E252+E253)^2/(E252^2/(C254-1)+E253^2/(C257-1))</f>
        <v>28.985310660098477</v>
      </c>
      <c r="F254" t="s">
        <v>227</v>
      </c>
    </row>
    <row r="255" spans="1:6">
      <c r="B255" t="s">
        <v>191</v>
      </c>
      <c r="C255">
        <v>20.98</v>
      </c>
      <c r="D255" t="s">
        <v>192</v>
      </c>
      <c r="E255">
        <f>_xlfn.T.INV.2T(C258,E254)</f>
        <v>2.7632624554614447</v>
      </c>
    </row>
    <row r="256" spans="1:6">
      <c r="B256" t="s">
        <v>185</v>
      </c>
      <c r="C256">
        <v>9.6</v>
      </c>
      <c r="D256" t="s">
        <v>195</v>
      </c>
      <c r="E256">
        <f>E255*SQRT(E252+E253)</f>
        <v>12.258589172291547</v>
      </c>
    </row>
    <row r="257" spans="1:9">
      <c r="B257" t="s">
        <v>183</v>
      </c>
      <c r="C257">
        <v>12</v>
      </c>
      <c r="D257" t="s">
        <v>193</v>
      </c>
      <c r="E257">
        <f>C252-C255-E256</f>
        <v>-2.6985891722915483</v>
      </c>
    </row>
    <row r="258" spans="1:9">
      <c r="B258" t="s">
        <v>101</v>
      </c>
      <c r="C258">
        <v>0.01</v>
      </c>
      <c r="D258" t="s">
        <v>196</v>
      </c>
      <c r="E258">
        <f>C252-C255+E256</f>
        <v>21.818589172291546</v>
      </c>
    </row>
    <row r="260" spans="1:9">
      <c r="A260" t="s">
        <v>210</v>
      </c>
      <c r="B260" t="s">
        <v>211</v>
      </c>
      <c r="C260">
        <v>51</v>
      </c>
      <c r="D260" t="s">
        <v>213</v>
      </c>
      <c r="E260">
        <f>C260/C261</f>
        <v>0.51</v>
      </c>
    </row>
    <row r="261" spans="1:9">
      <c r="A261" t="s">
        <v>219</v>
      </c>
      <c r="B261" t="s">
        <v>181</v>
      </c>
      <c r="C261">
        <v>100</v>
      </c>
      <c r="D261" t="s">
        <v>214</v>
      </c>
      <c r="E261">
        <f>C262/C263</f>
        <v>0.47499999999999998</v>
      </c>
    </row>
    <row r="262" spans="1:9">
      <c r="B262" t="s">
        <v>212</v>
      </c>
      <c r="C262">
        <v>19</v>
      </c>
      <c r="D262" t="s">
        <v>215</v>
      </c>
      <c r="E262">
        <f>_xlfn.NORM.S.INV(C264/2)</f>
        <v>-1.6448536269514726</v>
      </c>
    </row>
    <row r="263" spans="1:9">
      <c r="B263" t="s">
        <v>183</v>
      </c>
      <c r="C263">
        <v>40</v>
      </c>
      <c r="D263" t="s">
        <v>216</v>
      </c>
      <c r="E263">
        <f>E260-E261-E262*SQRT((E260*(1-E260)/C261+E261*(1-E261)/C263))</f>
        <v>0.18871572972019013</v>
      </c>
      <c r="F263" t="s">
        <v>226</v>
      </c>
    </row>
    <row r="264" spans="1:9">
      <c r="B264" t="s">
        <v>101</v>
      </c>
      <c r="C264">
        <v>0.1</v>
      </c>
      <c r="D264" t="s">
        <v>217</v>
      </c>
      <c r="E264">
        <f>E260-E261+E262*SQRT((E260*(1-E260)/C261+E261*(1-E261)/C263))</f>
        <v>-0.11871572972019007</v>
      </c>
    </row>
    <row r="265" spans="1:9">
      <c r="D265" t="s">
        <v>148</v>
      </c>
      <c r="E265" t="str">
        <f>IF(AND(C261*E260&gt;9.999,C261*(1-E260)&gt;9.999,C263*E261&gt;9.999,C263*(1-E261)&gt;9.999), "OK", "NOT OK")</f>
        <v>OK</v>
      </c>
    </row>
    <row r="268" spans="1:9">
      <c r="A268" t="s">
        <v>210</v>
      </c>
      <c r="B268" t="s">
        <v>211</v>
      </c>
      <c r="C268">
        <v>6</v>
      </c>
      <c r="D268" t="s">
        <v>213</v>
      </c>
      <c r="E268">
        <f>C268/C269</f>
        <v>0.25</v>
      </c>
      <c r="F268" t="s">
        <v>148</v>
      </c>
      <c r="G268" t="str">
        <f>IF(AND(C269*E268&gt;9.999,C269*(1-E268)&gt;9.999,C271*E269&gt;9.999,C271*(1-E269)&gt;9.999), "OK", "NOT OK")</f>
        <v>NOT OK</v>
      </c>
    </row>
    <row r="269" spans="1:9">
      <c r="B269" t="s">
        <v>181</v>
      </c>
      <c r="C269">
        <v>24</v>
      </c>
      <c r="D269" t="s">
        <v>214</v>
      </c>
      <c r="E269">
        <f>C270/C271</f>
        <v>0.41666666666666669</v>
      </c>
    </row>
    <row r="270" spans="1:9">
      <c r="B270" t="s">
        <v>212</v>
      </c>
      <c r="C270">
        <v>10</v>
      </c>
      <c r="D270" t="s">
        <v>218</v>
      </c>
      <c r="E270">
        <f>(C268+C270)/(C269+C271)</f>
        <v>0.33333333333333331</v>
      </c>
      <c r="G270" t="s">
        <v>145</v>
      </c>
      <c r="H270" t="s">
        <v>146</v>
      </c>
      <c r="I270" t="s">
        <v>186</v>
      </c>
    </row>
    <row r="271" spans="1:9">
      <c r="B271" t="s">
        <v>183</v>
      </c>
      <c r="C271">
        <v>24</v>
      </c>
      <c r="D271" t="s">
        <v>127</v>
      </c>
      <c r="E271">
        <f>(E268-E269)/SQRT(E270*(1-E270)*((1/C269)+(1/C271)))</f>
        <v>-1.2247448713915892</v>
      </c>
      <c r="F271" t="s">
        <v>129</v>
      </c>
      <c r="G271" t="str">
        <f>IF((E271&lt;E272),"H1","H0")</f>
        <v>H0</v>
      </c>
      <c r="H271" t="str">
        <f>IF((E271&gt;E273),"H1","H0")</f>
        <v>H0</v>
      </c>
      <c r="I271" t="str">
        <f>IF((E274&lt;E271&lt;-E274),"H1","H0")</f>
        <v>H0</v>
      </c>
    </row>
    <row r="272" spans="1:9">
      <c r="B272" t="s">
        <v>101</v>
      </c>
      <c r="C272">
        <v>0.05</v>
      </c>
      <c r="D272" t="s">
        <v>224</v>
      </c>
      <c r="E272">
        <f>_xlfn.NORM.S.INV(C272)</f>
        <v>-1.6448536269514726</v>
      </c>
      <c r="F272" t="s">
        <v>130</v>
      </c>
      <c r="G272">
        <f>_xlfn.NORM.S.DIST(E271,1)</f>
        <v>0.11033568095992334</v>
      </c>
      <c r="H272">
        <f>1-_xlfn.NORM.S.DIST(E271,1)</f>
        <v>0.8896643190400767</v>
      </c>
      <c r="I272">
        <f>2*H272</f>
        <v>1.7793286380801534</v>
      </c>
    </row>
    <row r="273" spans="1:10">
      <c r="D273" t="s">
        <v>225</v>
      </c>
      <c r="E273">
        <f>_xlfn.NORM.S.INV(1-C272)</f>
        <v>1.6448536269514715</v>
      </c>
      <c r="I273">
        <f>2*G272</f>
        <v>0.22067136191984668</v>
      </c>
    </row>
    <row r="274" spans="1:10">
      <c r="C274" t="s">
        <v>215</v>
      </c>
      <c r="D274" t="s">
        <v>208</v>
      </c>
      <c r="E274">
        <f>_xlfn.NORM.S.INV(C272/2)</f>
        <v>-1.9599639845400538</v>
      </c>
    </row>
    <row r="275" spans="1:10">
      <c r="D275" t="s">
        <v>292</v>
      </c>
      <c r="E275">
        <f>E271^2</f>
        <v>1.5000000000000002</v>
      </c>
    </row>
    <row r="277" spans="1:10">
      <c r="A277" t="s">
        <v>209</v>
      </c>
      <c r="B277" t="s">
        <v>184</v>
      </c>
      <c r="C277">
        <v>696.2</v>
      </c>
      <c r="D277" t="s">
        <v>221</v>
      </c>
      <c r="E277">
        <f>C278-1</f>
        <v>11</v>
      </c>
    </row>
    <row r="278" spans="1:10">
      <c r="B278" t="s">
        <v>181</v>
      </c>
      <c r="C278">
        <v>12</v>
      </c>
      <c r="D278" t="s">
        <v>222</v>
      </c>
      <c r="E278">
        <f>C280-1</f>
        <v>8</v>
      </c>
      <c r="G278" t="s">
        <v>145</v>
      </c>
      <c r="H278" t="s">
        <v>146</v>
      </c>
      <c r="I278" t="s">
        <v>186</v>
      </c>
    </row>
    <row r="279" spans="1:10">
      <c r="B279" t="s">
        <v>185</v>
      </c>
      <c r="C279">
        <v>837.62</v>
      </c>
      <c r="D279" t="s">
        <v>220</v>
      </c>
      <c r="E279">
        <f>C277^2/C279^2</f>
        <v>0.69083440921111428</v>
      </c>
      <c r="F279" t="s">
        <v>129</v>
      </c>
      <c r="G279" t="str">
        <f>IF((E279&lt;G282),"H1","H0")</f>
        <v>H0</v>
      </c>
      <c r="H279" t="str">
        <f>IF((E279&gt;H282),"H1","H0")</f>
        <v>H0</v>
      </c>
      <c r="I279" t="str">
        <f>IF((I283&gt;E279&gt;I282),"H0","H1")</f>
        <v>H0</v>
      </c>
    </row>
    <row r="280" spans="1:10">
      <c r="B280" t="s">
        <v>183</v>
      </c>
      <c r="C280">
        <v>9</v>
      </c>
      <c r="F280" t="s">
        <v>130</v>
      </c>
      <c r="G280">
        <f>_xlfn.F.DIST(E279,E277,E278,1)</f>
        <v>0.27861923477989514</v>
      </c>
      <c r="I280">
        <f>2*_xlfn.F.DIST(E279,E277,E278,1)</f>
        <v>0.55723846955979028</v>
      </c>
      <c r="J280" t="s">
        <v>223</v>
      </c>
    </row>
    <row r="281" spans="1:10">
      <c r="B281" t="s">
        <v>101</v>
      </c>
      <c r="C281">
        <v>0.05</v>
      </c>
      <c r="G281">
        <f>_xlfn.F.DIST.RT(E279,E277,E278)</f>
        <v>0.72138076522010486</v>
      </c>
      <c r="I281">
        <f>2*_xlfn.F.DIST.RT(E279,E277,E278)</f>
        <v>1.4427615304402097</v>
      </c>
      <c r="J281" t="s">
        <v>223</v>
      </c>
    </row>
    <row r="282" spans="1:10">
      <c r="F282" t="s">
        <v>141</v>
      </c>
      <c r="G282">
        <f>_xlfn.F.INV(C281,E277,E278)</f>
        <v>0.33921413977431014</v>
      </c>
      <c r="H282">
        <f>_xlfn.F.INV.RT(C281,E277,E278)</f>
        <v>3.312950656887375</v>
      </c>
      <c r="I282">
        <f>_xlfn.F.INV(C281/2,E277,E278)</f>
        <v>0.27293924471746417</v>
      </c>
    </row>
    <row r="283" spans="1:10">
      <c r="I283">
        <f>_xlfn.F.INV.RT(C281/2,E277,E278)</f>
        <v>4.2434127815388507</v>
      </c>
    </row>
    <row r="285" spans="1:10" s="3" customFormat="1"/>
    <row r="286" spans="1:10">
      <c r="A286" t="s">
        <v>228</v>
      </c>
      <c r="B286" t="s">
        <v>229</v>
      </c>
      <c r="C286">
        <v>28.14</v>
      </c>
      <c r="D286" t="s">
        <v>239</v>
      </c>
      <c r="E286">
        <f>ABS(C286-C287)/SQRT(C294*(1/C290+1/C291))</f>
        <v>1.940609716952491</v>
      </c>
    </row>
    <row r="287" spans="1:10">
      <c r="B287" t="s">
        <v>230</v>
      </c>
      <c r="C287">
        <v>33.83</v>
      </c>
      <c r="D287" t="s">
        <v>240</v>
      </c>
      <c r="E287">
        <f>ABS(C286-C288)/SQRT(C294*(1/C290+1/C292))</f>
        <v>0.32629570467397973</v>
      </c>
    </row>
    <row r="288" spans="1:10">
      <c r="B288" t="s">
        <v>238</v>
      </c>
      <c r="C288">
        <v>27.25</v>
      </c>
      <c r="D288" t="s">
        <v>241</v>
      </c>
      <c r="E288">
        <f>ABS(C287-C288)/SQRT(C294*(1/C291+1/C292))</f>
        <v>2.3118276870747678</v>
      </c>
    </row>
    <row r="289" spans="1:5">
      <c r="B289" t="s">
        <v>243</v>
      </c>
      <c r="C289">
        <v>33.29</v>
      </c>
      <c r="D289" t="s">
        <v>244</v>
      </c>
      <c r="E289">
        <f>ABS(C286-C289)/SQRT(C294*(1/C290+1/C293))</f>
        <v>1.8281600632662585</v>
      </c>
    </row>
    <row r="290" spans="1:5">
      <c r="B290" t="s">
        <v>181</v>
      </c>
      <c r="C290">
        <v>7</v>
      </c>
      <c r="D290" t="s">
        <v>245</v>
      </c>
      <c r="E290">
        <f>ABS(C287-C289)/SQRT(C294*(1/C291+1/C293))</f>
        <v>0.18417034220638734</v>
      </c>
    </row>
    <row r="291" spans="1:5">
      <c r="B291" t="s">
        <v>183</v>
      </c>
      <c r="C291">
        <v>6</v>
      </c>
      <c r="D291" t="s">
        <v>246</v>
      </c>
      <c r="E291">
        <f>ABS(C288-C289)/SQRT(C294*(1/C292+1/C293))</f>
        <v>2.2144112991357709</v>
      </c>
    </row>
    <row r="292" spans="1:5">
      <c r="B292" t="s">
        <v>237</v>
      </c>
      <c r="C292">
        <v>8</v>
      </c>
    </row>
    <row r="293" spans="1:5">
      <c r="B293" t="s">
        <v>242</v>
      </c>
      <c r="C293">
        <v>7</v>
      </c>
    </row>
    <row r="294" spans="1:5">
      <c r="B294" s="4" t="s">
        <v>169</v>
      </c>
      <c r="C294">
        <v>27.774999999999999</v>
      </c>
      <c r="E294">
        <v>3.9</v>
      </c>
    </row>
    <row r="295" spans="1:5">
      <c r="B295" t="s">
        <v>234</v>
      </c>
      <c r="C295" t="s">
        <v>236</v>
      </c>
      <c r="D295" t="s">
        <v>231</v>
      </c>
      <c r="E295">
        <f>E294/SQRT(2)</f>
        <v>2.7577164466275352</v>
      </c>
    </row>
    <row r="296" spans="1:5">
      <c r="B296" t="s">
        <v>235</v>
      </c>
      <c r="C296">
        <f>4.7/SQRT(2)</f>
        <v>3.3234018715767735</v>
      </c>
      <c r="E296">
        <v>4.91</v>
      </c>
    </row>
    <row r="297" spans="1:5">
      <c r="D297" t="s">
        <v>231</v>
      </c>
      <c r="E297">
        <f>E296/SQRT(2)</f>
        <v>3.4718942956259484</v>
      </c>
    </row>
    <row r="300" spans="1:5">
      <c r="A300" t="s">
        <v>247</v>
      </c>
      <c r="B300" t="s">
        <v>248</v>
      </c>
    </row>
    <row r="307" spans="1:5">
      <c r="A307" t="s">
        <v>232</v>
      </c>
      <c r="B307" t="s">
        <v>255</v>
      </c>
      <c r="C307">
        <v>58</v>
      </c>
      <c r="D307" t="s">
        <v>233</v>
      </c>
      <c r="E307">
        <f>C307^2/C308^2</f>
        <v>13.140625</v>
      </c>
    </row>
    <row r="308" spans="1:5">
      <c r="B308" t="s">
        <v>256</v>
      </c>
      <c r="C308">
        <v>16</v>
      </c>
    </row>
    <row r="332" spans="1:9" s="2" customFormat="1">
      <c r="A332" s="2" t="s">
        <v>249</v>
      </c>
    </row>
    <row r="333" spans="1:9">
      <c r="B333" t="s">
        <v>20</v>
      </c>
      <c r="C333">
        <v>25</v>
      </c>
      <c r="D333" t="s">
        <v>150</v>
      </c>
      <c r="E333">
        <f>C334*SQRT((C333-2)/(1-C334^2))</f>
        <v>3.5968736424845393</v>
      </c>
      <c r="G333" t="s">
        <v>145</v>
      </c>
      <c r="H333" t="s">
        <v>146</v>
      </c>
      <c r="I333" t="s">
        <v>147</v>
      </c>
    </row>
    <row r="334" spans="1:9">
      <c r="B334" t="s">
        <v>149</v>
      </c>
      <c r="C334">
        <v>0.6</v>
      </c>
      <c r="D334" t="s">
        <v>152</v>
      </c>
      <c r="E334">
        <f>E333/SQRT(E333^2+C333-2)</f>
        <v>0.6</v>
      </c>
      <c r="F334" t="s">
        <v>151</v>
      </c>
      <c r="G334">
        <f>_xlfn.T.INV(C335,C333-2)</f>
        <v>-1.7138715277470482</v>
      </c>
      <c r="H334">
        <f>_xlfn.T.INV(1-C335,C333-2)</f>
        <v>1.7138715277470482</v>
      </c>
      <c r="I334">
        <f>_xlfn.T.INV.2T(C335,C333-2)</f>
        <v>2.0686576104190491</v>
      </c>
    </row>
    <row r="335" spans="1:9">
      <c r="B335" t="s">
        <v>101</v>
      </c>
      <c r="C335">
        <v>0.05</v>
      </c>
      <c r="F335" t="s">
        <v>129</v>
      </c>
      <c r="G335" t="str">
        <f>IF(G334&lt;E333,"H0","H1")</f>
        <v>H0</v>
      </c>
      <c r="H335" t="str">
        <f>IF(E333&gt;H334,"H1","H0")</f>
        <v>H1</v>
      </c>
      <c r="I335" t="str">
        <f>IF(ABS(I334)&lt;ABS(E333),"H1","H0")</f>
        <v>H1</v>
      </c>
    </row>
    <row r="336" spans="1:9">
      <c r="F336" t="s">
        <v>130</v>
      </c>
      <c r="G336">
        <f>_xlfn.T.DIST(E333,C333-2,1)</f>
        <v>0.99923917147583652</v>
      </c>
      <c r="H336">
        <f>_xlfn.T.DIST.RT(E333,C333-2)</f>
        <v>7.6082852416348655E-4</v>
      </c>
      <c r="I336">
        <f>_xlfn.T.DIST.2T(E333,C333-2)</f>
        <v>1.5216570483269731E-3</v>
      </c>
    </row>
    <row r="339" spans="1:7">
      <c r="A339" t="s">
        <v>168</v>
      </c>
      <c r="B339" t="s">
        <v>169</v>
      </c>
      <c r="C339">
        <v>196</v>
      </c>
      <c r="D339" t="s">
        <v>171</v>
      </c>
      <c r="E339">
        <f>SQRT(C339)</f>
        <v>14</v>
      </c>
    </row>
    <row r="340" spans="1:7">
      <c r="C340" t="s">
        <v>170</v>
      </c>
    </row>
    <row r="341" spans="1:7">
      <c r="A341" t="s">
        <v>165</v>
      </c>
      <c r="B341" t="s">
        <v>20</v>
      </c>
      <c r="C341">
        <v>25</v>
      </c>
      <c r="D341" t="s">
        <v>139</v>
      </c>
      <c r="E341">
        <f>SQRT((C341-2)/(1-C342^2))*C342</f>
        <v>3.5968736424845393</v>
      </c>
    </row>
    <row r="342" spans="1:7">
      <c r="B342" t="s">
        <v>149</v>
      </c>
      <c r="C342">
        <v>0.6</v>
      </c>
    </row>
    <row r="344" spans="1:7">
      <c r="A344" t="s">
        <v>166</v>
      </c>
      <c r="B344" t="s">
        <v>20</v>
      </c>
      <c r="C344">
        <v>23</v>
      </c>
      <c r="D344" t="s">
        <v>150</v>
      </c>
      <c r="E344">
        <f>_xlfn.T.INV(C345/2,C344-2)</f>
        <v>-2.07961384472768</v>
      </c>
    </row>
    <row r="345" spans="1:7">
      <c r="B345" t="s">
        <v>101</v>
      </c>
      <c r="C345">
        <v>0.05</v>
      </c>
      <c r="D345" t="s">
        <v>167</v>
      </c>
      <c r="E345">
        <f>E344/SQRT(E344^2+C344-2)</f>
        <v>-0.41324703053361178</v>
      </c>
    </row>
    <row r="347" spans="1:7">
      <c r="A347" t="s">
        <v>153</v>
      </c>
      <c r="B347" t="s">
        <v>40</v>
      </c>
      <c r="C347">
        <v>30</v>
      </c>
      <c r="D347" t="s">
        <v>158</v>
      </c>
      <c r="E347">
        <f>(C347-C352)^2</f>
        <v>100</v>
      </c>
    </row>
    <row r="348" spans="1:7">
      <c r="B348" t="s">
        <v>162</v>
      </c>
      <c r="C348">
        <v>55.285699999999999</v>
      </c>
      <c r="D348" t="s">
        <v>155</v>
      </c>
      <c r="E348">
        <f>ABS(_xlfn.T.INV(C350/2,C351-2))</f>
        <v>3.1824463052837091</v>
      </c>
    </row>
    <row r="349" spans="1:7">
      <c r="B349" t="s">
        <v>163</v>
      </c>
      <c r="C349">
        <v>6.0857000000000001</v>
      </c>
      <c r="D349" t="s">
        <v>159</v>
      </c>
      <c r="E349">
        <f>SQRT(C353)</f>
        <v>28.020401496052838</v>
      </c>
    </row>
    <row r="350" spans="1:7">
      <c r="B350" t="s">
        <v>101</v>
      </c>
      <c r="C350">
        <v>0.05</v>
      </c>
      <c r="D350" t="s">
        <v>160</v>
      </c>
      <c r="F350" t="s">
        <v>161</v>
      </c>
    </row>
    <row r="351" spans="1:7">
      <c r="B351" t="s">
        <v>20</v>
      </c>
      <c r="C351">
        <v>5</v>
      </c>
      <c r="D351" t="s">
        <v>156</v>
      </c>
      <c r="E351" s="43">
        <f>C354-E348*E349*SQRT(1/C351+E347/C355)</f>
        <v>175.70918313684203</v>
      </c>
      <c r="F351" t="s">
        <v>156</v>
      </c>
      <c r="G351" s="43">
        <f>C354-E348*E349*SQRT(1+1/C351+E347/C355)</f>
        <v>129.16362141370979</v>
      </c>
    </row>
    <row r="352" spans="1:7">
      <c r="B352" t="s">
        <v>154</v>
      </c>
      <c r="C352">
        <v>20</v>
      </c>
      <c r="D352" t="s">
        <v>156</v>
      </c>
      <c r="E352" s="43">
        <f>C354+E348*E349*SQRT(1/C351+E347/C355)</f>
        <v>300.004816863158</v>
      </c>
      <c r="F352" t="s">
        <v>156</v>
      </c>
      <c r="G352" s="43">
        <f>C354+E348*E349*SQRT(1/C351+E347/C355+1)</f>
        <v>346.55037858629021</v>
      </c>
    </row>
    <row r="353" spans="1:7">
      <c r="B353" t="s">
        <v>169</v>
      </c>
      <c r="C353">
        <v>785.14290000000005</v>
      </c>
      <c r="D353" t="s">
        <v>164</v>
      </c>
    </row>
    <row r="354" spans="1:7">
      <c r="B354" t="s">
        <v>301</v>
      </c>
      <c r="C354">
        <v>237.857</v>
      </c>
      <c r="E354">
        <f>C354-E348*E349/SQRT(C351)</f>
        <v>197.977432781571</v>
      </c>
      <c r="G354">
        <f>C354-E348*E349</f>
        <v>148.68357678632054</v>
      </c>
    </row>
    <row r="355" spans="1:7">
      <c r="B355" t="s">
        <v>157</v>
      </c>
      <c r="C355">
        <v>350</v>
      </c>
      <c r="E355">
        <f>C354+E348*E349/SQRT(C351)</f>
        <v>277.736567218429</v>
      </c>
      <c r="G355">
        <f>C354+E348*E349</f>
        <v>327.03042321367946</v>
      </c>
    </row>
    <row r="357" spans="1:7">
      <c r="A357" t="s">
        <v>250</v>
      </c>
      <c r="B357" t="s">
        <v>251</v>
      </c>
      <c r="C357">
        <v>4.7890000000000002E-2</v>
      </c>
      <c r="D357" t="s">
        <v>139</v>
      </c>
      <c r="E357">
        <f>(C357-C359)/C358</f>
        <v>0.67431709377640103</v>
      </c>
      <c r="F357" t="s">
        <v>268</v>
      </c>
      <c r="G357">
        <v>318</v>
      </c>
    </row>
    <row r="358" spans="1:7">
      <c r="B358" t="s">
        <v>252</v>
      </c>
      <c r="C358">
        <v>7.102E-2</v>
      </c>
      <c r="F358" t="s">
        <v>274</v>
      </c>
      <c r="G358">
        <f>_xlfn.T.DIST.2T(ABS(E357),G357)</f>
        <v>0.50059963215069847</v>
      </c>
    </row>
    <row r="359" spans="1:7">
      <c r="B359" t="s">
        <v>254</v>
      </c>
      <c r="C359">
        <v>0</v>
      </c>
    </row>
    <row r="360" spans="1:7">
      <c r="G360">
        <f>_xlfn.T.INV(0.005,35)</f>
        <v>-2.7238055892080912</v>
      </c>
    </row>
    <row r="361" spans="1:7">
      <c r="B361" t="s">
        <v>162</v>
      </c>
      <c r="C361">
        <v>-6.3879999999999999</v>
      </c>
      <c r="D361" t="s">
        <v>139</v>
      </c>
      <c r="E361">
        <f>(C361-C363)/C362</f>
        <v>-1.8499855198378223</v>
      </c>
    </row>
    <row r="362" spans="1:7">
      <c r="B362" t="s">
        <v>253</v>
      </c>
      <c r="C362">
        <v>3.4529999999999998</v>
      </c>
    </row>
    <row r="363" spans="1:7">
      <c r="B363" t="s">
        <v>254</v>
      </c>
      <c r="C363">
        <v>0</v>
      </c>
    </row>
    <row r="365" spans="1:7" s="3" customFormat="1">
      <c r="A365" s="3" t="s">
        <v>257</v>
      </c>
    </row>
    <row r="366" spans="1:7">
      <c r="A366" t="s">
        <v>258</v>
      </c>
      <c r="B366" t="s">
        <v>259</v>
      </c>
      <c r="C366">
        <v>798</v>
      </c>
      <c r="D366" t="s">
        <v>264</v>
      </c>
    </row>
    <row r="367" spans="1:7">
      <c r="B367" t="s">
        <v>260</v>
      </c>
      <c r="C367">
        <v>738</v>
      </c>
      <c r="D367" t="s">
        <v>265</v>
      </c>
    </row>
    <row r="368" spans="1:7">
      <c r="B368" t="s">
        <v>261</v>
      </c>
      <c r="C368">
        <v>60</v>
      </c>
      <c r="D368" t="s">
        <v>262</v>
      </c>
      <c r="E368">
        <f>SQRT(C367/C366)</f>
        <v>0.96167147720788104</v>
      </c>
    </row>
    <row r="369" spans="1:5">
      <c r="B369" t="s">
        <v>266</v>
      </c>
      <c r="C369">
        <v>2</v>
      </c>
      <c r="D369" t="s">
        <v>263</v>
      </c>
    </row>
    <row r="371" spans="1:5">
      <c r="A371" t="s">
        <v>267</v>
      </c>
      <c r="B371" t="s">
        <v>269</v>
      </c>
      <c r="C371">
        <v>15</v>
      </c>
      <c r="D371" t="s">
        <v>264</v>
      </c>
      <c r="E371">
        <f>C373/C371</f>
        <v>75765.53333333334</v>
      </c>
    </row>
    <row r="372" spans="1:5">
      <c r="B372" t="s">
        <v>270</v>
      </c>
      <c r="C372">
        <v>35</v>
      </c>
      <c r="D372" t="s">
        <v>265</v>
      </c>
      <c r="E372">
        <f>C374/C372</f>
        <v>40950.228571428568</v>
      </c>
    </row>
    <row r="373" spans="1:5">
      <c r="B373" t="s">
        <v>260</v>
      </c>
      <c r="C373">
        <v>1136483</v>
      </c>
      <c r="D373" t="s">
        <v>271</v>
      </c>
      <c r="E373">
        <f>E371/E372</f>
        <v>1.850185846977074</v>
      </c>
    </row>
    <row r="374" spans="1:5">
      <c r="B374" t="s">
        <v>261</v>
      </c>
      <c r="C374">
        <v>1433258</v>
      </c>
      <c r="D374" t="s">
        <v>272</v>
      </c>
      <c r="E374">
        <f>C373/(C374+C373)</f>
        <v>0.44225585380005222</v>
      </c>
    </row>
    <row r="375" spans="1:5">
      <c r="D375" t="s">
        <v>273</v>
      </c>
      <c r="E375">
        <f>1-(C374/C372)/((C374+C373)/(C372+C371))</f>
        <v>0.20322264828578895</v>
      </c>
    </row>
    <row r="378" spans="1:5">
      <c r="A378">
        <f>220-40*6+2.5*36</f>
        <v>70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D7E2-5FE0-4CA6-AF45-388464AE554F}">
  <sheetPr>
    <pageSetUpPr fitToPage="1"/>
  </sheetPr>
  <dimension ref="B1:K67"/>
  <sheetViews>
    <sheetView showGridLines="0" zoomScaleNormal="100" workbookViewId="0">
      <selection activeCell="G6" sqref="G6"/>
    </sheetView>
  </sheetViews>
  <sheetFormatPr defaultColWidth="9.140625" defaultRowHeight="12.75"/>
  <cols>
    <col min="1" max="1" width="5.28515625" style="5" customWidth="1"/>
    <col min="2" max="7" width="9.140625" style="5"/>
    <col min="8" max="8" width="11.85546875" style="5" customWidth="1"/>
    <col min="9" max="9" width="22" style="5" bestFit="1" customWidth="1"/>
    <col min="10" max="16" width="9.140625" style="5"/>
    <col min="17" max="17" width="12" style="5" customWidth="1"/>
    <col min="18" max="18" width="14.42578125" style="5" customWidth="1"/>
    <col min="19" max="16384" width="9.140625" style="5"/>
  </cols>
  <sheetData>
    <row r="1" spans="2:11" ht="15">
      <c r="B1" s="32" t="s">
        <v>291</v>
      </c>
    </row>
    <row r="3" spans="2:11">
      <c r="B3" s="31" t="s">
        <v>290</v>
      </c>
      <c r="C3" s="30" t="s">
        <v>289</v>
      </c>
      <c r="D3" s="30" t="s">
        <v>288</v>
      </c>
      <c r="E3" s="30" t="s">
        <v>287</v>
      </c>
      <c r="F3" s="30" t="s">
        <v>286</v>
      </c>
      <c r="G3" s="30" t="s">
        <v>285</v>
      </c>
      <c r="H3" s="30" t="s">
        <v>284</v>
      </c>
      <c r="I3" s="29" t="s">
        <v>283</v>
      </c>
    </row>
    <row r="4" spans="2:11">
      <c r="B4" s="28">
        <v>1</v>
      </c>
      <c r="C4" s="27">
        <v>2012</v>
      </c>
      <c r="D4" s="26">
        <v>1</v>
      </c>
      <c r="E4" s="25">
        <v>259</v>
      </c>
      <c r="F4" s="24"/>
      <c r="G4" s="24"/>
      <c r="H4" s="24">
        <v>1.2520397511286174</v>
      </c>
      <c r="I4" s="23">
        <f t="shared" ref="I4:I27" si="0">E4/H4</f>
        <v>206.86244168089027</v>
      </c>
    </row>
    <row r="5" spans="2:11">
      <c r="B5" s="22">
        <v>2</v>
      </c>
      <c r="C5" s="21">
        <v>2012</v>
      </c>
      <c r="D5" s="11">
        <v>2</v>
      </c>
      <c r="E5" s="20">
        <v>236</v>
      </c>
      <c r="F5" s="7"/>
      <c r="G5" s="7"/>
      <c r="H5" s="7">
        <v>1.0210403966902246</v>
      </c>
      <c r="I5" s="19">
        <f t="shared" si="0"/>
        <v>231.13679024357006</v>
      </c>
    </row>
    <row r="6" spans="2:11">
      <c r="B6" s="22">
        <v>3</v>
      </c>
      <c r="C6" s="21">
        <v>2012</v>
      </c>
      <c r="D6" s="11">
        <v>3</v>
      </c>
      <c r="E6" s="20">
        <v>164</v>
      </c>
      <c r="F6" s="7">
        <f t="shared" ref="F6:F25" si="1">(AVERAGE(E4:E7)+AVERAGE(E5:E8))/2</f>
        <v>226.125</v>
      </c>
      <c r="G6" s="7">
        <f t="shared" ref="G6:G25" si="2">E6/F6</f>
        <v>0.72526257600884469</v>
      </c>
      <c r="H6" s="7">
        <v>0.73966820330081207</v>
      </c>
      <c r="I6" s="19">
        <f>E6/H6</f>
        <v>221.72103555099505</v>
      </c>
    </row>
    <row r="7" spans="2:11">
      <c r="B7" s="22">
        <v>4</v>
      </c>
      <c r="C7" s="21">
        <v>2012</v>
      </c>
      <c r="D7" s="11">
        <v>4</v>
      </c>
      <c r="E7" s="20">
        <v>222</v>
      </c>
      <c r="F7" s="7">
        <f t="shared" si="1"/>
        <v>240</v>
      </c>
      <c r="G7" s="7">
        <f t="shared" si="2"/>
        <v>0.92500000000000004</v>
      </c>
      <c r="H7" s="7">
        <v>0.98725164888034567</v>
      </c>
      <c r="I7" s="19">
        <f t="shared" si="0"/>
        <v>224.86667938389664</v>
      </c>
    </row>
    <row r="8" spans="2:11">
      <c r="B8" s="22">
        <v>5</v>
      </c>
      <c r="C8" s="21">
        <v>2013</v>
      </c>
      <c r="D8" s="11">
        <v>1</v>
      </c>
      <c r="E8" s="20">
        <v>306</v>
      </c>
      <c r="F8" s="7">
        <f t="shared" si="1"/>
        <v>251.125</v>
      </c>
      <c r="G8" s="7">
        <f t="shared" si="2"/>
        <v>1.2185166749626679</v>
      </c>
      <c r="H8" s="7">
        <v>1.2520397511286174</v>
      </c>
      <c r="I8" s="19">
        <f t="shared" si="0"/>
        <v>244.40118592414063</v>
      </c>
      <c r="J8" s="9"/>
      <c r="K8" s="9"/>
    </row>
    <row r="9" spans="2:11">
      <c r="B9" s="22">
        <v>6</v>
      </c>
      <c r="C9" s="21">
        <v>2013</v>
      </c>
      <c r="D9" s="11">
        <v>2</v>
      </c>
      <c r="E9" s="20">
        <v>300</v>
      </c>
      <c r="F9" s="7">
        <f t="shared" si="1"/>
        <v>260.875</v>
      </c>
      <c r="G9" s="7">
        <f t="shared" si="2"/>
        <v>1.1499760421657883</v>
      </c>
      <c r="H9" s="7">
        <v>1.0210403966902246</v>
      </c>
      <c r="I9" s="19">
        <f t="shared" si="0"/>
        <v>293.81795369945343</v>
      </c>
      <c r="J9" s="9"/>
      <c r="K9" s="9"/>
    </row>
    <row r="10" spans="2:11">
      <c r="B10" s="22">
        <v>7</v>
      </c>
      <c r="C10" s="21">
        <v>2013</v>
      </c>
      <c r="D10" s="11">
        <v>3</v>
      </c>
      <c r="E10" s="20">
        <v>189</v>
      </c>
      <c r="F10" s="7">
        <f t="shared" si="1"/>
        <v>276.625</v>
      </c>
      <c r="G10" s="7">
        <f t="shared" si="2"/>
        <v>0.68323542702214191</v>
      </c>
      <c r="H10" s="7">
        <v>0.73966820330081207</v>
      </c>
      <c r="I10" s="19">
        <f t="shared" si="0"/>
        <v>255.51997389718335</v>
      </c>
      <c r="J10" s="9"/>
      <c r="K10" s="9"/>
    </row>
    <row r="11" spans="2:11">
      <c r="B11" s="22">
        <v>8</v>
      </c>
      <c r="C11" s="21">
        <v>2013</v>
      </c>
      <c r="D11" s="11">
        <v>4</v>
      </c>
      <c r="E11" s="20">
        <v>275</v>
      </c>
      <c r="F11" s="7">
        <f t="shared" si="1"/>
        <v>281</v>
      </c>
      <c r="G11" s="7">
        <f t="shared" si="2"/>
        <v>0.97864768683274017</v>
      </c>
      <c r="H11" s="7">
        <v>0.98725164888034567</v>
      </c>
      <c r="I11" s="19">
        <f t="shared" si="0"/>
        <v>278.55106680437649</v>
      </c>
      <c r="J11" s="9"/>
      <c r="K11" s="9"/>
    </row>
    <row r="12" spans="2:11">
      <c r="B12" s="22">
        <v>9</v>
      </c>
      <c r="C12" s="21">
        <v>2014</v>
      </c>
      <c r="D12" s="11">
        <v>1</v>
      </c>
      <c r="E12" s="20">
        <v>379</v>
      </c>
      <c r="F12" s="7">
        <f t="shared" si="1"/>
        <v>282.875</v>
      </c>
      <c r="G12" s="7">
        <f t="shared" si="2"/>
        <v>1.3398144056562085</v>
      </c>
      <c r="H12" s="7">
        <v>1.2520397511286174</v>
      </c>
      <c r="I12" s="19">
        <f t="shared" si="0"/>
        <v>302.70604400408268</v>
      </c>
      <c r="J12" s="9"/>
      <c r="K12" s="9"/>
    </row>
    <row r="13" spans="2:11">
      <c r="B13" s="22">
        <v>10</v>
      </c>
      <c r="C13" s="21">
        <v>2014</v>
      </c>
      <c r="D13" s="11">
        <v>2</v>
      </c>
      <c r="E13" s="20">
        <v>262</v>
      </c>
      <c r="F13" s="7">
        <f t="shared" si="1"/>
        <v>292.125</v>
      </c>
      <c r="G13" s="7">
        <f t="shared" si="2"/>
        <v>0.8968763371844245</v>
      </c>
      <c r="H13" s="7">
        <v>1.0210403966902246</v>
      </c>
      <c r="I13" s="19">
        <f t="shared" si="0"/>
        <v>256.60101289752271</v>
      </c>
      <c r="J13" s="9"/>
      <c r="K13" s="9"/>
    </row>
    <row r="14" spans="2:11">
      <c r="B14" s="22">
        <v>11</v>
      </c>
      <c r="C14" s="21">
        <v>2014</v>
      </c>
      <c r="D14" s="11">
        <v>3</v>
      </c>
      <c r="E14" s="20">
        <v>242</v>
      </c>
      <c r="F14" s="7">
        <f t="shared" si="1"/>
        <v>293.5</v>
      </c>
      <c r="G14" s="7">
        <f t="shared" si="2"/>
        <v>0.82453151618398635</v>
      </c>
      <c r="H14" s="7">
        <v>0.73966820330081207</v>
      </c>
      <c r="I14" s="19">
        <f t="shared" si="0"/>
        <v>327.17372319110245</v>
      </c>
      <c r="J14" s="9"/>
      <c r="K14" s="9"/>
    </row>
    <row r="15" spans="2:11">
      <c r="B15" s="22">
        <v>12</v>
      </c>
      <c r="C15" s="21">
        <v>2014</v>
      </c>
      <c r="D15" s="11">
        <v>4</v>
      </c>
      <c r="E15" s="20">
        <v>296</v>
      </c>
      <c r="F15" s="7">
        <f t="shared" si="1"/>
        <v>306.125</v>
      </c>
      <c r="G15" s="7">
        <f t="shared" si="2"/>
        <v>0.96692527562270314</v>
      </c>
      <c r="H15" s="7">
        <v>0.98725164888034567</v>
      </c>
      <c r="I15" s="19">
        <f t="shared" si="0"/>
        <v>299.82223917852889</v>
      </c>
      <c r="J15" s="9"/>
      <c r="K15" s="9"/>
    </row>
    <row r="16" spans="2:11">
      <c r="B16" s="22">
        <v>13</v>
      </c>
      <c r="C16" s="21">
        <v>2015</v>
      </c>
      <c r="D16" s="11">
        <v>1</v>
      </c>
      <c r="E16" s="20">
        <v>369</v>
      </c>
      <c r="F16" s="7">
        <f t="shared" si="1"/>
        <v>321.625</v>
      </c>
      <c r="G16" s="7">
        <f t="shared" si="2"/>
        <v>1.1472988729109987</v>
      </c>
      <c r="H16" s="7">
        <v>1.2520397511286174</v>
      </c>
      <c r="I16" s="19">
        <f t="shared" si="0"/>
        <v>294.71907714381666</v>
      </c>
      <c r="J16" s="9"/>
      <c r="K16" s="9"/>
    </row>
    <row r="17" spans="2:11">
      <c r="B17" s="22">
        <v>14</v>
      </c>
      <c r="C17" s="21">
        <v>2015</v>
      </c>
      <c r="D17" s="11">
        <v>2</v>
      </c>
      <c r="E17" s="20">
        <v>373</v>
      </c>
      <c r="F17" s="7">
        <f t="shared" si="1"/>
        <v>333</v>
      </c>
      <c r="G17" s="7">
        <f t="shared" si="2"/>
        <v>1.1201201201201201</v>
      </c>
      <c r="H17" s="7">
        <v>1.0210403966902246</v>
      </c>
      <c r="I17" s="19">
        <f t="shared" si="0"/>
        <v>365.31365576632044</v>
      </c>
      <c r="J17" s="9"/>
      <c r="K17" s="9"/>
    </row>
    <row r="18" spans="2:11">
      <c r="B18" s="22">
        <v>15</v>
      </c>
      <c r="C18" s="21">
        <v>2015</v>
      </c>
      <c r="D18" s="11">
        <v>3</v>
      </c>
      <c r="E18" s="20">
        <v>255</v>
      </c>
      <c r="F18" s="7">
        <f t="shared" si="1"/>
        <v>361</v>
      </c>
      <c r="G18" s="7">
        <f t="shared" si="2"/>
        <v>0.7063711911357341</v>
      </c>
      <c r="H18" s="7">
        <v>0.73966820330081207</v>
      </c>
      <c r="I18" s="19">
        <f t="shared" si="0"/>
        <v>344.74917113112036</v>
      </c>
      <c r="J18" s="9"/>
      <c r="K18" s="9"/>
    </row>
    <row r="19" spans="2:11">
      <c r="B19" s="22">
        <v>16</v>
      </c>
      <c r="C19" s="21">
        <v>2015</v>
      </c>
      <c r="D19" s="11">
        <v>4</v>
      </c>
      <c r="E19" s="20">
        <v>374</v>
      </c>
      <c r="F19" s="7">
        <f t="shared" si="1"/>
        <v>379.25</v>
      </c>
      <c r="G19" s="7">
        <f t="shared" si="2"/>
        <v>0.98615688859591299</v>
      </c>
      <c r="H19" s="7">
        <v>0.98725164888034567</v>
      </c>
      <c r="I19" s="19">
        <f t="shared" si="0"/>
        <v>378.82945085395204</v>
      </c>
      <c r="J19" s="9"/>
      <c r="K19" s="9"/>
    </row>
    <row r="20" spans="2:11">
      <c r="B20" s="22">
        <v>17</v>
      </c>
      <c r="C20" s="21">
        <v>2016</v>
      </c>
      <c r="D20" s="11">
        <v>1</v>
      </c>
      <c r="E20" s="20">
        <v>515</v>
      </c>
      <c r="F20" s="7">
        <f t="shared" si="1"/>
        <v>389.75</v>
      </c>
      <c r="G20" s="7">
        <f t="shared" si="2"/>
        <v>1.3213598460551637</v>
      </c>
      <c r="H20" s="7">
        <v>1.2520397511286174</v>
      </c>
      <c r="I20" s="19">
        <f t="shared" si="0"/>
        <v>411.32879330370076</v>
      </c>
      <c r="J20" s="9"/>
      <c r="K20" s="9"/>
    </row>
    <row r="21" spans="2:11">
      <c r="B21" s="22">
        <v>18</v>
      </c>
      <c r="C21" s="21">
        <v>2016</v>
      </c>
      <c r="D21" s="11">
        <v>2</v>
      </c>
      <c r="E21" s="20">
        <v>373</v>
      </c>
      <c r="F21" s="7">
        <f t="shared" si="1"/>
        <v>418.375</v>
      </c>
      <c r="G21" s="7">
        <f t="shared" si="2"/>
        <v>0.89154466686584999</v>
      </c>
      <c r="H21" s="7">
        <v>1.0210403966902246</v>
      </c>
      <c r="I21" s="19">
        <f t="shared" si="0"/>
        <v>365.31365576632044</v>
      </c>
      <c r="J21" s="9"/>
      <c r="K21" s="9"/>
    </row>
    <row r="22" spans="2:11">
      <c r="B22" s="22">
        <v>19</v>
      </c>
      <c r="C22" s="21">
        <v>2016</v>
      </c>
      <c r="D22" s="11">
        <v>3</v>
      </c>
      <c r="E22" s="20">
        <v>339</v>
      </c>
      <c r="F22" s="7">
        <f t="shared" si="1"/>
        <v>450.375</v>
      </c>
      <c r="G22" s="7">
        <f t="shared" si="2"/>
        <v>0.75270607826810987</v>
      </c>
      <c r="H22" s="7">
        <v>0.73966820330081207</v>
      </c>
      <c r="I22" s="19">
        <f t="shared" si="0"/>
        <v>458.31360397431297</v>
      </c>
      <c r="J22" s="9"/>
      <c r="K22" s="9"/>
    </row>
    <row r="23" spans="2:11">
      <c r="B23" s="22">
        <v>20</v>
      </c>
      <c r="C23" s="21">
        <v>2016</v>
      </c>
      <c r="D23" s="11">
        <v>4</v>
      </c>
      <c r="E23" s="20">
        <v>519</v>
      </c>
      <c r="F23" s="7">
        <f t="shared" si="1"/>
        <v>484.5</v>
      </c>
      <c r="G23" s="7">
        <f t="shared" si="2"/>
        <v>1.0712074303405572</v>
      </c>
      <c r="H23" s="7">
        <v>0.98725164888034567</v>
      </c>
      <c r="I23" s="19">
        <f t="shared" si="0"/>
        <v>525.70183153262326</v>
      </c>
      <c r="J23" s="9"/>
      <c r="K23" s="9"/>
    </row>
    <row r="24" spans="2:11">
      <c r="B24" s="22">
        <v>21</v>
      </c>
      <c r="C24" s="21">
        <v>2017</v>
      </c>
      <c r="D24" s="11">
        <v>1</v>
      </c>
      <c r="E24" s="20">
        <v>626</v>
      </c>
      <c r="F24" s="7">
        <f t="shared" si="1"/>
        <v>512</v>
      </c>
      <c r="G24" s="7">
        <f t="shared" si="2"/>
        <v>1.22265625</v>
      </c>
      <c r="H24" s="7">
        <v>1.2520397511286174</v>
      </c>
      <c r="I24" s="19">
        <f t="shared" si="0"/>
        <v>499.9841254526537</v>
      </c>
      <c r="J24" s="9"/>
      <c r="K24" s="9"/>
    </row>
    <row r="25" spans="2:11">
      <c r="B25" s="22">
        <v>22</v>
      </c>
      <c r="C25" s="21">
        <v>2017</v>
      </c>
      <c r="D25" s="11">
        <v>2</v>
      </c>
      <c r="E25" s="20">
        <v>535</v>
      </c>
      <c r="F25" s="7">
        <f t="shared" si="1"/>
        <v>515.375</v>
      </c>
      <c r="G25" s="7">
        <f t="shared" si="2"/>
        <v>1.0380790686393402</v>
      </c>
      <c r="H25" s="7">
        <v>1.0210403966902246</v>
      </c>
      <c r="I25" s="19">
        <f t="shared" si="0"/>
        <v>523.97535076402528</v>
      </c>
      <c r="J25" s="9"/>
      <c r="K25" s="9"/>
    </row>
    <row r="26" spans="2:11">
      <c r="B26" s="22">
        <v>23</v>
      </c>
      <c r="C26" s="21">
        <v>2017</v>
      </c>
      <c r="D26" s="11">
        <v>3</v>
      </c>
      <c r="E26" s="20">
        <v>397</v>
      </c>
      <c r="F26" s="7"/>
      <c r="G26" s="7"/>
      <c r="H26" s="7">
        <v>0.73966820330081207</v>
      </c>
      <c r="I26" s="19">
        <f t="shared" si="0"/>
        <v>536.72714093746981</v>
      </c>
      <c r="J26" s="9"/>
      <c r="K26" s="9"/>
    </row>
    <row r="27" spans="2:11">
      <c r="B27" s="18">
        <v>24</v>
      </c>
      <c r="C27" s="17">
        <v>2017</v>
      </c>
      <c r="D27" s="16">
        <v>4</v>
      </c>
      <c r="E27" s="15">
        <v>488</v>
      </c>
      <c r="F27" s="14"/>
      <c r="G27" s="14"/>
      <c r="H27" s="14">
        <v>0.98725164888034567</v>
      </c>
      <c r="I27" s="13">
        <f t="shared" si="0"/>
        <v>494.30152945649354</v>
      </c>
      <c r="J27" s="9"/>
      <c r="K27" s="9"/>
    </row>
    <row r="30" spans="2:11">
      <c r="C30" s="11">
        <v>2012</v>
      </c>
      <c r="D30" s="11">
        <v>2013</v>
      </c>
      <c r="E30" s="11">
        <v>2014</v>
      </c>
      <c r="F30" s="11">
        <v>2015</v>
      </c>
      <c r="G30" s="11">
        <v>2016</v>
      </c>
      <c r="H30" s="11">
        <v>2017</v>
      </c>
      <c r="I30" s="11" t="s">
        <v>282</v>
      </c>
      <c r="J30" s="12" t="s">
        <v>281</v>
      </c>
    </row>
    <row r="31" spans="2:11">
      <c r="B31" s="11" t="s">
        <v>280</v>
      </c>
      <c r="C31" s="10"/>
      <c r="D31" s="10">
        <v>1.2185166749626679</v>
      </c>
      <c r="E31" s="10">
        <v>1.3398144056562085</v>
      </c>
      <c r="F31" s="10">
        <v>1.1472988729109987</v>
      </c>
      <c r="G31" s="10">
        <v>1.3213598460551637</v>
      </c>
      <c r="H31" s="10">
        <v>1.22265625</v>
      </c>
      <c r="I31" s="7">
        <f>AVERAGE(C31:H31)</f>
        <v>1.2499292099170076</v>
      </c>
      <c r="J31" s="7">
        <f>I31*4/$I$36</f>
        <v>1.2520397511286174</v>
      </c>
    </row>
    <row r="32" spans="2:11">
      <c r="B32" s="11" t="s">
        <v>279</v>
      </c>
      <c r="C32" s="10"/>
      <c r="D32" s="10">
        <v>1.1499760421657883</v>
      </c>
      <c r="E32" s="10">
        <v>0.8968763371844245</v>
      </c>
      <c r="F32" s="10">
        <v>1.1201201201201201</v>
      </c>
      <c r="G32" s="10">
        <v>0.89154466686584999</v>
      </c>
      <c r="H32" s="10">
        <v>1.0380790686393402</v>
      </c>
      <c r="I32" s="7">
        <f>AVERAGE(C32:H32)</f>
        <v>1.0193192469951047</v>
      </c>
      <c r="J32" s="7">
        <f>I32*4/$I$36</f>
        <v>1.0210403966902246</v>
      </c>
    </row>
    <row r="33" spans="2:10">
      <c r="B33" s="11" t="s">
        <v>278</v>
      </c>
      <c r="C33" s="10">
        <v>0.72526257600884469</v>
      </c>
      <c r="D33" s="10">
        <v>0.68323542702214191</v>
      </c>
      <c r="E33" s="10">
        <v>0.82453151618398635</v>
      </c>
      <c r="F33" s="10">
        <v>0.7063711911357341</v>
      </c>
      <c r="G33" s="10">
        <v>0.75270607826810987</v>
      </c>
      <c r="H33" s="10"/>
      <c r="I33" s="7">
        <f>AVERAGE(C33:H33)</f>
        <v>0.73842135772376349</v>
      </c>
      <c r="J33" s="7">
        <f>I33*4/$I$36</f>
        <v>0.73966820330081207</v>
      </c>
    </row>
    <row r="34" spans="2:10">
      <c r="B34" s="11" t="s">
        <v>277</v>
      </c>
      <c r="C34" s="10">
        <v>0.92500000000000004</v>
      </c>
      <c r="D34" s="10">
        <v>0.97864768683274017</v>
      </c>
      <c r="E34" s="10">
        <v>0.96692527562270314</v>
      </c>
      <c r="F34" s="10">
        <v>0.98615688859591299</v>
      </c>
      <c r="G34" s="10">
        <v>1.0712074303405572</v>
      </c>
      <c r="H34" s="10"/>
      <c r="I34" s="7">
        <f>AVERAGE(C34:H34)</f>
        <v>0.98558745627838285</v>
      </c>
      <c r="J34" s="7">
        <f>I34*4/$I$36</f>
        <v>0.98725164888034567</v>
      </c>
    </row>
    <row r="35" spans="2:10">
      <c r="C35" s="9"/>
      <c r="D35" s="9"/>
      <c r="E35" s="9"/>
      <c r="F35" s="9"/>
      <c r="G35" s="9"/>
      <c r="H35" s="9"/>
      <c r="I35" s="7"/>
      <c r="J35" s="7"/>
    </row>
    <row r="36" spans="2:10">
      <c r="B36" s="6"/>
      <c r="C36" s="6"/>
      <c r="D36" s="6"/>
      <c r="E36" s="6"/>
      <c r="F36" s="6"/>
      <c r="G36" s="6"/>
      <c r="H36" s="8" t="s">
        <v>276</v>
      </c>
      <c r="I36" s="7">
        <v>3.9932572709142589</v>
      </c>
      <c r="J36" s="7">
        <v>4</v>
      </c>
    </row>
    <row r="37" spans="2:10">
      <c r="B37" s="6"/>
      <c r="C37" s="6"/>
      <c r="D37" s="6"/>
      <c r="E37" s="6"/>
      <c r="F37" s="6"/>
      <c r="G37" s="6"/>
      <c r="H37" s="6"/>
    </row>
    <row r="38" spans="2:10">
      <c r="B38" s="6"/>
      <c r="C38" s="6"/>
      <c r="D38" s="6"/>
      <c r="E38" s="6"/>
      <c r="F38" s="6"/>
      <c r="G38" s="6"/>
      <c r="H38" s="6"/>
    </row>
    <row r="39" spans="2:10">
      <c r="B39" s="6"/>
      <c r="C39" s="6"/>
      <c r="D39" s="6"/>
      <c r="E39" s="6"/>
      <c r="F39" s="6"/>
      <c r="G39" s="6"/>
      <c r="H39" s="6"/>
    </row>
    <row r="67" spans="9:9">
      <c r="I67" s="5" t="s">
        <v>275</v>
      </c>
    </row>
  </sheetData>
  <pageMargins left="0.75" right="0.75" top="1" bottom="1" header="0.5" footer="0.5"/>
  <pageSetup scale="72" orientation="landscape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8C70-70E0-42AE-B8BD-FABB251764A7}">
  <dimension ref="A1:N53"/>
  <sheetViews>
    <sheetView topLeftCell="B1" workbookViewId="0">
      <selection activeCell="L60" sqref="L60"/>
    </sheetView>
  </sheetViews>
  <sheetFormatPr defaultRowHeight="15"/>
  <cols>
    <col min="7" max="7" width="10.140625" style="35" customWidth="1"/>
    <col min="8" max="8" width="10.5703125" customWidth="1"/>
    <col min="13" max="13" width="19.7109375" bestFit="1" customWidth="1"/>
  </cols>
  <sheetData>
    <row r="1" spans="1:14">
      <c r="A1" s="33" t="s">
        <v>293</v>
      </c>
      <c r="B1" s="34" t="s">
        <v>294</v>
      </c>
      <c r="D1" t="e">
        <v>#N/A</v>
      </c>
      <c r="F1" t="s">
        <v>295</v>
      </c>
      <c r="G1" s="35" t="s">
        <v>296</v>
      </c>
      <c r="H1" t="s">
        <v>297</v>
      </c>
      <c r="I1" t="s">
        <v>298</v>
      </c>
      <c r="J1" t="s">
        <v>299</v>
      </c>
      <c r="L1" t="s">
        <v>300</v>
      </c>
      <c r="M1" t="s">
        <v>296</v>
      </c>
      <c r="N1" t="s">
        <v>297</v>
      </c>
    </row>
    <row r="2" spans="1:14">
      <c r="A2" s="36">
        <v>43469</v>
      </c>
      <c r="B2" s="37">
        <v>2.67</v>
      </c>
      <c r="C2">
        <v>1</v>
      </c>
      <c r="D2" s="38">
        <f>B2</f>
        <v>2.67</v>
      </c>
      <c r="E2" t="e">
        <v>#N/A</v>
      </c>
      <c r="F2">
        <v>2.67</v>
      </c>
      <c r="G2" s="35">
        <f>(B2-F2)^2</f>
        <v>0</v>
      </c>
      <c r="H2">
        <f>ABS(B2-F2)/B2</f>
        <v>0</v>
      </c>
      <c r="I2" t="e">
        <v>#N/A</v>
      </c>
      <c r="J2" t="e">
        <v>#N/A</v>
      </c>
      <c r="L2" s="38">
        <f>AVERAGE(B2:B7)</f>
        <v>2.7099999999999995</v>
      </c>
      <c r="M2" s="39">
        <f>(B2-L2)^2</f>
        <v>1.5999999999999673E-3</v>
      </c>
      <c r="N2">
        <f>ABS(B2-L2)/B2</f>
        <v>1.4981273408239548E-2</v>
      </c>
    </row>
    <row r="3" spans="1:14">
      <c r="A3" s="36">
        <v>43476</v>
      </c>
      <c r="B3" s="37">
        <v>2.71</v>
      </c>
      <c r="C3">
        <v>2</v>
      </c>
      <c r="E3" s="38">
        <f>B2</f>
        <v>2.67</v>
      </c>
      <c r="F3">
        <v>2.67</v>
      </c>
      <c r="G3" s="35">
        <f t="shared" ref="G3:G52" si="0">(B3-F3)^2</f>
        <v>1.6000000000000029E-3</v>
      </c>
      <c r="H3">
        <f t="shared" ref="H3:H52" si="1">ABS(B3-F3)/B3</f>
        <v>1.4760147601476028E-2</v>
      </c>
      <c r="I3" s="38">
        <f>B2</f>
        <v>2.67</v>
      </c>
      <c r="J3" s="38">
        <f>B2</f>
        <v>2.67</v>
      </c>
      <c r="L3">
        <v>2.67</v>
      </c>
      <c r="M3" s="39">
        <f t="shared" ref="M3:M52" si="2">(B3-L3)^2</f>
        <v>1.6000000000000029E-3</v>
      </c>
      <c r="N3">
        <f t="shared" ref="N3:N52" si="3">ABS(B3-L3)/B3</f>
        <v>1.4760147601476028E-2</v>
      </c>
    </row>
    <row r="4" spans="1:14">
      <c r="A4" s="36">
        <v>43483</v>
      </c>
      <c r="B4" s="37">
        <v>2.79</v>
      </c>
      <c r="C4">
        <v>3</v>
      </c>
      <c r="E4">
        <f t="shared" ref="E4:E52" si="4">0.2*B3+0.8*E3</f>
        <v>2.6779999999999999</v>
      </c>
      <c r="F4">
        <v>2.6779999999999999</v>
      </c>
      <c r="G4" s="35">
        <f t="shared" si="0"/>
        <v>1.2544000000000022E-2</v>
      </c>
      <c r="H4">
        <f t="shared" si="1"/>
        <v>4.0143369175627275E-2</v>
      </c>
      <c r="I4">
        <f t="shared" ref="I4:I52" si="5">0.1*B3+0.9*I3</f>
        <v>2.6739999999999999</v>
      </c>
      <c r="J4">
        <f t="shared" ref="J4:J52" si="6">0.3*B3+0.7*J3</f>
        <v>2.6819999999999995</v>
      </c>
      <c r="L4">
        <v>2.6779999999999999</v>
      </c>
      <c r="M4" s="39">
        <f t="shared" si="2"/>
        <v>1.2544000000000022E-2</v>
      </c>
      <c r="N4">
        <f t="shared" si="3"/>
        <v>4.0143369175627275E-2</v>
      </c>
    </row>
    <row r="5" spans="1:14">
      <c r="A5" s="36">
        <v>43490</v>
      </c>
      <c r="B5" s="37">
        <v>2.76</v>
      </c>
      <c r="C5">
        <v>4</v>
      </c>
      <c r="E5">
        <f t="shared" si="4"/>
        <v>2.7004000000000001</v>
      </c>
      <c r="F5">
        <v>2.7004000000000001</v>
      </c>
      <c r="G5" s="35">
        <f t="shared" si="0"/>
        <v>3.5521599999999588E-3</v>
      </c>
      <c r="H5">
        <f t="shared" si="1"/>
        <v>2.1594202898550602E-2</v>
      </c>
      <c r="I5">
        <f t="shared" si="5"/>
        <v>2.6856</v>
      </c>
      <c r="J5">
        <f t="shared" si="6"/>
        <v>2.7143999999999995</v>
      </c>
      <c r="L5">
        <v>2.7004000000000001</v>
      </c>
      <c r="M5" s="39">
        <f t="shared" si="2"/>
        <v>3.5521599999999588E-3</v>
      </c>
      <c r="N5">
        <f t="shared" si="3"/>
        <v>2.1594202898550602E-2</v>
      </c>
    </row>
    <row r="6" spans="1:14">
      <c r="A6" s="36">
        <v>43497</v>
      </c>
      <c r="B6" s="37">
        <v>2.7</v>
      </c>
      <c r="C6">
        <v>5</v>
      </c>
      <c r="E6">
        <f t="shared" si="4"/>
        <v>2.7123200000000001</v>
      </c>
      <c r="F6">
        <v>2.7123200000000001</v>
      </c>
      <c r="G6" s="35">
        <f t="shared" si="0"/>
        <v>1.517823999999972E-4</v>
      </c>
      <c r="H6">
        <f t="shared" si="1"/>
        <v>4.5629629629629206E-3</v>
      </c>
      <c r="I6">
        <f t="shared" si="5"/>
        <v>2.6930399999999999</v>
      </c>
      <c r="J6">
        <f t="shared" si="6"/>
        <v>2.7280799999999994</v>
      </c>
      <c r="L6">
        <v>2.7123200000000001</v>
      </c>
      <c r="M6" s="39">
        <f t="shared" si="2"/>
        <v>1.517823999999972E-4</v>
      </c>
      <c r="N6">
        <f t="shared" si="3"/>
        <v>4.5629629629629206E-3</v>
      </c>
    </row>
    <row r="7" spans="1:14">
      <c r="A7" s="36">
        <v>43504</v>
      </c>
      <c r="B7" s="37">
        <v>2.63</v>
      </c>
      <c r="C7">
        <v>6</v>
      </c>
      <c r="E7">
        <f t="shared" si="4"/>
        <v>2.7098560000000003</v>
      </c>
      <c r="F7">
        <v>2.7098560000000003</v>
      </c>
      <c r="G7" s="35">
        <f t="shared" si="0"/>
        <v>6.3769807360000595E-3</v>
      </c>
      <c r="H7">
        <f t="shared" si="1"/>
        <v>3.0363498098859458E-2</v>
      </c>
      <c r="I7">
        <f t="shared" si="5"/>
        <v>2.6937359999999999</v>
      </c>
      <c r="J7">
        <f t="shared" si="6"/>
        <v>2.7196559999999996</v>
      </c>
      <c r="L7">
        <v>2.7098560000000003</v>
      </c>
      <c r="M7" s="39">
        <f t="shared" si="2"/>
        <v>6.3769807360000595E-3</v>
      </c>
      <c r="N7">
        <f t="shared" si="3"/>
        <v>3.0363498098859458E-2</v>
      </c>
    </row>
    <row r="8" spans="1:14">
      <c r="A8" s="36">
        <v>43511</v>
      </c>
      <c r="B8" s="37">
        <v>2.66</v>
      </c>
      <c r="C8">
        <v>7</v>
      </c>
      <c r="E8">
        <f t="shared" si="4"/>
        <v>2.6938848000000002</v>
      </c>
      <c r="F8">
        <v>2.6938848000000002</v>
      </c>
      <c r="G8" s="35">
        <f t="shared" si="0"/>
        <v>1.1481796710400033E-3</v>
      </c>
      <c r="H8">
        <f t="shared" si="1"/>
        <v>1.2738646616541371E-2</v>
      </c>
      <c r="I8">
        <f t="shared" si="5"/>
        <v>2.6873624</v>
      </c>
      <c r="J8">
        <f t="shared" si="6"/>
        <v>2.6927591999999994</v>
      </c>
      <c r="L8">
        <v>2.6938848000000002</v>
      </c>
      <c r="M8" s="39">
        <f t="shared" si="2"/>
        <v>1.1481796710400033E-3</v>
      </c>
      <c r="N8">
        <f t="shared" si="3"/>
        <v>1.2738646616541371E-2</v>
      </c>
    </row>
    <row r="9" spans="1:14">
      <c r="A9" s="36">
        <v>43518</v>
      </c>
      <c r="B9" s="37">
        <v>2.65</v>
      </c>
      <c r="C9">
        <v>8</v>
      </c>
      <c r="E9">
        <f t="shared" si="4"/>
        <v>2.6871078400000004</v>
      </c>
      <c r="F9">
        <v>2.6871078400000004</v>
      </c>
      <c r="G9" s="35">
        <f t="shared" si="0"/>
        <v>1.3769917894656332E-3</v>
      </c>
      <c r="H9">
        <f t="shared" si="1"/>
        <v>1.4002958490566207E-2</v>
      </c>
      <c r="I9">
        <f t="shared" si="5"/>
        <v>2.6846261600000001</v>
      </c>
      <c r="J9">
        <f t="shared" si="6"/>
        <v>2.6829314399999995</v>
      </c>
      <c r="L9">
        <v>2.6871078400000004</v>
      </c>
      <c r="M9" s="39">
        <f t="shared" si="2"/>
        <v>1.3769917894656332E-3</v>
      </c>
      <c r="N9">
        <f t="shared" si="3"/>
        <v>1.4002958490566207E-2</v>
      </c>
    </row>
    <row r="10" spans="1:14">
      <c r="A10" s="36">
        <v>43525</v>
      </c>
      <c r="B10" s="37">
        <v>2.76</v>
      </c>
      <c r="C10">
        <v>9</v>
      </c>
      <c r="E10">
        <f t="shared" si="4"/>
        <v>2.6796862720000005</v>
      </c>
      <c r="F10">
        <v>2.6796862720000005</v>
      </c>
      <c r="G10" s="35">
        <f t="shared" si="0"/>
        <v>6.450294905257864E-3</v>
      </c>
      <c r="H10">
        <f t="shared" si="1"/>
        <v>2.9099176811593935E-2</v>
      </c>
      <c r="I10">
        <f t="shared" si="5"/>
        <v>2.6811635440000003</v>
      </c>
      <c r="J10">
        <f t="shared" si="6"/>
        <v>2.6730520079999995</v>
      </c>
      <c r="L10">
        <v>2.6796862720000005</v>
      </c>
      <c r="M10" s="39">
        <f t="shared" si="2"/>
        <v>6.450294905257864E-3</v>
      </c>
      <c r="N10">
        <f t="shared" si="3"/>
        <v>2.9099176811593935E-2</v>
      </c>
    </row>
    <row r="11" spans="1:14">
      <c r="A11" s="36">
        <v>43532</v>
      </c>
      <c r="B11" s="37">
        <v>2.65</v>
      </c>
      <c r="C11">
        <v>10</v>
      </c>
      <c r="E11">
        <f t="shared" si="4"/>
        <v>2.6957490176000007</v>
      </c>
      <c r="F11">
        <v>2.6957490176000007</v>
      </c>
      <c r="G11" s="35">
        <f t="shared" si="0"/>
        <v>2.0929726113651857E-3</v>
      </c>
      <c r="H11">
        <f t="shared" si="1"/>
        <v>1.7263780226415407E-2</v>
      </c>
      <c r="I11">
        <f t="shared" si="5"/>
        <v>2.6890471896000001</v>
      </c>
      <c r="J11">
        <f t="shared" si="6"/>
        <v>2.6991364055999996</v>
      </c>
      <c r="L11">
        <v>2.6957490176000007</v>
      </c>
      <c r="M11" s="39">
        <f t="shared" si="2"/>
        <v>2.0929726113651857E-3</v>
      </c>
      <c r="N11">
        <f t="shared" si="3"/>
        <v>1.7263780226415407E-2</v>
      </c>
    </row>
    <row r="12" spans="1:14">
      <c r="A12" s="36">
        <v>43539</v>
      </c>
      <c r="B12" s="37">
        <v>2.5</v>
      </c>
      <c r="C12">
        <v>11</v>
      </c>
      <c r="E12">
        <f t="shared" si="4"/>
        <v>2.686599214080001</v>
      </c>
      <c r="F12">
        <v>2.686599214080001</v>
      </c>
      <c r="G12" s="35">
        <f t="shared" si="0"/>
        <v>3.4819266695274048E-2</v>
      </c>
      <c r="H12">
        <f t="shared" si="1"/>
        <v>7.4639685632000408E-2</v>
      </c>
      <c r="I12">
        <f t="shared" si="5"/>
        <v>2.6851424706400002</v>
      </c>
      <c r="J12">
        <f t="shared" si="6"/>
        <v>2.6843954839199995</v>
      </c>
      <c r="L12">
        <v>2.686599214080001</v>
      </c>
      <c r="M12" s="39">
        <f t="shared" si="2"/>
        <v>3.4819266695274048E-2</v>
      </c>
      <c r="N12">
        <f t="shared" si="3"/>
        <v>7.4639685632000408E-2</v>
      </c>
    </row>
    <row r="13" spans="1:14">
      <c r="A13" s="36">
        <v>43546</v>
      </c>
      <c r="B13" s="37">
        <v>2.36</v>
      </c>
      <c r="C13">
        <v>12</v>
      </c>
      <c r="E13">
        <f t="shared" si="4"/>
        <v>2.6492793712640008</v>
      </c>
      <c r="F13">
        <v>2.6492793712640008</v>
      </c>
      <c r="G13" s="35">
        <f t="shared" si="0"/>
        <v>8.3682554638895693E-2</v>
      </c>
      <c r="H13">
        <f t="shared" si="1"/>
        <v>0.12257600477288176</v>
      </c>
      <c r="I13">
        <f t="shared" si="5"/>
        <v>2.6666282235760002</v>
      </c>
      <c r="J13">
        <f t="shared" si="6"/>
        <v>2.6290768387439996</v>
      </c>
      <c r="L13">
        <v>2.6492793712640008</v>
      </c>
      <c r="M13" s="39">
        <f t="shared" si="2"/>
        <v>8.3682554638895693E-2</v>
      </c>
      <c r="N13">
        <f t="shared" si="3"/>
        <v>0.12257600477288176</v>
      </c>
    </row>
    <row r="14" spans="1:14">
      <c r="A14" s="36">
        <v>43553</v>
      </c>
      <c r="B14" s="37">
        <v>2.41</v>
      </c>
      <c r="C14">
        <v>13</v>
      </c>
      <c r="E14">
        <f t="shared" si="4"/>
        <v>2.5914234970112009</v>
      </c>
      <c r="F14">
        <v>2.5914234970112009</v>
      </c>
      <c r="G14" s="35">
        <f t="shared" si="0"/>
        <v>3.2914485267773165E-2</v>
      </c>
      <c r="H14">
        <f t="shared" si="1"/>
        <v>7.5279459340747201E-2</v>
      </c>
      <c r="I14">
        <f t="shared" si="5"/>
        <v>2.6359654012184004</v>
      </c>
      <c r="J14">
        <f t="shared" si="6"/>
        <v>2.5483537871207993</v>
      </c>
      <c r="L14">
        <v>2.5914234970112009</v>
      </c>
      <c r="M14" s="39">
        <f t="shared" si="2"/>
        <v>3.2914485267773165E-2</v>
      </c>
      <c r="N14">
        <f t="shared" si="3"/>
        <v>7.5279459340747201E-2</v>
      </c>
    </row>
    <row r="15" spans="1:14">
      <c r="A15" s="36">
        <v>43560</v>
      </c>
      <c r="B15" s="37">
        <v>2.48</v>
      </c>
      <c r="C15">
        <v>14</v>
      </c>
      <c r="E15">
        <f t="shared" si="4"/>
        <v>2.555138797608961</v>
      </c>
      <c r="F15">
        <v>2.555138797608961</v>
      </c>
      <c r="G15" s="35">
        <f t="shared" si="0"/>
        <v>5.6458389061204073E-3</v>
      </c>
      <c r="H15">
        <f>ABS(B15-F15)/B15</f>
        <v>3.0297902261677834E-2</v>
      </c>
      <c r="I15">
        <f t="shared" si="5"/>
        <v>2.6133688610965606</v>
      </c>
      <c r="J15">
        <f t="shared" si="6"/>
        <v>2.5068476509845592</v>
      </c>
      <c r="L15">
        <v>2.555138797608961</v>
      </c>
      <c r="M15" s="39">
        <f t="shared" si="2"/>
        <v>5.6458389061204073E-3</v>
      </c>
      <c r="N15">
        <f t="shared" si="3"/>
        <v>3.0297902261677834E-2</v>
      </c>
    </row>
    <row r="16" spans="1:14">
      <c r="A16" s="36">
        <v>43567</v>
      </c>
      <c r="B16" s="37">
        <v>2.4900000000000002</v>
      </c>
      <c r="C16">
        <v>15</v>
      </c>
      <c r="E16">
        <f t="shared" si="4"/>
        <v>2.540111038087169</v>
      </c>
      <c r="F16">
        <v>2.540111038087169</v>
      </c>
      <c r="G16" s="35">
        <f t="shared" si="0"/>
        <v>2.511116138173679E-3</v>
      </c>
      <c r="H16">
        <f t="shared" si="1"/>
        <v>2.0124914894445286E-2</v>
      </c>
      <c r="I16">
        <f t="shared" si="5"/>
        <v>2.600031974986905</v>
      </c>
      <c r="J16">
        <f t="shared" si="6"/>
        <v>2.498793355689191</v>
      </c>
      <c r="L16">
        <v>2.540111038087169</v>
      </c>
      <c r="M16" s="39">
        <f t="shared" si="2"/>
        <v>2.511116138173679E-3</v>
      </c>
      <c r="N16">
        <f t="shared" si="3"/>
        <v>2.0124914894445286E-2</v>
      </c>
    </row>
    <row r="17" spans="1:14">
      <c r="A17" s="36">
        <v>43581</v>
      </c>
      <c r="B17" s="37">
        <v>2.4900000000000002</v>
      </c>
      <c r="C17">
        <v>16</v>
      </c>
      <c r="E17">
        <f t="shared" si="4"/>
        <v>2.5300888304697353</v>
      </c>
      <c r="F17">
        <v>2.5300888304697353</v>
      </c>
      <c r="G17" s="35">
        <f t="shared" si="0"/>
        <v>1.6071143284311616E-3</v>
      </c>
      <c r="H17">
        <f t="shared" si="1"/>
        <v>1.6099931915556264E-2</v>
      </c>
      <c r="I17">
        <f t="shared" si="5"/>
        <v>2.5890287774882146</v>
      </c>
      <c r="J17">
        <f t="shared" si="6"/>
        <v>2.4961553489824335</v>
      </c>
      <c r="L17">
        <v>2.5300888304697353</v>
      </c>
      <c r="M17" s="39">
        <f t="shared" si="2"/>
        <v>1.6071143284311616E-3</v>
      </c>
      <c r="N17">
        <f t="shared" si="3"/>
        <v>1.6099931915556264E-2</v>
      </c>
    </row>
    <row r="18" spans="1:14">
      <c r="A18" s="36">
        <v>43588</v>
      </c>
      <c r="B18" s="37">
        <v>2.4500000000000002</v>
      </c>
      <c r="C18">
        <v>17</v>
      </c>
      <c r="E18">
        <f t="shared" si="4"/>
        <v>2.5220710643757887</v>
      </c>
      <c r="F18">
        <v>2.5220710643757887</v>
      </c>
      <c r="G18" s="35">
        <f t="shared" si="0"/>
        <v>5.1942383202590462E-3</v>
      </c>
      <c r="H18">
        <f t="shared" si="1"/>
        <v>2.941676096970958E-2</v>
      </c>
      <c r="I18">
        <f t="shared" si="5"/>
        <v>2.5791258997393931</v>
      </c>
      <c r="J18">
        <f t="shared" si="6"/>
        <v>2.4943087442877032</v>
      </c>
      <c r="L18">
        <v>2.5220710643757887</v>
      </c>
      <c r="M18" s="39">
        <f t="shared" si="2"/>
        <v>5.1942383202590462E-3</v>
      </c>
      <c r="N18">
        <f t="shared" si="3"/>
        <v>2.941676096970958E-2</v>
      </c>
    </row>
    <row r="19" spans="1:14">
      <c r="A19" s="36">
        <v>43595</v>
      </c>
      <c r="B19" s="37">
        <v>2.48</v>
      </c>
      <c r="C19">
        <v>18</v>
      </c>
      <c r="E19">
        <f t="shared" si="4"/>
        <v>2.5076568515006312</v>
      </c>
      <c r="F19">
        <v>2.5076568515006312</v>
      </c>
      <c r="G19" s="35">
        <f t="shared" si="0"/>
        <v>7.6490143492796855E-4</v>
      </c>
      <c r="H19">
        <f t="shared" si="1"/>
        <v>1.1151956250254533E-2</v>
      </c>
      <c r="I19">
        <f t="shared" si="5"/>
        <v>2.566213309765454</v>
      </c>
      <c r="J19">
        <f t="shared" si="6"/>
        <v>2.4810161210013923</v>
      </c>
      <c r="L19">
        <v>2.5076568515006312</v>
      </c>
      <c r="M19" s="39">
        <f t="shared" si="2"/>
        <v>7.6490143492796855E-4</v>
      </c>
      <c r="N19">
        <f t="shared" si="3"/>
        <v>1.1151956250254533E-2</v>
      </c>
    </row>
    <row r="20" spans="1:14">
      <c r="A20" s="36">
        <v>43602</v>
      </c>
      <c r="B20" s="37">
        <v>2.35</v>
      </c>
      <c r="C20">
        <v>19</v>
      </c>
      <c r="E20">
        <f t="shared" si="4"/>
        <v>2.5021254812005052</v>
      </c>
      <c r="F20">
        <v>2.5021254812005052</v>
      </c>
      <c r="G20" s="35">
        <f t="shared" si="0"/>
        <v>2.3142162030485219E-2</v>
      </c>
      <c r="H20">
        <f t="shared" si="1"/>
        <v>6.473424731936385E-2</v>
      </c>
      <c r="I20">
        <f t="shared" si="5"/>
        <v>2.557591978788909</v>
      </c>
      <c r="J20">
        <f t="shared" si="6"/>
        <v>2.4807112847009742</v>
      </c>
      <c r="L20">
        <v>2.5021254812005052</v>
      </c>
      <c r="M20" s="39">
        <f t="shared" si="2"/>
        <v>2.3142162030485219E-2</v>
      </c>
      <c r="N20">
        <f t="shared" si="3"/>
        <v>6.473424731936385E-2</v>
      </c>
    </row>
    <row r="21" spans="1:14">
      <c r="A21" s="36">
        <v>43609</v>
      </c>
      <c r="B21" s="37">
        <v>2.3199999999999998</v>
      </c>
      <c r="C21">
        <v>20</v>
      </c>
      <c r="E21">
        <f t="shared" si="4"/>
        <v>2.4717003849604042</v>
      </c>
      <c r="F21">
        <v>2.4717003849604042</v>
      </c>
      <c r="G21" s="35">
        <f t="shared" si="0"/>
        <v>2.3013006797134885E-2</v>
      </c>
      <c r="H21">
        <f t="shared" si="1"/>
        <v>6.5388096965691547E-2</v>
      </c>
      <c r="I21">
        <f t="shared" si="5"/>
        <v>2.536832780910018</v>
      </c>
      <c r="J21">
        <f t="shared" si="6"/>
        <v>2.4414978992906819</v>
      </c>
      <c r="L21">
        <v>2.4717003849604042</v>
      </c>
      <c r="M21" s="39">
        <f t="shared" si="2"/>
        <v>2.3013006797134885E-2</v>
      </c>
      <c r="N21">
        <f t="shared" si="3"/>
        <v>6.5388096965691547E-2</v>
      </c>
    </row>
    <row r="22" spans="1:14">
      <c r="A22" s="36">
        <v>43616</v>
      </c>
      <c r="B22" s="37">
        <v>2.04</v>
      </c>
      <c r="C22">
        <v>21</v>
      </c>
      <c r="E22">
        <f t="shared" si="4"/>
        <v>2.4413603079683233</v>
      </c>
      <c r="F22">
        <v>2.4413603079683233</v>
      </c>
      <c r="G22" s="35">
        <f t="shared" si="0"/>
        <v>0.16109009681242725</v>
      </c>
      <c r="H22">
        <f t="shared" si="1"/>
        <v>0.19674524900408</v>
      </c>
      <c r="I22">
        <f t="shared" si="5"/>
        <v>2.5151495028190158</v>
      </c>
      <c r="J22">
        <f t="shared" si="6"/>
        <v>2.4050485295034774</v>
      </c>
      <c r="L22">
        <v>2.4413603079683233</v>
      </c>
      <c r="M22" s="39">
        <f t="shared" si="2"/>
        <v>0.16109009681242725</v>
      </c>
      <c r="N22">
        <f t="shared" si="3"/>
        <v>0.19674524900408</v>
      </c>
    </row>
    <row r="23" spans="1:14">
      <c r="A23" s="36">
        <v>43623</v>
      </c>
      <c r="B23" s="37">
        <v>2.02</v>
      </c>
      <c r="C23">
        <v>22</v>
      </c>
      <c r="E23">
        <f t="shared" si="4"/>
        <v>2.3610882463746585</v>
      </c>
      <c r="F23">
        <v>2.3610882463746585</v>
      </c>
      <c r="G23" s="35">
        <f t="shared" si="0"/>
        <v>0.11634119181493975</v>
      </c>
      <c r="H23">
        <f t="shared" si="1"/>
        <v>0.16885556751220718</v>
      </c>
      <c r="I23">
        <f t="shared" si="5"/>
        <v>2.4676345525371146</v>
      </c>
      <c r="J23">
        <f t="shared" si="6"/>
        <v>2.2955339706524343</v>
      </c>
      <c r="L23">
        <v>2.3610882463746585</v>
      </c>
      <c r="M23" s="39">
        <f t="shared" si="2"/>
        <v>0.11634119181493975</v>
      </c>
      <c r="N23">
        <f t="shared" si="3"/>
        <v>0.16885556751220718</v>
      </c>
    </row>
    <row r="24" spans="1:14">
      <c r="A24" s="36">
        <v>43630</v>
      </c>
      <c r="B24" s="37">
        <v>2.02</v>
      </c>
      <c r="C24">
        <v>23</v>
      </c>
      <c r="E24">
        <f t="shared" si="4"/>
        <v>2.2928705970997267</v>
      </c>
      <c r="F24">
        <v>2.2928705970997267</v>
      </c>
      <c r="G24" s="35">
        <f t="shared" si="0"/>
        <v>7.4458362761561384E-2</v>
      </c>
      <c r="H24">
        <f t="shared" si="1"/>
        <v>0.13508445400976571</v>
      </c>
      <c r="I24">
        <f t="shared" si="5"/>
        <v>2.4228710972834033</v>
      </c>
      <c r="J24">
        <f t="shared" si="6"/>
        <v>2.2128737794567037</v>
      </c>
      <c r="L24">
        <v>2.2928705970997267</v>
      </c>
      <c r="M24" s="39">
        <f t="shared" si="2"/>
        <v>7.4458362761561384E-2</v>
      </c>
      <c r="N24">
        <f t="shared" si="3"/>
        <v>0.13508445400976571</v>
      </c>
    </row>
    <row r="25" spans="1:14">
      <c r="A25" s="36">
        <v>43637</v>
      </c>
      <c r="B25" s="37">
        <v>2.13</v>
      </c>
      <c r="C25">
        <v>24</v>
      </c>
      <c r="E25">
        <f t="shared" si="4"/>
        <v>2.2382964776797816</v>
      </c>
      <c r="F25">
        <v>2.2382964776797816</v>
      </c>
      <c r="G25" s="35">
        <f>(B25-F25)^2</f>
        <v>1.172812707784745E-2</v>
      </c>
      <c r="H25">
        <f t="shared" si="1"/>
        <v>5.0843416751071215E-2</v>
      </c>
      <c r="I25">
        <f t="shared" si="5"/>
        <v>2.382583987555063</v>
      </c>
      <c r="J25">
        <f t="shared" si="6"/>
        <v>2.1550116456196924</v>
      </c>
      <c r="L25">
        <v>2.2382964776797816</v>
      </c>
      <c r="M25" s="39">
        <f t="shared" si="2"/>
        <v>1.172812707784745E-2</v>
      </c>
      <c r="N25">
        <f t="shared" si="3"/>
        <v>5.0843416751071215E-2</v>
      </c>
    </row>
    <row r="26" spans="1:14">
      <c r="A26" s="36">
        <v>43644</v>
      </c>
      <c r="B26" s="37">
        <v>1.94</v>
      </c>
      <c r="C26">
        <v>25</v>
      </c>
      <c r="E26">
        <f t="shared" si="4"/>
        <v>2.2166371821438253</v>
      </c>
      <c r="F26">
        <v>2.2166371821438253</v>
      </c>
      <c r="G26" s="35">
        <f t="shared" si="0"/>
        <v>7.652813054447602E-2</v>
      </c>
      <c r="H26">
        <f t="shared" si="1"/>
        <v>0.1425964856411471</v>
      </c>
      <c r="I26">
        <f t="shared" si="5"/>
        <v>2.357325588799557</v>
      </c>
      <c r="J26">
        <f t="shared" si="6"/>
        <v>2.1475081519337844</v>
      </c>
      <c r="L26">
        <v>2.2166371821438253</v>
      </c>
      <c r="M26" s="39">
        <f t="shared" si="2"/>
        <v>7.652813054447602E-2</v>
      </c>
      <c r="N26">
        <f t="shared" si="3"/>
        <v>0.1425964856411471</v>
      </c>
    </row>
    <row r="27" spans="1:14">
      <c r="A27" s="36">
        <v>43651</v>
      </c>
      <c r="B27" s="37">
        <v>2.12</v>
      </c>
      <c r="C27">
        <v>26</v>
      </c>
      <c r="E27">
        <f t="shared" si="4"/>
        <v>2.1613097457150605</v>
      </c>
      <c r="F27">
        <v>2.1613097457150605</v>
      </c>
      <c r="G27" s="35">
        <f t="shared" si="0"/>
        <v>1.7064950910429518E-3</v>
      </c>
      <c r="H27">
        <f t="shared" si="1"/>
        <v>1.948572911087755E-2</v>
      </c>
      <c r="I27">
        <f t="shared" si="5"/>
        <v>2.3155930299196013</v>
      </c>
      <c r="J27">
        <f t="shared" si="6"/>
        <v>2.085255706353649</v>
      </c>
      <c r="L27">
        <v>2.1613097457150605</v>
      </c>
      <c r="M27" s="39">
        <f t="shared" si="2"/>
        <v>1.7064950910429518E-3</v>
      </c>
      <c r="N27">
        <f t="shared" si="3"/>
        <v>1.948572911087755E-2</v>
      </c>
    </row>
    <row r="28" spans="1:14">
      <c r="A28" s="36">
        <v>43658</v>
      </c>
      <c r="B28" s="37">
        <v>2.14</v>
      </c>
      <c r="C28">
        <v>27</v>
      </c>
      <c r="E28">
        <f t="shared" si="4"/>
        <v>2.1530477965720487</v>
      </c>
      <c r="F28">
        <v>2.1530477965720487</v>
      </c>
      <c r="G28" s="35">
        <f t="shared" si="0"/>
        <v>1.7024499538556255E-4</v>
      </c>
      <c r="H28">
        <f t="shared" si="1"/>
        <v>6.0971012018918571E-3</v>
      </c>
      <c r="I28">
        <f t="shared" si="5"/>
        <v>2.2960337269276412</v>
      </c>
      <c r="J28">
        <f t="shared" si="6"/>
        <v>2.095678994447554</v>
      </c>
      <c r="L28">
        <v>2.1530477965720487</v>
      </c>
      <c r="M28" s="39">
        <f t="shared" si="2"/>
        <v>1.7024499538556255E-4</v>
      </c>
      <c r="N28">
        <f t="shared" si="3"/>
        <v>6.0971012018918571E-3</v>
      </c>
    </row>
    <row r="29" spans="1:14">
      <c r="A29" s="36">
        <v>43665</v>
      </c>
      <c r="B29" s="37">
        <v>2.0499999999999998</v>
      </c>
      <c r="C29">
        <v>28</v>
      </c>
      <c r="E29">
        <f t="shared" si="4"/>
        <v>2.1504382372576392</v>
      </c>
      <c r="F29">
        <v>2.1504382372576392</v>
      </c>
      <c r="G29" s="35">
        <f t="shared" si="0"/>
        <v>1.0087839503421851E-2</v>
      </c>
      <c r="H29">
        <f t="shared" si="1"/>
        <v>4.8994262076897242E-2</v>
      </c>
      <c r="I29">
        <f t="shared" si="5"/>
        <v>2.2804303542348769</v>
      </c>
      <c r="J29">
        <f t="shared" si="6"/>
        <v>2.1089752961132877</v>
      </c>
      <c r="L29">
        <v>2.1504382372576392</v>
      </c>
      <c r="M29" s="39">
        <f t="shared" si="2"/>
        <v>1.0087839503421851E-2</v>
      </c>
      <c r="N29">
        <f t="shared" si="3"/>
        <v>4.8994262076897242E-2</v>
      </c>
    </row>
    <row r="30" spans="1:14">
      <c r="A30" s="36">
        <v>43672</v>
      </c>
      <c r="B30" s="37">
        <v>2.08</v>
      </c>
      <c r="C30">
        <v>29</v>
      </c>
      <c r="E30">
        <f t="shared" si="4"/>
        <v>2.1303505898061115</v>
      </c>
      <c r="F30">
        <v>2.1303505898061115</v>
      </c>
      <c r="G30" s="35">
        <f t="shared" si="0"/>
        <v>2.5351818938232893E-3</v>
      </c>
      <c r="H30">
        <f t="shared" si="1"/>
        <v>2.4207014329861248E-2</v>
      </c>
      <c r="I30">
        <f t="shared" si="5"/>
        <v>2.2573873188113893</v>
      </c>
      <c r="J30">
        <f t="shared" si="6"/>
        <v>2.091282707279301</v>
      </c>
      <c r="L30">
        <v>2.1303505898061115</v>
      </c>
      <c r="M30" s="39">
        <f t="shared" si="2"/>
        <v>2.5351818938232893E-3</v>
      </c>
      <c r="N30">
        <f t="shared" si="3"/>
        <v>2.4207014329861248E-2</v>
      </c>
    </row>
    <row r="31" spans="1:14">
      <c r="A31" s="36">
        <v>43679</v>
      </c>
      <c r="B31" s="37">
        <v>1.86</v>
      </c>
      <c r="C31">
        <v>30</v>
      </c>
      <c r="E31">
        <f t="shared" si="4"/>
        <v>2.1202804718448891</v>
      </c>
      <c r="F31">
        <v>2.1202804718448891</v>
      </c>
      <c r="G31" s="35">
        <f t="shared" si="0"/>
        <v>6.774592402379806E-2</v>
      </c>
      <c r="H31">
        <f t="shared" si="1"/>
        <v>0.1399357375510156</v>
      </c>
      <c r="I31">
        <f t="shared" si="5"/>
        <v>2.2396485869302505</v>
      </c>
      <c r="J31">
        <f t="shared" si="6"/>
        <v>2.0878978950955105</v>
      </c>
      <c r="L31">
        <v>2.1202804718448891</v>
      </c>
      <c r="M31" s="39">
        <f t="shared" si="2"/>
        <v>6.774592402379806E-2</v>
      </c>
      <c r="N31">
        <f t="shared" si="3"/>
        <v>0.1399357375510156</v>
      </c>
    </row>
    <row r="32" spans="1:14">
      <c r="A32" s="36">
        <v>43686</v>
      </c>
      <c r="B32" s="37">
        <v>1.74</v>
      </c>
      <c r="C32">
        <v>31</v>
      </c>
      <c r="E32">
        <f t="shared" si="4"/>
        <v>2.0682243774759113</v>
      </c>
      <c r="F32">
        <v>2.0682243774759113</v>
      </c>
      <c r="G32" s="35">
        <f t="shared" si="0"/>
        <v>0.10773124196944948</v>
      </c>
      <c r="H32">
        <f t="shared" si="1"/>
        <v>0.18863469969879959</v>
      </c>
      <c r="I32">
        <f t="shared" si="5"/>
        <v>2.2016837282372252</v>
      </c>
      <c r="J32">
        <f t="shared" si="6"/>
        <v>2.019528526566857</v>
      </c>
      <c r="L32">
        <v>2.0682243774759113</v>
      </c>
      <c r="M32" s="39">
        <f t="shared" si="2"/>
        <v>0.10773124196944948</v>
      </c>
      <c r="N32">
        <f t="shared" si="3"/>
        <v>0.18863469969879959</v>
      </c>
    </row>
    <row r="33" spans="1:14">
      <c r="A33" s="36">
        <v>43693</v>
      </c>
      <c r="B33" s="37">
        <v>1.55</v>
      </c>
      <c r="C33">
        <v>32</v>
      </c>
      <c r="E33">
        <f t="shared" si="4"/>
        <v>2.0025795019807289</v>
      </c>
      <c r="F33">
        <v>2.0025795019807289</v>
      </c>
      <c r="G33" s="35">
        <f t="shared" si="0"/>
        <v>0.20482820561312454</v>
      </c>
      <c r="H33">
        <f t="shared" si="1"/>
        <v>0.29198677547143792</v>
      </c>
      <c r="I33">
        <f t="shared" si="5"/>
        <v>2.1555153554135029</v>
      </c>
      <c r="J33">
        <f t="shared" si="6"/>
        <v>1.9356699685967997</v>
      </c>
      <c r="L33">
        <v>2.0025795019807289</v>
      </c>
      <c r="M33" s="39">
        <f t="shared" si="2"/>
        <v>0.20482820561312454</v>
      </c>
      <c r="N33">
        <f t="shared" si="3"/>
        <v>0.29198677547143792</v>
      </c>
    </row>
    <row r="34" spans="1:14">
      <c r="A34" s="36">
        <v>43700</v>
      </c>
      <c r="B34" s="37">
        <v>1.52</v>
      </c>
      <c r="C34">
        <v>33</v>
      </c>
      <c r="E34">
        <f t="shared" si="4"/>
        <v>1.9120636015845833</v>
      </c>
      <c r="F34">
        <v>1.9120636015845833</v>
      </c>
      <c r="G34" s="35">
        <f t="shared" si="0"/>
        <v>0.15371386768747489</v>
      </c>
      <c r="H34">
        <f t="shared" si="1"/>
        <v>0.25793657998985742</v>
      </c>
      <c r="I34">
        <f>0.1*B33+0.9*I33</f>
        <v>2.0949638198721527</v>
      </c>
      <c r="J34">
        <f t="shared" si="6"/>
        <v>1.8199689780177599</v>
      </c>
      <c r="L34">
        <v>1.9120636015845833</v>
      </c>
      <c r="M34" s="39">
        <f t="shared" si="2"/>
        <v>0.15371386768747489</v>
      </c>
      <c r="N34">
        <f t="shared" si="3"/>
        <v>0.25793657998985742</v>
      </c>
    </row>
    <row r="35" spans="1:14">
      <c r="A35" s="36">
        <v>43707</v>
      </c>
      <c r="B35" s="37">
        <v>1.5</v>
      </c>
      <c r="C35">
        <v>34</v>
      </c>
      <c r="E35">
        <f t="shared" si="4"/>
        <v>1.8336508812676668</v>
      </c>
      <c r="F35">
        <v>1.8336508812676668</v>
      </c>
      <c r="G35" s="35">
        <f t="shared" si="0"/>
        <v>0.11132291057069071</v>
      </c>
      <c r="H35">
        <f t="shared" si="1"/>
        <v>0.22243392084511124</v>
      </c>
      <c r="I35">
        <f t="shared" si="5"/>
        <v>2.0374674378849376</v>
      </c>
      <c r="J35">
        <f t="shared" si="6"/>
        <v>1.7299782846124319</v>
      </c>
      <c r="L35">
        <v>1.8336508812676668</v>
      </c>
      <c r="M35" s="39">
        <f t="shared" si="2"/>
        <v>0.11132291057069071</v>
      </c>
      <c r="N35">
        <f t="shared" si="3"/>
        <v>0.22243392084511124</v>
      </c>
    </row>
    <row r="36" spans="1:14">
      <c r="A36" s="36">
        <v>43714</v>
      </c>
      <c r="B36" s="37">
        <v>1.55</v>
      </c>
      <c r="C36">
        <v>35</v>
      </c>
      <c r="E36">
        <f t="shared" si="4"/>
        <v>1.7669207050141336</v>
      </c>
      <c r="F36">
        <v>1.7669207050141336</v>
      </c>
      <c r="G36" s="35">
        <f t="shared" si="0"/>
        <v>4.7054592263828729E-2</v>
      </c>
      <c r="H36">
        <f t="shared" si="1"/>
        <v>0.13994884194460228</v>
      </c>
      <c r="I36">
        <f t="shared" si="5"/>
        <v>1.9837206940964438</v>
      </c>
      <c r="J36">
        <f t="shared" si="6"/>
        <v>1.6609847992287021</v>
      </c>
      <c r="L36">
        <v>1.7669207050141336</v>
      </c>
      <c r="M36" s="39">
        <f t="shared" si="2"/>
        <v>4.7054592263828729E-2</v>
      </c>
      <c r="N36">
        <f t="shared" si="3"/>
        <v>0.13994884194460228</v>
      </c>
    </row>
    <row r="37" spans="1:14">
      <c r="A37" s="36">
        <v>43721</v>
      </c>
      <c r="B37" s="37">
        <v>1.9</v>
      </c>
      <c r="C37">
        <v>36</v>
      </c>
      <c r="E37">
        <f t="shared" si="4"/>
        <v>1.7235365640113069</v>
      </c>
      <c r="F37">
        <v>1.7235365640113069</v>
      </c>
      <c r="G37" s="35">
        <f t="shared" si="0"/>
        <v>3.1139344240935538E-2</v>
      </c>
      <c r="H37">
        <f t="shared" si="1"/>
        <v>9.2875492625627873E-2</v>
      </c>
      <c r="I37">
        <f t="shared" si="5"/>
        <v>1.9403486246867996</v>
      </c>
      <c r="J37">
        <f t="shared" si="6"/>
        <v>1.6276893594600912</v>
      </c>
      <c r="L37">
        <v>1.7235365640113069</v>
      </c>
      <c r="M37" s="39">
        <f t="shared" si="2"/>
        <v>3.1139344240935538E-2</v>
      </c>
      <c r="N37">
        <f t="shared" si="3"/>
        <v>9.2875492625627873E-2</v>
      </c>
    </row>
    <row r="38" spans="1:14">
      <c r="A38" s="36">
        <v>43728</v>
      </c>
      <c r="B38" s="37">
        <v>1.7</v>
      </c>
      <c r="C38">
        <v>37</v>
      </c>
      <c r="E38">
        <f t="shared" si="4"/>
        <v>1.7588292512090455</v>
      </c>
      <c r="F38">
        <v>1.7588292512090455</v>
      </c>
      <c r="G38" s="35">
        <f t="shared" si="0"/>
        <v>3.4608807978169917E-3</v>
      </c>
      <c r="H38">
        <f t="shared" si="1"/>
        <v>3.4605441887673873E-2</v>
      </c>
      <c r="I38">
        <f t="shared" si="5"/>
        <v>1.9363137622181197</v>
      </c>
      <c r="J38">
        <f t="shared" si="6"/>
        <v>1.7093825516220638</v>
      </c>
      <c r="L38">
        <v>1.7588292512090455</v>
      </c>
      <c r="M38" s="39">
        <f t="shared" si="2"/>
        <v>3.4608807978169917E-3</v>
      </c>
      <c r="N38">
        <f t="shared" si="3"/>
        <v>3.4605441887673873E-2</v>
      </c>
    </row>
    <row r="39" spans="1:14">
      <c r="A39" s="36">
        <v>43735</v>
      </c>
      <c r="B39" s="37">
        <v>1.6</v>
      </c>
      <c r="C39">
        <v>38</v>
      </c>
      <c r="E39">
        <f t="shared" si="4"/>
        <v>1.7470634009672366</v>
      </c>
      <c r="F39">
        <v>1.7470634009672366</v>
      </c>
      <c r="G39" s="35">
        <f t="shared" si="0"/>
        <v>2.1627643904050167E-2</v>
      </c>
      <c r="H39">
        <f t="shared" si="1"/>
        <v>9.1914625604522793E-2</v>
      </c>
      <c r="I39">
        <f t="shared" si="5"/>
        <v>1.9126823859963076</v>
      </c>
      <c r="J39">
        <f t="shared" si="6"/>
        <v>1.7065677861354445</v>
      </c>
      <c r="L39">
        <v>1.7470634009672366</v>
      </c>
      <c r="M39" s="39">
        <f t="shared" si="2"/>
        <v>2.1627643904050167E-2</v>
      </c>
      <c r="N39">
        <f t="shared" si="3"/>
        <v>9.1914625604522793E-2</v>
      </c>
    </row>
    <row r="40" spans="1:14">
      <c r="A40" s="36">
        <v>43742</v>
      </c>
      <c r="B40" s="37">
        <v>1.54</v>
      </c>
      <c r="C40">
        <v>39</v>
      </c>
      <c r="E40">
        <f t="shared" si="4"/>
        <v>1.7176507207737894</v>
      </c>
      <c r="F40">
        <v>1.7176507207737894</v>
      </c>
      <c r="G40" s="35">
        <f t="shared" si="0"/>
        <v>3.1559778591446888E-2</v>
      </c>
      <c r="H40">
        <f t="shared" si="1"/>
        <v>0.11535761089207104</v>
      </c>
      <c r="I40">
        <f t="shared" si="5"/>
        <v>1.881414147396677</v>
      </c>
      <c r="J40">
        <f t="shared" si="6"/>
        <v>1.6745974502948111</v>
      </c>
      <c r="L40">
        <v>1.7176507207737894</v>
      </c>
      <c r="M40" s="39">
        <f t="shared" si="2"/>
        <v>3.1559778591446888E-2</v>
      </c>
      <c r="N40">
        <f t="shared" si="3"/>
        <v>0.11535761089207104</v>
      </c>
    </row>
    <row r="41" spans="1:14">
      <c r="A41" s="36">
        <v>43749</v>
      </c>
      <c r="B41" s="37">
        <v>1.73</v>
      </c>
      <c r="C41">
        <v>40</v>
      </c>
      <c r="E41">
        <f t="shared" si="4"/>
        <v>1.6821205766190317</v>
      </c>
      <c r="F41">
        <v>1.6821205766190317</v>
      </c>
      <c r="G41" s="35">
        <f t="shared" si="0"/>
        <v>2.2924391832940131E-3</v>
      </c>
      <c r="H41">
        <f t="shared" si="1"/>
        <v>2.7675967272236004E-2</v>
      </c>
      <c r="I41">
        <f t="shared" si="5"/>
        <v>1.8472727326570095</v>
      </c>
      <c r="J41">
        <f t="shared" si="6"/>
        <v>1.6342182152063676</v>
      </c>
      <c r="L41">
        <v>1.6821205766190317</v>
      </c>
      <c r="M41" s="39">
        <f t="shared" si="2"/>
        <v>2.2924391832940131E-3</v>
      </c>
      <c r="N41">
        <f t="shared" si="3"/>
        <v>2.7675967272236004E-2</v>
      </c>
    </row>
    <row r="42" spans="1:14">
      <c r="A42" s="36">
        <v>43756</v>
      </c>
      <c r="B42" s="37">
        <v>1.7</v>
      </c>
      <c r="C42">
        <v>41</v>
      </c>
      <c r="E42">
        <f t="shared" si="4"/>
        <v>1.6916964612952254</v>
      </c>
      <c r="F42">
        <v>1.6916964612952254</v>
      </c>
      <c r="G42" s="35">
        <f t="shared" si="0"/>
        <v>6.8948755021688444E-5</v>
      </c>
      <c r="H42">
        <f t="shared" si="1"/>
        <v>4.8844345322203034E-3</v>
      </c>
      <c r="I42">
        <f t="shared" si="5"/>
        <v>1.8355454593913088</v>
      </c>
      <c r="J42">
        <f t="shared" si="6"/>
        <v>1.662952750644457</v>
      </c>
      <c r="L42">
        <v>1.6916964612952254</v>
      </c>
      <c r="M42" s="39">
        <f t="shared" si="2"/>
        <v>6.8948755021688444E-5</v>
      </c>
      <c r="N42">
        <f t="shared" si="3"/>
        <v>4.8844345322203034E-3</v>
      </c>
    </row>
    <row r="43" spans="1:14">
      <c r="A43" s="36">
        <v>43763</v>
      </c>
      <c r="B43" s="37">
        <v>1.7</v>
      </c>
      <c r="C43">
        <v>42</v>
      </c>
      <c r="E43">
        <f t="shared" si="4"/>
        <v>1.6933571690361806</v>
      </c>
      <c r="F43">
        <v>1.6933571690361806</v>
      </c>
      <c r="G43" s="35">
        <f t="shared" si="0"/>
        <v>4.4127203213877061E-5</v>
      </c>
      <c r="H43">
        <f t="shared" si="1"/>
        <v>3.9075476257760863E-3</v>
      </c>
      <c r="I43">
        <f t="shared" si="5"/>
        <v>1.8219909134521779</v>
      </c>
      <c r="J43">
        <f t="shared" si="6"/>
        <v>1.6740669254511198</v>
      </c>
      <c r="L43">
        <v>1.6933571690361806</v>
      </c>
      <c r="M43" s="39">
        <f t="shared" si="2"/>
        <v>4.4127203213877061E-5</v>
      </c>
      <c r="N43">
        <f t="shared" si="3"/>
        <v>3.9075476257760863E-3</v>
      </c>
    </row>
    <row r="44" spans="1:14">
      <c r="A44" s="36">
        <v>43770</v>
      </c>
      <c r="B44" s="37">
        <v>1.73</v>
      </c>
      <c r="C44">
        <v>43</v>
      </c>
      <c r="E44">
        <f t="shared" si="4"/>
        <v>1.6946857352289446</v>
      </c>
      <c r="F44">
        <v>1.6946857352289446</v>
      </c>
      <c r="G44" s="35">
        <f t="shared" si="0"/>
        <v>1.2470972963202025E-3</v>
      </c>
      <c r="H44">
        <f t="shared" si="1"/>
        <v>2.0412869809858597E-2</v>
      </c>
      <c r="I44">
        <f t="shared" si="5"/>
        <v>1.80979182210696</v>
      </c>
      <c r="J44">
        <f t="shared" si="6"/>
        <v>1.6818468478157838</v>
      </c>
      <c r="L44">
        <v>1.6946857352289446</v>
      </c>
      <c r="M44" s="39">
        <f t="shared" si="2"/>
        <v>1.2470972963202025E-3</v>
      </c>
      <c r="N44">
        <f t="shared" si="3"/>
        <v>2.0412869809858597E-2</v>
      </c>
    </row>
    <row r="45" spans="1:14">
      <c r="A45" s="36">
        <v>43777</v>
      </c>
      <c r="B45" s="37">
        <v>1.94</v>
      </c>
      <c r="C45">
        <v>44</v>
      </c>
      <c r="E45">
        <f t="shared" si="4"/>
        <v>1.7017485881831558</v>
      </c>
      <c r="F45">
        <v>1.7017485881831558</v>
      </c>
      <c r="G45" s="35">
        <f t="shared" si="0"/>
        <v>5.6763735232719471E-2</v>
      </c>
      <c r="H45">
        <f t="shared" si="1"/>
        <v>0.12281000609115679</v>
      </c>
      <c r="I45">
        <f t="shared" si="5"/>
        <v>1.8018126398962642</v>
      </c>
      <c r="J45">
        <f t="shared" si="6"/>
        <v>1.6962927934710486</v>
      </c>
      <c r="L45">
        <v>1.7017485881831558</v>
      </c>
      <c r="M45" s="39">
        <f t="shared" si="2"/>
        <v>5.6763735232719471E-2</v>
      </c>
      <c r="N45">
        <f t="shared" si="3"/>
        <v>0.12281000609115679</v>
      </c>
    </row>
    <row r="46" spans="1:14">
      <c r="A46" s="36">
        <v>43784</v>
      </c>
      <c r="B46" s="37">
        <v>1.84</v>
      </c>
      <c r="C46">
        <v>45</v>
      </c>
      <c r="E46">
        <f t="shared" si="4"/>
        <v>1.7493988705465249</v>
      </c>
      <c r="F46">
        <v>1.7493988705465249</v>
      </c>
      <c r="G46" s="35">
        <f t="shared" si="0"/>
        <v>8.2085646582453729E-3</v>
      </c>
      <c r="H46">
        <f t="shared" si="1"/>
        <v>4.9239744268193046E-2</v>
      </c>
      <c r="I46">
        <f t="shared" si="5"/>
        <v>1.8156313759066378</v>
      </c>
      <c r="J46">
        <f t="shared" si="6"/>
        <v>1.7694049554297338</v>
      </c>
      <c r="L46">
        <v>1.7493988705465249</v>
      </c>
      <c r="M46" s="39">
        <f t="shared" si="2"/>
        <v>8.2085646582453729E-3</v>
      </c>
      <c r="N46">
        <f t="shared" si="3"/>
        <v>4.9239744268193046E-2</v>
      </c>
    </row>
    <row r="47" spans="1:14">
      <c r="A47" s="36">
        <v>43791</v>
      </c>
      <c r="B47" s="37">
        <v>1.77</v>
      </c>
      <c r="C47">
        <v>46</v>
      </c>
      <c r="E47">
        <f t="shared" si="4"/>
        <v>1.76751909643722</v>
      </c>
      <c r="F47">
        <v>1.76751909643722</v>
      </c>
      <c r="G47" s="35">
        <f t="shared" si="0"/>
        <v>6.154882487814339E-6</v>
      </c>
      <c r="H47">
        <f t="shared" si="1"/>
        <v>1.4016404309491345E-3</v>
      </c>
      <c r="I47">
        <f t="shared" si="5"/>
        <v>1.8180682383159741</v>
      </c>
      <c r="J47">
        <f t="shared" si="6"/>
        <v>1.7905834688008135</v>
      </c>
      <c r="L47">
        <v>1.76751909643722</v>
      </c>
      <c r="M47" s="39">
        <f t="shared" si="2"/>
        <v>6.154882487814339E-6</v>
      </c>
      <c r="N47">
        <f t="shared" si="3"/>
        <v>1.4016404309491345E-3</v>
      </c>
    </row>
    <row r="48" spans="1:14">
      <c r="A48" s="36">
        <v>43798</v>
      </c>
      <c r="B48" s="37">
        <v>1.78</v>
      </c>
      <c r="C48">
        <v>47</v>
      </c>
      <c r="E48">
        <f t="shared" si="4"/>
        <v>1.7680152771497761</v>
      </c>
      <c r="F48">
        <v>1.7680152771497761</v>
      </c>
      <c r="G48" s="35">
        <f t="shared" si="0"/>
        <v>1.4363358179667876E-4</v>
      </c>
      <c r="H48">
        <f t="shared" si="1"/>
        <v>6.7329903652943229E-3</v>
      </c>
      <c r="I48">
        <f t="shared" si="5"/>
        <v>1.8132614144843768</v>
      </c>
      <c r="J48">
        <f t="shared" si="6"/>
        <v>1.7844084281605692</v>
      </c>
      <c r="L48">
        <v>1.7680152771497761</v>
      </c>
      <c r="M48" s="39">
        <f t="shared" si="2"/>
        <v>1.4363358179667876E-4</v>
      </c>
      <c r="N48">
        <f t="shared" si="3"/>
        <v>6.7329903652943229E-3</v>
      </c>
    </row>
    <row r="49" spans="1:14">
      <c r="A49" s="36">
        <v>43805</v>
      </c>
      <c r="B49" s="37">
        <v>1.84</v>
      </c>
      <c r="C49">
        <v>48</v>
      </c>
      <c r="E49">
        <f t="shared" si="4"/>
        <v>1.770412221719821</v>
      </c>
      <c r="F49">
        <v>1.770412221719821</v>
      </c>
      <c r="G49" s="35">
        <f t="shared" si="0"/>
        <v>4.842458885971357E-3</v>
      </c>
      <c r="H49">
        <f t="shared" si="1"/>
        <v>3.7819444717488604E-2</v>
      </c>
      <c r="I49">
        <f t="shared" si="5"/>
        <v>1.809935273035939</v>
      </c>
      <c r="J49">
        <f t="shared" si="6"/>
        <v>1.7830858997123984</v>
      </c>
      <c r="L49">
        <v>1.770412221719821</v>
      </c>
      <c r="M49" s="39">
        <f t="shared" si="2"/>
        <v>4.842458885971357E-3</v>
      </c>
      <c r="N49">
        <f t="shared" si="3"/>
        <v>3.7819444717488604E-2</v>
      </c>
    </row>
    <row r="50" spans="1:14">
      <c r="A50" s="36">
        <v>43812</v>
      </c>
      <c r="B50" s="37">
        <v>1.82</v>
      </c>
      <c r="C50">
        <v>49</v>
      </c>
      <c r="E50">
        <f t="shared" si="4"/>
        <v>1.7843297773758571</v>
      </c>
      <c r="F50">
        <v>1.7843297773758571</v>
      </c>
      <c r="G50" s="35">
        <f t="shared" si="0"/>
        <v>1.2723647820559224E-3</v>
      </c>
      <c r="H50">
        <f t="shared" si="1"/>
        <v>1.9599023419858783E-2</v>
      </c>
      <c r="I50">
        <f t="shared" si="5"/>
        <v>1.8129417457323451</v>
      </c>
      <c r="J50">
        <f t="shared" si="6"/>
        <v>1.8001601297986789</v>
      </c>
      <c r="L50">
        <v>1.7843297773758571</v>
      </c>
      <c r="M50" s="39">
        <f t="shared" si="2"/>
        <v>1.2723647820559224E-3</v>
      </c>
      <c r="N50">
        <f t="shared" si="3"/>
        <v>1.9599023419858783E-2</v>
      </c>
    </row>
    <row r="51" spans="1:14">
      <c r="A51" s="36">
        <v>43819</v>
      </c>
      <c r="B51" s="37">
        <v>1.92</v>
      </c>
      <c r="C51">
        <v>50</v>
      </c>
      <c r="E51">
        <f t="shared" si="4"/>
        <v>1.7914638219006858</v>
      </c>
      <c r="F51">
        <v>1.7914638219006858</v>
      </c>
      <c r="G51" s="35">
        <f t="shared" si="0"/>
        <v>1.652154908037861E-2</v>
      </c>
      <c r="H51">
        <f t="shared" si="1"/>
        <v>6.6945926093392796E-2</v>
      </c>
      <c r="I51">
        <f t="shared" si="5"/>
        <v>1.8136475711591107</v>
      </c>
      <c r="J51">
        <f t="shared" si="6"/>
        <v>1.8061120908590751</v>
      </c>
      <c r="L51">
        <v>1.7914638219006858</v>
      </c>
      <c r="M51" s="39">
        <f t="shared" si="2"/>
        <v>1.652154908037861E-2</v>
      </c>
      <c r="N51">
        <f t="shared" si="3"/>
        <v>6.6945926093392796E-2</v>
      </c>
    </row>
    <row r="52" spans="1:14">
      <c r="A52" s="36">
        <v>43826</v>
      </c>
      <c r="B52" s="37">
        <v>1.88</v>
      </c>
      <c r="C52">
        <v>51</v>
      </c>
      <c r="E52">
        <f t="shared" si="4"/>
        <v>1.8171710575205489</v>
      </c>
      <c r="F52">
        <v>1.8171710575205489</v>
      </c>
      <c r="G52" s="35">
        <f t="shared" si="0"/>
        <v>3.9474760130861668E-3</v>
      </c>
      <c r="H52">
        <f t="shared" si="1"/>
        <v>3.3419650255027147E-2</v>
      </c>
      <c r="I52">
        <f t="shared" si="5"/>
        <v>1.8242828140431997</v>
      </c>
      <c r="J52">
        <f t="shared" si="6"/>
        <v>1.8402784636013525</v>
      </c>
      <c r="L52">
        <v>1.8171710575205489</v>
      </c>
      <c r="M52" s="39">
        <f t="shared" si="2"/>
        <v>3.9474760130861668E-3</v>
      </c>
      <c r="N52">
        <f t="shared" si="3"/>
        <v>3.3419650255027147E-2</v>
      </c>
    </row>
    <row r="53" spans="1:14">
      <c r="D53">
        <f>0.1*B52+0.9*E52</f>
        <v>1.823453951768494</v>
      </c>
      <c r="E53">
        <f>0.2*B52+0.8*E52</f>
        <v>1.8297368460164392</v>
      </c>
      <c r="F53">
        <f>0.3*B52+0.7*E52</f>
        <v>1.8360197402643839</v>
      </c>
      <c r="G53" s="40">
        <f>AVERAGE(G2:G52)</f>
        <v>3.0956405027112482E-2</v>
      </c>
      <c r="H53" s="41">
        <f>100*AVERAGE(H2:H52)</f>
        <v>6.7796587337939043</v>
      </c>
      <c r="M53" s="42">
        <f>AVERAGE(M2:M52)</f>
        <v>3.0987777576132091E-2</v>
      </c>
      <c r="N53">
        <f>100*AVERAGE(N2:N52)</f>
        <v>6.8090337796924123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32B2E-34AF-49EE-B228-BBD16BABD842}">
  <dimension ref="A1"/>
  <sheetViews>
    <sheetView topLeftCell="A37" workbookViewId="0"/>
  </sheetViews>
  <sheetFormatPr defaultRowHeight="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season</vt:lpstr>
      <vt:lpstr>exp sm</vt:lpstr>
      <vt:lpstr>Tukey</vt:lpstr>
      <vt:lpstr>season!Print_Area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Yang</dc:creator>
  <cp:lastModifiedBy>Francis Yang</cp:lastModifiedBy>
  <cp:lastPrinted>2023-01-29T17:19:43Z</cp:lastPrinted>
  <dcterms:created xsi:type="dcterms:W3CDTF">2015-06-05T18:17:20Z</dcterms:created>
  <dcterms:modified xsi:type="dcterms:W3CDTF">2023-03-14T15:56:43Z</dcterms:modified>
</cp:coreProperties>
</file>